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johnniewatsoniii/Desktop/Mingus 2025/"/>
    </mc:Choice>
  </mc:AlternateContent>
  <xr:revisionPtr revIDLastSave="0" documentId="8_{5528423A-0894-3B43-8EBA-96840893D77B}" xr6:coauthVersionLast="47" xr6:coauthVersionMax="47" xr10:uidLastSave="{00000000-0000-0000-0000-000000000000}"/>
  <bookViews>
    <workbookView xWindow="0" yWindow="500" windowWidth="28800" windowHeight="16140" tabRatio="816" activeTab="10" xr2:uid="{00000000-000D-0000-FFFF-FFFF00000000}"/>
  </bookViews>
  <sheets>
    <sheet name="New Organic" sheetId="52" r:id="rId1"/>
    <sheet name="New PPC" sheetId="65" r:id="rId2"/>
    <sheet name="Sheet1" sheetId="66" r:id="rId3"/>
    <sheet name="New Sales" sheetId="45" r:id="rId4"/>
    <sheet name="New Unique" sheetId="48" r:id="rId5"/>
    <sheet name="Retention" sheetId="51" r:id="rId6"/>
    <sheet name="Revenue" sheetId="53" r:id="rId7"/>
    <sheet name="People Costs" sheetId="23" r:id="rId8"/>
    <sheet name="Other Costs" sheetId="6" r:id="rId9"/>
    <sheet name="Fixed Assets" sheetId="12" r:id="rId10"/>
    <sheet name="Cash Timing" sheetId="13" r:id="rId11"/>
    <sheet name="PL" sheetId="54" r:id="rId12"/>
    <sheet name="BS" sheetId="10" r:id="rId13"/>
    <sheet name="CF" sheetId="11" r:id="rId14"/>
  </sheets>
  <definedNames>
    <definedName name="_xlnm._FilterDatabase" localSheetId="8" hidden="1">'Other Costs'!$B$3:$AB$30</definedName>
    <definedName name="_xlnm._FilterDatabase" localSheetId="7" hidden="1">'People Costs'!$A$3:$G$39</definedName>
    <definedName name="FivePointRating" localSheetId="7">#REF!</definedName>
    <definedName name="FurnitureCostPerHire">'Fixed Assets'!$C$4</definedName>
    <definedName name="HealthInsurance" localSheetId="7">'Other Costs'!#REF!</definedName>
    <definedName name="MonthlyCellPerACCTManager" localSheetId="7">'Other Costs'!#REF!</definedName>
    <definedName name="NewSPinB" localSheetId="11">#REF!</definedName>
    <definedName name="NewSPinB">#REF!</definedName>
    <definedName name="_xlnm.Print_Area" localSheetId="12">BS!$B$1:$O$36</definedName>
    <definedName name="_xlnm.Print_Area" localSheetId="13">CF!$B$1:$AA$30</definedName>
    <definedName name="_xlnm.Print_Area" localSheetId="9">'Fixed Assets'!$B$1:$AC$13</definedName>
    <definedName name="_xlnm.Print_Area" localSheetId="4">'New Unique'!$B$4:$E$11</definedName>
    <definedName name="_xlnm.Print_Area" localSheetId="8">'Other Costs'!$B$51:$B$79</definedName>
    <definedName name="_xlnm.Print_Area" localSheetId="7">'People Costs'!$B$1:$F$29</definedName>
    <definedName name="_xlnm.Print_Area" localSheetId="11">PL!$B$1:$AD$35</definedName>
    <definedName name="_xlnm.Print_Titles" localSheetId="7">'People Costs'!$1:$3</definedName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Retention!#REF!</definedName>
    <definedName name="solver_typ" localSheetId="5" hidden="1">1</definedName>
    <definedName name="solver_val" localSheetId="5" hidden="1">0</definedName>
    <definedName name="solver_ver" localSheetId="5" hidden="1">3</definedName>
    <definedName name="ThreePointRating" localSheetId="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66" l="1"/>
  <c r="H4" i="66"/>
  <c r="H10" i="66" s="1"/>
  <c r="H11" i="66"/>
  <c r="C17" i="66"/>
  <c r="C15" i="66"/>
  <c r="C14" i="66"/>
  <c r="C12" i="66"/>
  <c r="C11" i="66"/>
  <c r="C6" i="66"/>
  <c r="C5" i="66"/>
  <c r="C4" i="66"/>
  <c r="C3" i="66"/>
  <c r="D94" i="13"/>
  <c r="H12" i="66" l="1"/>
  <c r="H14" i="66"/>
  <c r="H15" i="66" s="1"/>
  <c r="AB8" i="11"/>
  <c r="AC8" i="11"/>
  <c r="AB11" i="11"/>
  <c r="AC11" i="11"/>
  <c r="C29" i="11"/>
  <c r="D24" i="10"/>
  <c r="E24" i="10"/>
  <c r="F24" i="10"/>
  <c r="G24" i="10"/>
  <c r="H24" i="10"/>
  <c r="I24" i="10"/>
  <c r="J24" i="10"/>
  <c r="K24" i="10"/>
  <c r="L24" i="10"/>
  <c r="M24" i="10"/>
  <c r="N24" i="10"/>
  <c r="O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C28" i="10"/>
  <c r="D13" i="10"/>
  <c r="E13" i="10" s="1"/>
  <c r="F13" i="10" s="1"/>
  <c r="G13" i="10" s="1"/>
  <c r="H13" i="10" s="1"/>
  <c r="I13" i="10" s="1"/>
  <c r="J13" i="10" s="1"/>
  <c r="K13" i="10" s="1"/>
  <c r="L13" i="10" s="1"/>
  <c r="M13" i="10" s="1"/>
  <c r="N13" i="10" s="1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12" i="13"/>
  <c r="F12" i="13" s="1"/>
  <c r="D26" i="10" s="1"/>
  <c r="F66" i="13"/>
  <c r="D9" i="10" s="1"/>
  <c r="C95" i="13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E50" i="6"/>
  <c r="D8" i="10"/>
  <c r="E8" i="10"/>
  <c r="F8" i="10"/>
  <c r="G8" i="10"/>
  <c r="H8" i="10"/>
  <c r="I8" i="10"/>
  <c r="J8" i="10"/>
  <c r="K8" i="10"/>
  <c r="L8" i="10"/>
  <c r="M8" i="10"/>
  <c r="N8" i="10"/>
  <c r="O8" i="10"/>
  <c r="E17" i="12"/>
  <c r="E36" i="12" s="1"/>
  <c r="AE16" i="12"/>
  <c r="AE17" i="12" s="1"/>
  <c r="AD16" i="12"/>
  <c r="AD17" i="12" s="1"/>
  <c r="O32" i="54"/>
  <c r="M31" i="54"/>
  <c r="N31" i="54"/>
  <c r="O31" i="54"/>
  <c r="M32" i="54"/>
  <c r="N32" i="54"/>
  <c r="M33" i="54"/>
  <c r="N33" i="54"/>
  <c r="O33" i="54"/>
  <c r="M34" i="54"/>
  <c r="N34" i="54"/>
  <c r="O34" i="54"/>
  <c r="M26" i="54"/>
  <c r="N26" i="54"/>
  <c r="O26" i="54"/>
  <c r="AC23" i="54"/>
  <c r="AD23" i="54"/>
  <c r="AD24" i="54"/>
  <c r="AC24" i="54"/>
  <c r="M18" i="54"/>
  <c r="N18" i="54"/>
  <c r="O18" i="54"/>
  <c r="D18" i="54"/>
  <c r="E7" i="54"/>
  <c r="E8" i="54" s="1"/>
  <c r="F7" i="54"/>
  <c r="F8" i="54" s="1"/>
  <c r="G7" i="54"/>
  <c r="G8" i="54" s="1"/>
  <c r="H7" i="54"/>
  <c r="H8" i="54" s="1"/>
  <c r="I7" i="54"/>
  <c r="I8" i="54" s="1"/>
  <c r="J7" i="54"/>
  <c r="J8" i="54" s="1"/>
  <c r="K7" i="54"/>
  <c r="K8" i="54" s="1"/>
  <c r="L7" i="54"/>
  <c r="L8" i="54" s="1"/>
  <c r="M7" i="54"/>
  <c r="M20" i="54" s="1"/>
  <c r="N7" i="54"/>
  <c r="N20" i="54" s="1"/>
  <c r="N28" i="54" s="1"/>
  <c r="O7" i="54"/>
  <c r="D7" i="54"/>
  <c r="D8" i="54" s="1"/>
  <c r="R41" i="6"/>
  <c r="S41" i="6"/>
  <c r="T41" i="6"/>
  <c r="U41" i="6"/>
  <c r="V41" i="6"/>
  <c r="W41" i="6"/>
  <c r="X41" i="6"/>
  <c r="Y41" i="6"/>
  <c r="Z41" i="6"/>
  <c r="AA41" i="6"/>
  <c r="AB41" i="6"/>
  <c r="Q41" i="6"/>
  <c r="AD22" i="6"/>
  <c r="AE22" i="6"/>
  <c r="AD23" i="6"/>
  <c r="AE23" i="6"/>
  <c r="AD42" i="6"/>
  <c r="AE42" i="6"/>
  <c r="AD43" i="6"/>
  <c r="AE43" i="6"/>
  <c r="E78" i="6"/>
  <c r="E79" i="6" s="1"/>
  <c r="S11" i="6" s="1"/>
  <c r="O48" i="51"/>
  <c r="P48" i="51"/>
  <c r="Q48" i="51"/>
  <c r="R48" i="51"/>
  <c r="S48" i="51"/>
  <c r="T48" i="51"/>
  <c r="U48" i="51"/>
  <c r="V48" i="51"/>
  <c r="W48" i="51"/>
  <c r="X48" i="51"/>
  <c r="Y48" i="51"/>
  <c r="Z48" i="51"/>
  <c r="O23" i="45"/>
  <c r="U42" i="23" s="1"/>
  <c r="P15" i="54" s="1"/>
  <c r="H10" i="48"/>
  <c r="E6" i="48"/>
  <c r="E7" i="48"/>
  <c r="E8" i="48"/>
  <c r="E9" i="48"/>
  <c r="H17" i="66" l="1"/>
  <c r="H19" i="66" s="1"/>
  <c r="H21" i="66" s="1"/>
  <c r="O20" i="54"/>
  <c r="F67" i="13"/>
  <c r="F13" i="13"/>
  <c r="E94" i="13"/>
  <c r="F94" i="13" s="1"/>
  <c r="D95" i="13" s="1"/>
  <c r="O28" i="54"/>
  <c r="O35" i="54" s="1"/>
  <c r="M28" i="54"/>
  <c r="M35" i="54" s="1"/>
  <c r="N35" i="54"/>
  <c r="N8" i="54"/>
  <c r="O8" i="54"/>
  <c r="M8" i="54"/>
  <c r="AB11" i="6"/>
  <c r="Z11" i="6"/>
  <c r="X11" i="6"/>
  <c r="V11" i="6"/>
  <c r="T11" i="6"/>
  <c r="R11" i="6"/>
  <c r="Q11" i="6"/>
  <c r="AA11" i="6"/>
  <c r="Y11" i="6"/>
  <c r="W11" i="6"/>
  <c r="U11" i="6"/>
  <c r="E95" i="13" l="1"/>
  <c r="F95" i="13" s="1"/>
  <c r="D96" i="13" s="1"/>
  <c r="D31" i="10"/>
  <c r="C23" i="11" s="1"/>
  <c r="F14" i="13"/>
  <c r="E26" i="10"/>
  <c r="F68" i="13"/>
  <c r="E9" i="10"/>
  <c r="F69" i="13" l="1"/>
  <c r="F9" i="10"/>
  <c r="F15" i="13"/>
  <c r="F26" i="10"/>
  <c r="E31" i="10"/>
  <c r="D23" i="11" s="1"/>
  <c r="E96" i="13"/>
  <c r="F96" i="13" s="1"/>
  <c r="D97" i="13" s="1"/>
  <c r="AF39" i="23"/>
  <c r="AE39" i="23"/>
  <c r="AD39" i="23"/>
  <c r="AC39" i="23"/>
  <c r="AB39" i="23"/>
  <c r="AA39" i="23"/>
  <c r="Z39" i="23"/>
  <c r="Y39" i="23"/>
  <c r="X39" i="23"/>
  <c r="W39" i="23"/>
  <c r="V39" i="23"/>
  <c r="U39" i="23"/>
  <c r="AF38" i="23"/>
  <c r="AE38" i="23"/>
  <c r="AD38" i="23"/>
  <c r="AC38" i="23"/>
  <c r="AB38" i="23"/>
  <c r="AA38" i="23"/>
  <c r="Z38" i="23"/>
  <c r="Y38" i="23"/>
  <c r="X38" i="23"/>
  <c r="W38" i="23"/>
  <c r="V38" i="23"/>
  <c r="U38" i="23"/>
  <c r="AF37" i="23"/>
  <c r="AE37" i="23"/>
  <c r="AD37" i="23"/>
  <c r="AC37" i="23"/>
  <c r="AB37" i="23"/>
  <c r="AA37" i="23"/>
  <c r="Z37" i="23"/>
  <c r="Y37" i="23"/>
  <c r="X37" i="23"/>
  <c r="W37" i="23"/>
  <c r="V37" i="23"/>
  <c r="U37" i="23"/>
  <c r="AF28" i="23"/>
  <c r="AE28" i="23"/>
  <c r="AD28" i="23"/>
  <c r="AC28" i="23"/>
  <c r="AB28" i="23"/>
  <c r="AA28" i="23"/>
  <c r="Z28" i="23"/>
  <c r="Y28" i="23"/>
  <c r="X28" i="23"/>
  <c r="W28" i="23"/>
  <c r="V28" i="23"/>
  <c r="U28" i="23"/>
  <c r="AF27" i="23"/>
  <c r="AE27" i="23"/>
  <c r="AD27" i="23"/>
  <c r="AC27" i="23"/>
  <c r="AB27" i="23"/>
  <c r="AA27" i="23"/>
  <c r="Z27" i="23"/>
  <c r="Y27" i="23"/>
  <c r="X27" i="23"/>
  <c r="W27" i="23"/>
  <c r="V27" i="23"/>
  <c r="U27" i="23"/>
  <c r="AF26" i="23"/>
  <c r="AE26" i="23"/>
  <c r="AD26" i="23"/>
  <c r="AC26" i="23"/>
  <c r="AB26" i="23"/>
  <c r="AA26" i="23"/>
  <c r="Z26" i="23"/>
  <c r="Y26" i="23"/>
  <c r="X26" i="23"/>
  <c r="W26" i="23"/>
  <c r="V26" i="23"/>
  <c r="U26" i="23"/>
  <c r="AF23" i="23"/>
  <c r="AE23" i="23"/>
  <c r="AD23" i="23"/>
  <c r="AC23" i="23"/>
  <c r="AB23" i="23"/>
  <c r="AA23" i="23"/>
  <c r="Z23" i="23"/>
  <c r="Y23" i="23"/>
  <c r="X23" i="23"/>
  <c r="W23" i="23"/>
  <c r="V23" i="23"/>
  <c r="U23" i="23"/>
  <c r="AF22" i="23"/>
  <c r="AE22" i="23"/>
  <c r="AD22" i="23"/>
  <c r="AC22" i="23"/>
  <c r="AB22" i="23"/>
  <c r="AA22" i="23"/>
  <c r="Z22" i="23"/>
  <c r="Y22" i="23"/>
  <c r="X22" i="23"/>
  <c r="W22" i="23"/>
  <c r="V22" i="23"/>
  <c r="U22" i="23"/>
  <c r="AF21" i="23"/>
  <c r="AE21" i="23"/>
  <c r="AD21" i="23"/>
  <c r="AC21" i="23"/>
  <c r="AB21" i="23"/>
  <c r="AA21" i="23"/>
  <c r="Z21" i="23"/>
  <c r="Y21" i="23"/>
  <c r="X21" i="23"/>
  <c r="W21" i="23"/>
  <c r="V21" i="23"/>
  <c r="U21" i="23"/>
  <c r="AF20" i="23"/>
  <c r="AE20" i="23"/>
  <c r="AD20" i="23"/>
  <c r="AC20" i="23"/>
  <c r="AB20" i="23"/>
  <c r="AA20" i="23"/>
  <c r="Z20" i="23"/>
  <c r="Y20" i="23"/>
  <c r="X20" i="23"/>
  <c r="W20" i="23"/>
  <c r="V20" i="23"/>
  <c r="U20" i="23"/>
  <c r="AF17" i="23"/>
  <c r="AE17" i="23"/>
  <c r="AD17" i="23"/>
  <c r="AC17" i="23"/>
  <c r="AB17" i="23"/>
  <c r="AA17" i="23"/>
  <c r="Z17" i="23"/>
  <c r="Y17" i="23"/>
  <c r="X17" i="23"/>
  <c r="W17" i="23"/>
  <c r="V17" i="23"/>
  <c r="U17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AF15" i="23"/>
  <c r="AE15" i="23"/>
  <c r="AD15" i="23"/>
  <c r="AC15" i="23"/>
  <c r="AB15" i="23"/>
  <c r="AA15" i="23"/>
  <c r="Z15" i="23"/>
  <c r="Y15" i="23"/>
  <c r="X15" i="23"/>
  <c r="W15" i="23"/>
  <c r="V15" i="23"/>
  <c r="U15" i="23"/>
  <c r="AF14" i="23"/>
  <c r="AE14" i="23"/>
  <c r="AD14" i="23"/>
  <c r="AC14" i="23"/>
  <c r="AB14" i="23"/>
  <c r="AA14" i="23"/>
  <c r="Z14" i="23"/>
  <c r="Y14" i="23"/>
  <c r="X14" i="23"/>
  <c r="W14" i="23"/>
  <c r="V14" i="23"/>
  <c r="U14" i="23"/>
  <c r="AF13" i="23"/>
  <c r="AE13" i="23"/>
  <c r="AD13" i="23"/>
  <c r="AC13" i="23"/>
  <c r="AB13" i="23"/>
  <c r="AA13" i="23"/>
  <c r="Z13" i="23"/>
  <c r="Y13" i="23"/>
  <c r="X13" i="23"/>
  <c r="W13" i="23"/>
  <c r="V13" i="23"/>
  <c r="U13" i="23"/>
  <c r="AF12" i="23"/>
  <c r="AE12" i="23"/>
  <c r="AD12" i="23"/>
  <c r="AC12" i="23"/>
  <c r="AB12" i="23"/>
  <c r="AA12" i="23"/>
  <c r="Z12" i="23"/>
  <c r="Y12" i="23"/>
  <c r="X12" i="23"/>
  <c r="W12" i="23"/>
  <c r="V12" i="23"/>
  <c r="U12" i="23"/>
  <c r="AF11" i="23"/>
  <c r="AE11" i="23"/>
  <c r="AD11" i="23"/>
  <c r="AC11" i="23"/>
  <c r="AB11" i="23"/>
  <c r="AA11" i="23"/>
  <c r="Z11" i="23"/>
  <c r="Y11" i="23"/>
  <c r="X11" i="23"/>
  <c r="W11" i="23"/>
  <c r="V11" i="23"/>
  <c r="U11" i="23"/>
  <c r="AD6" i="23"/>
  <c r="AE6" i="23"/>
  <c r="AF6" i="23"/>
  <c r="AD7" i="23"/>
  <c r="AE7" i="23"/>
  <c r="AF7" i="23"/>
  <c r="AD8" i="23"/>
  <c r="AE8" i="23"/>
  <c r="AF8" i="23"/>
  <c r="AC7" i="23"/>
  <c r="AC8" i="23"/>
  <c r="AC6" i="23"/>
  <c r="V6" i="23"/>
  <c r="W6" i="23" s="1"/>
  <c r="X6" i="23" s="1"/>
  <c r="Y6" i="23"/>
  <c r="Z6" i="23"/>
  <c r="AA6" i="23"/>
  <c r="AB6" i="23"/>
  <c r="V7" i="23"/>
  <c r="W7" i="23"/>
  <c r="X7" i="23"/>
  <c r="Y7" i="23"/>
  <c r="Z7" i="23"/>
  <c r="AA7" i="23"/>
  <c r="AB7" i="23"/>
  <c r="V8" i="23"/>
  <c r="W8" i="23"/>
  <c r="X8" i="23"/>
  <c r="Y8" i="23"/>
  <c r="Z8" i="23"/>
  <c r="AA8" i="23"/>
  <c r="AB8" i="23"/>
  <c r="U7" i="23"/>
  <c r="U8" i="23"/>
  <c r="U6" i="23"/>
  <c r="AA8" i="52"/>
  <c r="AA22" i="52" s="1"/>
  <c r="P23" i="45"/>
  <c r="V42" i="23" s="1"/>
  <c r="Q15" i="54" s="1"/>
  <c r="D23" i="45"/>
  <c r="E23" i="45"/>
  <c r="F23" i="45"/>
  <c r="G23" i="45"/>
  <c r="H23" i="45"/>
  <c r="I23" i="45"/>
  <c r="J23" i="45"/>
  <c r="K23" i="45"/>
  <c r="L23" i="45"/>
  <c r="M23" i="45"/>
  <c r="N23" i="45"/>
  <c r="C23" i="45"/>
  <c r="Q23" i="45"/>
  <c r="W42" i="23" s="1"/>
  <c r="R15" i="54" s="1"/>
  <c r="R23" i="45"/>
  <c r="X42" i="23" s="1"/>
  <c r="S15" i="54" s="1"/>
  <c r="S23" i="45"/>
  <c r="Y42" i="23" s="1"/>
  <c r="T15" i="54" s="1"/>
  <c r="T23" i="45"/>
  <c r="Z42" i="23" s="1"/>
  <c r="U15" i="54" s="1"/>
  <c r="U23" i="45"/>
  <c r="AA42" i="23" s="1"/>
  <c r="V15" i="54" s="1"/>
  <c r="V23" i="45"/>
  <c r="AB42" i="23" s="1"/>
  <c r="W15" i="54" s="1"/>
  <c r="W23" i="45"/>
  <c r="AC42" i="23" s="1"/>
  <c r="X15" i="54" s="1"/>
  <c r="X23" i="45"/>
  <c r="AD42" i="23" s="1"/>
  <c r="Y15" i="54" s="1"/>
  <c r="Y23" i="45"/>
  <c r="AE42" i="23" s="1"/>
  <c r="Z15" i="54" s="1"/>
  <c r="Z23" i="45"/>
  <c r="AF42" i="23" s="1"/>
  <c r="AA15" i="54" s="1"/>
  <c r="P7" i="65"/>
  <c r="Q7" i="65"/>
  <c r="R7" i="65"/>
  <c r="S7" i="65"/>
  <c r="T7" i="65"/>
  <c r="U7" i="65"/>
  <c r="V7" i="65"/>
  <c r="W7" i="65"/>
  <c r="X7" i="65"/>
  <c r="Y7" i="65"/>
  <c r="Z7" i="65"/>
  <c r="O7" i="65"/>
  <c r="E16" i="65"/>
  <c r="AA11" i="52"/>
  <c r="D48" i="51" l="1"/>
  <c r="P49" i="51" s="1"/>
  <c r="D8" i="51"/>
  <c r="H48" i="51"/>
  <c r="T49" i="51" s="1"/>
  <c r="H8" i="51"/>
  <c r="C48" i="51"/>
  <c r="O49" i="51" s="1"/>
  <c r="C8" i="51"/>
  <c r="E48" i="51"/>
  <c r="Q49" i="51" s="1"/>
  <c r="E8" i="51"/>
  <c r="G48" i="51"/>
  <c r="S49" i="51" s="1"/>
  <c r="G8" i="51"/>
  <c r="I48" i="51"/>
  <c r="U49" i="51" s="1"/>
  <c r="I8" i="51"/>
  <c r="K48" i="51"/>
  <c r="W49" i="51" s="1"/>
  <c r="K8" i="51"/>
  <c r="M48" i="51"/>
  <c r="Y49" i="51" s="1"/>
  <c r="M8" i="51"/>
  <c r="F48" i="51"/>
  <c r="R49" i="51" s="1"/>
  <c r="F8" i="51"/>
  <c r="J48" i="51"/>
  <c r="V49" i="51" s="1"/>
  <c r="J8" i="51"/>
  <c r="L48" i="51"/>
  <c r="X49" i="51" s="1"/>
  <c r="L8" i="51"/>
  <c r="N48" i="51"/>
  <c r="Z49" i="51" s="1"/>
  <c r="N8" i="51"/>
  <c r="F16" i="13"/>
  <c r="G26" i="10"/>
  <c r="F70" i="13"/>
  <c r="G9" i="10"/>
  <c r="F31" i="10"/>
  <c r="E23" i="11" s="1"/>
  <c r="E97" i="13"/>
  <c r="F97" i="13" s="1"/>
  <c r="D98" i="13" s="1"/>
  <c r="AA20" i="52"/>
  <c r="AA19" i="52"/>
  <c r="AA21" i="52"/>
  <c r="G31" i="10" l="1"/>
  <c r="F23" i="11" s="1"/>
  <c r="E98" i="13"/>
  <c r="F98" i="13" s="1"/>
  <c r="D99" i="13" s="1"/>
  <c r="F71" i="13"/>
  <c r="H9" i="10"/>
  <c r="F17" i="13"/>
  <c r="H26" i="10"/>
  <c r="AA18" i="52"/>
  <c r="F18" i="13" l="1"/>
  <c r="I26" i="10"/>
  <c r="F72" i="13"/>
  <c r="I9" i="10"/>
  <c r="H31" i="10"/>
  <c r="G23" i="11" s="1"/>
  <c r="E99" i="13"/>
  <c r="F99" i="13" s="1"/>
  <c r="D100" i="13" s="1"/>
  <c r="AA17" i="52"/>
  <c r="I31" i="10" l="1"/>
  <c r="H23" i="11" s="1"/>
  <c r="E100" i="13"/>
  <c r="F100" i="13" s="1"/>
  <c r="D101" i="13" s="1"/>
  <c r="F73" i="13"/>
  <c r="J9" i="10"/>
  <c r="F19" i="13"/>
  <c r="J26" i="10"/>
  <c r="AA16" i="52"/>
  <c r="F20" i="13" l="1"/>
  <c r="L26" i="10" s="1"/>
  <c r="K26" i="10"/>
  <c r="F74" i="13"/>
  <c r="K9" i="10"/>
  <c r="J31" i="10"/>
  <c r="I23" i="11" s="1"/>
  <c r="E101" i="13"/>
  <c r="F101" i="13" s="1"/>
  <c r="D102" i="13" s="1"/>
  <c r="AA15" i="52"/>
  <c r="AI38" i="23"/>
  <c r="AH39" i="23"/>
  <c r="AI39" i="23"/>
  <c r="AH38" i="23"/>
  <c r="AH23" i="23"/>
  <c r="K31" i="10" l="1"/>
  <c r="J23" i="11" s="1"/>
  <c r="E102" i="13"/>
  <c r="F102" i="13" s="1"/>
  <c r="D103" i="13" s="1"/>
  <c r="F75" i="13"/>
  <c r="L9" i="10"/>
  <c r="AA14" i="52"/>
  <c r="AI23" i="23"/>
  <c r="AH22" i="23"/>
  <c r="AI22" i="23"/>
  <c r="AI8" i="23"/>
  <c r="AH8" i="23"/>
  <c r="AE35" i="6"/>
  <c r="AD35" i="6"/>
  <c r="K64" i="65"/>
  <c r="K16" i="65" s="1"/>
  <c r="R23" i="52"/>
  <c r="X57" i="52"/>
  <c r="F76" i="13" l="1"/>
  <c r="M9" i="10"/>
  <c r="L31" i="10"/>
  <c r="K23" i="11" s="1"/>
  <c r="E103" i="13"/>
  <c r="F103" i="13" s="1"/>
  <c r="D104" i="13" s="1"/>
  <c r="AA13" i="52"/>
  <c r="D22" i="11"/>
  <c r="E22" i="11"/>
  <c r="F22" i="11"/>
  <c r="G22" i="11"/>
  <c r="H22" i="11"/>
  <c r="I22" i="11"/>
  <c r="J22" i="11"/>
  <c r="K22" i="11"/>
  <c r="L22" i="11"/>
  <c r="M22" i="11"/>
  <c r="N22" i="11"/>
  <c r="C22" i="11"/>
  <c r="E34" i="54"/>
  <c r="D10" i="53"/>
  <c r="E10" i="53"/>
  <c r="D32" i="10"/>
  <c r="C55" i="45"/>
  <c r="C15" i="45" s="1"/>
  <c r="D55" i="45"/>
  <c r="D15" i="45" s="1"/>
  <c r="O57" i="52"/>
  <c r="P57" i="52"/>
  <c r="C10" i="53"/>
  <c r="D6" i="53"/>
  <c r="E6" i="53" s="1"/>
  <c r="F6" i="53" s="1"/>
  <c r="G6" i="53" s="1"/>
  <c r="H6" i="53" s="1"/>
  <c r="I6" i="53" s="1"/>
  <c r="J6" i="53" s="1"/>
  <c r="K6" i="53" s="1"/>
  <c r="L6" i="53" s="1"/>
  <c r="M6" i="53" s="1"/>
  <c r="N6" i="53" s="1"/>
  <c r="O6" i="53" s="1"/>
  <c r="P6" i="53" s="1"/>
  <c r="Q6" i="53" s="1"/>
  <c r="R6" i="53" s="1"/>
  <c r="S6" i="53" s="1"/>
  <c r="T6" i="53" s="1"/>
  <c r="U6" i="53" s="1"/>
  <c r="V6" i="53" s="1"/>
  <c r="W6" i="53" s="1"/>
  <c r="X6" i="53" s="1"/>
  <c r="Y6" i="53" s="1"/>
  <c r="Z6" i="53" s="1"/>
  <c r="Q9" i="12"/>
  <c r="R9" i="12"/>
  <c r="S9" i="12"/>
  <c r="T9" i="12"/>
  <c r="U9" i="12"/>
  <c r="V9" i="12"/>
  <c r="W9" i="12"/>
  <c r="X9" i="12"/>
  <c r="Y9" i="12"/>
  <c r="Z9" i="12"/>
  <c r="AA9" i="12"/>
  <c r="AB9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E5" i="6"/>
  <c r="C39" i="13"/>
  <c r="F39" i="13" s="1"/>
  <c r="D27" i="10" s="1"/>
  <c r="C13" i="11" s="1"/>
  <c r="E13" i="12"/>
  <c r="E32" i="12" s="1"/>
  <c r="F13" i="12"/>
  <c r="D17" i="11" s="1"/>
  <c r="G13" i="12"/>
  <c r="E17" i="11" s="1"/>
  <c r="H13" i="12"/>
  <c r="F17" i="11" s="1"/>
  <c r="I13" i="12"/>
  <c r="G17" i="11" s="1"/>
  <c r="J13" i="12"/>
  <c r="H17" i="11" s="1"/>
  <c r="K13" i="12"/>
  <c r="I17" i="11" s="1"/>
  <c r="L13" i="12"/>
  <c r="J17" i="11" s="1"/>
  <c r="M13" i="12"/>
  <c r="K17" i="11" s="1"/>
  <c r="N13" i="12"/>
  <c r="L17" i="11" s="1"/>
  <c r="O13" i="12"/>
  <c r="M17" i="11" s="1"/>
  <c r="P13" i="12"/>
  <c r="N17" i="11" s="1"/>
  <c r="J33" i="54"/>
  <c r="F17" i="12"/>
  <c r="F36" i="12" s="1"/>
  <c r="G36" i="12" s="1"/>
  <c r="G17" i="12"/>
  <c r="H17" i="12"/>
  <c r="I17" i="12"/>
  <c r="J17" i="12"/>
  <c r="K17" i="12"/>
  <c r="L17" i="12"/>
  <c r="M17" i="12"/>
  <c r="N17" i="12"/>
  <c r="L18" i="11" s="1"/>
  <c r="O17" i="12"/>
  <c r="P17" i="12"/>
  <c r="Q17" i="12"/>
  <c r="R17" i="12"/>
  <c r="S17" i="12"/>
  <c r="T17" i="12"/>
  <c r="U17" i="12"/>
  <c r="S18" i="11" s="1"/>
  <c r="V17" i="12"/>
  <c r="T18" i="11" s="1"/>
  <c r="W17" i="12"/>
  <c r="X17" i="12"/>
  <c r="Y17" i="12"/>
  <c r="Z17" i="12"/>
  <c r="AA17" i="12"/>
  <c r="AB17" i="12"/>
  <c r="E28" i="12"/>
  <c r="F27" i="12"/>
  <c r="F28" i="12" s="1"/>
  <c r="F37" i="12" s="1"/>
  <c r="G27" i="12"/>
  <c r="G28" i="12" s="1"/>
  <c r="H27" i="12"/>
  <c r="H28" i="12" s="1"/>
  <c r="I27" i="12"/>
  <c r="I28" i="12" s="1"/>
  <c r="J27" i="12"/>
  <c r="J28" i="12" s="1"/>
  <c r="K27" i="12"/>
  <c r="K28" i="12" s="1"/>
  <c r="L27" i="12"/>
  <c r="L28" i="12" s="1"/>
  <c r="M27" i="12"/>
  <c r="M28" i="12" s="1"/>
  <c r="N27" i="12"/>
  <c r="N28" i="12" s="1"/>
  <c r="O27" i="12"/>
  <c r="O28" i="12" s="1"/>
  <c r="P27" i="12"/>
  <c r="P28" i="12" s="1"/>
  <c r="Q27" i="12"/>
  <c r="Q28" i="12" s="1"/>
  <c r="Q9" i="6" s="1"/>
  <c r="R27" i="12"/>
  <c r="R28" i="12" s="1"/>
  <c r="R9" i="6" s="1"/>
  <c r="Q17" i="54" s="1"/>
  <c r="S27" i="12"/>
  <c r="S28" i="12" s="1"/>
  <c r="S9" i="6" s="1"/>
  <c r="R17" i="54" s="1"/>
  <c r="T27" i="12"/>
  <c r="T28" i="12" s="1"/>
  <c r="T9" i="6" s="1"/>
  <c r="S17" i="54" s="1"/>
  <c r="U27" i="12"/>
  <c r="U28" i="12" s="1"/>
  <c r="U9" i="6" s="1"/>
  <c r="T17" i="54" s="1"/>
  <c r="V27" i="12"/>
  <c r="V28" i="12" s="1"/>
  <c r="V9" i="6" s="1"/>
  <c r="W27" i="12"/>
  <c r="W28" i="12" s="1"/>
  <c r="W9" i="6" s="1"/>
  <c r="V17" i="54" s="1"/>
  <c r="X27" i="12"/>
  <c r="X28" i="12" s="1"/>
  <c r="X9" i="6" s="1"/>
  <c r="W17" i="54" s="1"/>
  <c r="Y27" i="12"/>
  <c r="Y28" i="12" s="1"/>
  <c r="Y9" i="6" s="1"/>
  <c r="Z27" i="12"/>
  <c r="Z28" i="12" s="1"/>
  <c r="Z9" i="6" s="1"/>
  <c r="AA27" i="12"/>
  <c r="AA28" i="12" s="1"/>
  <c r="AA9" i="6" s="1"/>
  <c r="Z17" i="54" s="1"/>
  <c r="AB27" i="12"/>
  <c r="AB28" i="12" s="1"/>
  <c r="AB9" i="6" s="1"/>
  <c r="AA17" i="54" s="1"/>
  <c r="D34" i="54"/>
  <c r="D26" i="54"/>
  <c r="C7" i="11"/>
  <c r="C18" i="11"/>
  <c r="C40" i="13"/>
  <c r="E33" i="54"/>
  <c r="E26" i="54"/>
  <c r="D6" i="11"/>
  <c r="D7" i="11"/>
  <c r="D18" i="11"/>
  <c r="O10" i="65"/>
  <c r="P10" i="65" s="1"/>
  <c r="Q10" i="65" s="1"/>
  <c r="R10" i="65" s="1"/>
  <c r="S10" i="65" s="1"/>
  <c r="T10" i="65" s="1"/>
  <c r="U10" i="65" s="1"/>
  <c r="V10" i="65" s="1"/>
  <c r="W10" i="65" s="1"/>
  <c r="X10" i="65" s="1"/>
  <c r="Y10" i="65" s="1"/>
  <c r="Z10" i="65" s="1"/>
  <c r="C41" i="13"/>
  <c r="F34" i="54"/>
  <c r="F26" i="54"/>
  <c r="E7" i="11"/>
  <c r="E18" i="11"/>
  <c r="E19" i="11" s="1"/>
  <c r="C42" i="13"/>
  <c r="G34" i="54"/>
  <c r="G26" i="54"/>
  <c r="F7" i="11"/>
  <c r="F18" i="11"/>
  <c r="C43" i="13"/>
  <c r="H34" i="54"/>
  <c r="H26" i="54"/>
  <c r="G7" i="11"/>
  <c r="G18" i="11"/>
  <c r="I34" i="54"/>
  <c r="I26" i="54"/>
  <c r="H7" i="11"/>
  <c r="H18" i="11"/>
  <c r="J34" i="54"/>
  <c r="J26" i="54"/>
  <c r="I7" i="11"/>
  <c r="I18" i="11"/>
  <c r="K34" i="54"/>
  <c r="K26" i="54"/>
  <c r="J7" i="11"/>
  <c r="J18" i="11"/>
  <c r="L34" i="54"/>
  <c r="L26" i="54"/>
  <c r="K7" i="11"/>
  <c r="K18" i="11"/>
  <c r="L7" i="11"/>
  <c r="F21" i="13"/>
  <c r="M18" i="11"/>
  <c r="N18" i="11"/>
  <c r="Z55" i="45"/>
  <c r="Y55" i="45"/>
  <c r="X55" i="45"/>
  <c r="W55" i="45"/>
  <c r="V55" i="45"/>
  <c r="U55" i="45"/>
  <c r="T55" i="45"/>
  <c r="S55" i="45"/>
  <c r="R55" i="45"/>
  <c r="Q55" i="45"/>
  <c r="P55" i="45"/>
  <c r="O55" i="45"/>
  <c r="N55" i="45"/>
  <c r="N15" i="45" s="1"/>
  <c r="M55" i="45"/>
  <c r="M15" i="45" s="1"/>
  <c r="L55" i="45"/>
  <c r="L15" i="45" s="1"/>
  <c r="K55" i="45"/>
  <c r="K15" i="45" s="1"/>
  <c r="J55" i="45"/>
  <c r="J15" i="45" s="1"/>
  <c r="I55" i="45"/>
  <c r="I15" i="45" s="1"/>
  <c r="H55" i="45"/>
  <c r="H15" i="45" s="1"/>
  <c r="G55" i="45"/>
  <c r="G15" i="45" s="1"/>
  <c r="F55" i="45"/>
  <c r="F15" i="45" s="1"/>
  <c r="E55" i="45"/>
  <c r="E15" i="45" s="1"/>
  <c r="AK8" i="52"/>
  <c r="Q57" i="52"/>
  <c r="R57" i="52"/>
  <c r="S57" i="52"/>
  <c r="T57" i="52"/>
  <c r="U57" i="52"/>
  <c r="V57" i="52"/>
  <c r="W57" i="52"/>
  <c r="Y57" i="52"/>
  <c r="Z57" i="52"/>
  <c r="AA57" i="52"/>
  <c r="AB57" i="52"/>
  <c r="AC57" i="52"/>
  <c r="AD57" i="52"/>
  <c r="AE57" i="52"/>
  <c r="AF57" i="52"/>
  <c r="AG57" i="52"/>
  <c r="AH57" i="52"/>
  <c r="AI57" i="52"/>
  <c r="AJ57" i="52"/>
  <c r="AK57" i="52"/>
  <c r="AL57" i="52"/>
  <c r="C64" i="65"/>
  <c r="C16" i="65" s="1"/>
  <c r="D64" i="65"/>
  <c r="D16" i="65" s="1"/>
  <c r="O19" i="65" s="1"/>
  <c r="F64" i="65"/>
  <c r="F16" i="65" s="1"/>
  <c r="G64" i="65"/>
  <c r="G16" i="65" s="1"/>
  <c r="H64" i="65"/>
  <c r="H16" i="65" s="1"/>
  <c r="I64" i="65"/>
  <c r="I16" i="65" s="1"/>
  <c r="J64" i="65"/>
  <c r="J16" i="65" s="1"/>
  <c r="L64" i="65"/>
  <c r="L16" i="65" s="1"/>
  <c r="M64" i="65"/>
  <c r="M16" i="65" s="1"/>
  <c r="N64" i="65"/>
  <c r="N16" i="65" s="1"/>
  <c r="O64" i="65"/>
  <c r="P64" i="65"/>
  <c r="Q64" i="65"/>
  <c r="R64" i="65"/>
  <c r="S64" i="65"/>
  <c r="T64" i="65"/>
  <c r="U64" i="65"/>
  <c r="V64" i="65"/>
  <c r="W64" i="65"/>
  <c r="X64" i="65"/>
  <c r="Y64" i="65"/>
  <c r="Z64" i="65"/>
  <c r="I10" i="53"/>
  <c r="J10" i="53"/>
  <c r="AI21" i="23"/>
  <c r="P25" i="10"/>
  <c r="Q25" i="10"/>
  <c r="R25" i="10"/>
  <c r="S25" i="10"/>
  <c r="T25" i="10"/>
  <c r="T32" i="54"/>
  <c r="U25" i="10"/>
  <c r="V25" i="10"/>
  <c r="W25" i="10"/>
  <c r="W32" i="54"/>
  <c r="X25" i="10"/>
  <c r="Y25" i="10"/>
  <c r="Z25" i="10"/>
  <c r="AA25" i="10"/>
  <c r="AH13" i="23"/>
  <c r="AH20" i="23"/>
  <c r="AD33" i="6"/>
  <c r="AE33" i="6"/>
  <c r="AD34" i="6"/>
  <c r="AE34" i="6"/>
  <c r="AI20" i="23"/>
  <c r="AD28" i="6"/>
  <c r="AE28" i="6"/>
  <c r="AD36" i="6"/>
  <c r="AE36" i="6"/>
  <c r="AD40" i="6"/>
  <c r="AE40" i="6"/>
  <c r="AD37" i="6"/>
  <c r="AD44" i="6"/>
  <c r="AE44" i="6"/>
  <c r="AD45" i="6"/>
  <c r="AE45" i="6"/>
  <c r="E5" i="48"/>
  <c r="E10" i="48" s="1"/>
  <c r="AH28" i="23"/>
  <c r="AI26" i="23"/>
  <c r="AH26" i="23"/>
  <c r="AH27" i="23"/>
  <c r="AI15" i="23"/>
  <c r="AI13" i="23"/>
  <c r="AI11" i="23"/>
  <c r="AI7" i="23"/>
  <c r="AC25" i="54"/>
  <c r="D32" i="54"/>
  <c r="E32" i="54"/>
  <c r="F32" i="54"/>
  <c r="G32" i="54"/>
  <c r="H32" i="54"/>
  <c r="I32" i="54"/>
  <c r="K32" i="54"/>
  <c r="B18" i="53"/>
  <c r="B19" i="53"/>
  <c r="F10" i="48"/>
  <c r="C13" i="53" s="1"/>
  <c r="G10" i="48"/>
  <c r="D13" i="53" s="1"/>
  <c r="E13" i="53"/>
  <c r="I10" i="48"/>
  <c r="F13" i="53" s="1"/>
  <c r="J10" i="48"/>
  <c r="G13" i="53" s="1"/>
  <c r="K10" i="48"/>
  <c r="L10" i="48"/>
  <c r="I13" i="53" s="1"/>
  <c r="M10" i="48"/>
  <c r="J13" i="53" s="1"/>
  <c r="N10" i="48"/>
  <c r="K13" i="53" s="1"/>
  <c r="O10" i="48"/>
  <c r="L13" i="53" s="1"/>
  <c r="P10" i="48"/>
  <c r="M13" i="53" s="1"/>
  <c r="Q10" i="48"/>
  <c r="N13" i="53" s="1"/>
  <c r="R10" i="48"/>
  <c r="S10" i="48"/>
  <c r="P13" i="53" s="1"/>
  <c r="P20" i="53" s="1"/>
  <c r="T10" i="48"/>
  <c r="Q13" i="53" s="1"/>
  <c r="Q20" i="53" s="1"/>
  <c r="U10" i="48"/>
  <c r="R13" i="53" s="1"/>
  <c r="R20" i="53" s="1"/>
  <c r="V10" i="48"/>
  <c r="S13" i="53" s="1"/>
  <c r="S20" i="53" s="1"/>
  <c r="W10" i="48"/>
  <c r="T13" i="53" s="1"/>
  <c r="T20" i="53" s="1"/>
  <c r="X10" i="48"/>
  <c r="U13" i="53" s="1"/>
  <c r="U20" i="53" s="1"/>
  <c r="Y10" i="48"/>
  <c r="Z10" i="48"/>
  <c r="AA10" i="48"/>
  <c r="X13" i="53" s="1"/>
  <c r="X20" i="53" s="1"/>
  <c r="AB10" i="48"/>
  <c r="AC10" i="48"/>
  <c r="Z13" i="53" s="1"/>
  <c r="Z20" i="53" s="1"/>
  <c r="B17" i="53"/>
  <c r="B20" i="53"/>
  <c r="AD25" i="54"/>
  <c r="R32" i="54"/>
  <c r="U32" i="54"/>
  <c r="Q32" i="54"/>
  <c r="S32" i="54"/>
  <c r="C12" i="12"/>
  <c r="B27" i="12"/>
  <c r="O22" i="11"/>
  <c r="P22" i="11"/>
  <c r="Q22" i="11"/>
  <c r="R22" i="11"/>
  <c r="S22" i="11"/>
  <c r="T22" i="11"/>
  <c r="U22" i="11"/>
  <c r="V22" i="11"/>
  <c r="W22" i="11"/>
  <c r="X22" i="11"/>
  <c r="Y22" i="11"/>
  <c r="Z22" i="11"/>
  <c r="AD16" i="6"/>
  <c r="AE16" i="6"/>
  <c r="AD14" i="6"/>
  <c r="AE14" i="6"/>
  <c r="AD15" i="6"/>
  <c r="AE15" i="6"/>
  <c r="AD17" i="6"/>
  <c r="AE17" i="6"/>
  <c r="AD19" i="6"/>
  <c r="AE19" i="6"/>
  <c r="AD20" i="6"/>
  <c r="AE20" i="6"/>
  <c r="AD24" i="6"/>
  <c r="AE24" i="6"/>
  <c r="AD26" i="6"/>
  <c r="AE26" i="6"/>
  <c r="B23" i="12"/>
  <c r="B22" i="12"/>
  <c r="B21" i="12"/>
  <c r="B20" i="12"/>
  <c r="C10" i="12"/>
  <c r="C9" i="12"/>
  <c r="AD10" i="12"/>
  <c r="AD9" i="12"/>
  <c r="Q18" i="11"/>
  <c r="W18" i="11"/>
  <c r="Y18" i="11"/>
  <c r="U18" i="11"/>
  <c r="O18" i="11"/>
  <c r="Z18" i="11"/>
  <c r="X18" i="11"/>
  <c r="V18" i="11"/>
  <c r="R18" i="11"/>
  <c r="P18" i="11"/>
  <c r="AE12" i="12"/>
  <c r="AD12" i="12"/>
  <c r="AD11" i="12"/>
  <c r="AE11" i="12"/>
  <c r="AH6" i="23"/>
  <c r="AD6" i="6"/>
  <c r="AD9" i="6"/>
  <c r="AD41" i="6"/>
  <c r="L32" i="54"/>
  <c r="X32" i="54"/>
  <c r="J32" i="54"/>
  <c r="O13" i="10"/>
  <c r="V32" i="54"/>
  <c r="C32" i="10"/>
  <c r="D31" i="54"/>
  <c r="E31" i="54"/>
  <c r="F31" i="54"/>
  <c r="G31" i="54"/>
  <c r="H31" i="54"/>
  <c r="I31" i="54"/>
  <c r="J31" i="54"/>
  <c r="K31" i="54"/>
  <c r="L31" i="54"/>
  <c r="C16" i="10"/>
  <c r="P31" i="54"/>
  <c r="Q31" i="54"/>
  <c r="R31" i="54"/>
  <c r="S31" i="54"/>
  <c r="T31" i="54"/>
  <c r="U31" i="54"/>
  <c r="V31" i="54"/>
  <c r="W31" i="54"/>
  <c r="X31" i="54"/>
  <c r="Y31" i="54"/>
  <c r="AA31" i="54"/>
  <c r="Z31" i="54"/>
  <c r="AD30" i="6"/>
  <c r="C10" i="10"/>
  <c r="Q57" i="23"/>
  <c r="R57" i="23"/>
  <c r="AI27" i="23"/>
  <c r="AH7" i="23"/>
  <c r="AH12" i="23"/>
  <c r="AI28" i="23"/>
  <c r="AD5" i="6"/>
  <c r="AG8" i="52"/>
  <c r="AL8" i="52"/>
  <c r="AJ8" i="52"/>
  <c r="AH8" i="52"/>
  <c r="AF8" i="52"/>
  <c r="AD8" i="52"/>
  <c r="E38" i="12"/>
  <c r="D15" i="10" s="1"/>
  <c r="H33" i="54"/>
  <c r="G6" i="11"/>
  <c r="F33" i="54"/>
  <c r="E6" i="11"/>
  <c r="K6" i="11"/>
  <c r="L33" i="54"/>
  <c r="AD13" i="12"/>
  <c r="I6" i="11"/>
  <c r="C17" i="11"/>
  <c r="K33" i="54"/>
  <c r="J6" i="11"/>
  <c r="G33" i="54"/>
  <c r="F6" i="11"/>
  <c r="H6" i="11"/>
  <c r="I33" i="54"/>
  <c r="AH21" i="23"/>
  <c r="AH14" i="23"/>
  <c r="AH11" i="23"/>
  <c r="AI12" i="23"/>
  <c r="AI14" i="23"/>
  <c r="AH16" i="23"/>
  <c r="AI16" i="23"/>
  <c r="N57" i="23"/>
  <c r="L57" i="23"/>
  <c r="K57" i="23"/>
  <c r="Y57" i="23"/>
  <c r="AI6" i="23"/>
  <c r="P23" i="52"/>
  <c r="D11" i="53" s="1"/>
  <c r="F10" i="53"/>
  <c r="C44" i="13"/>
  <c r="C31" i="65"/>
  <c r="C12" i="53" s="1"/>
  <c r="G10" i="53"/>
  <c r="C45" i="13"/>
  <c r="Q23" i="52"/>
  <c r="E11" i="53" s="1"/>
  <c r="D31" i="65"/>
  <c r="D12" i="53" s="1"/>
  <c r="E31" i="65"/>
  <c r="E12" i="53" s="1"/>
  <c r="H10" i="53"/>
  <c r="C46" i="13"/>
  <c r="C6" i="11"/>
  <c r="D33" i="54"/>
  <c r="C47" i="13"/>
  <c r="C48" i="13"/>
  <c r="C21" i="53"/>
  <c r="C9" i="11"/>
  <c r="L32" i="10"/>
  <c r="D9" i="11"/>
  <c r="E9" i="11"/>
  <c r="Y13" i="12" l="1"/>
  <c r="W17" i="11" s="1"/>
  <c r="W19" i="11" s="1"/>
  <c r="Q13" i="12"/>
  <c r="O17" i="11" s="1"/>
  <c r="V13" i="12"/>
  <c r="T17" i="11" s="1"/>
  <c r="AB13" i="12"/>
  <c r="Z17" i="11" s="1"/>
  <c r="T13" i="12"/>
  <c r="R17" i="11" s="1"/>
  <c r="AA13" i="12"/>
  <c r="Y17" i="11" s="1"/>
  <c r="Y19" i="11" s="1"/>
  <c r="U13" i="12"/>
  <c r="S17" i="11" s="1"/>
  <c r="S19" i="11" s="1"/>
  <c r="Z13" i="12"/>
  <c r="X17" i="11" s="1"/>
  <c r="R13" i="12"/>
  <c r="P17" i="11" s="1"/>
  <c r="P19" i="11" s="1"/>
  <c r="W13" i="12"/>
  <c r="U17" i="11" s="1"/>
  <c r="AE9" i="12"/>
  <c r="X13" i="12"/>
  <c r="V17" i="11" s="1"/>
  <c r="V19" i="11" s="1"/>
  <c r="AE10" i="12"/>
  <c r="R19" i="11"/>
  <c r="S13" i="12"/>
  <c r="Q17" i="11" s="1"/>
  <c r="Q19" i="11" s="1"/>
  <c r="T19" i="11"/>
  <c r="U19" i="11"/>
  <c r="AE27" i="12"/>
  <c r="AE28" i="12" s="1"/>
  <c r="X19" i="11"/>
  <c r="AB22" i="11"/>
  <c r="H36" i="12"/>
  <c r="I36" i="12" s="1"/>
  <c r="J36" i="12" s="1"/>
  <c r="K36" i="12" s="1"/>
  <c r="L36" i="12" s="1"/>
  <c r="M36" i="12" s="1"/>
  <c r="N36" i="12" s="1"/>
  <c r="O36" i="12" s="1"/>
  <c r="P36" i="12" s="1"/>
  <c r="Q36" i="12" s="1"/>
  <c r="R36" i="12" s="1"/>
  <c r="S36" i="12" s="1"/>
  <c r="T36" i="12" s="1"/>
  <c r="U36" i="12" s="1"/>
  <c r="V36" i="12" s="1"/>
  <c r="W36" i="12" s="1"/>
  <c r="X36" i="12" s="1"/>
  <c r="Y36" i="12" s="1"/>
  <c r="Z36" i="12" s="1"/>
  <c r="AA36" i="12" s="1"/>
  <c r="AB36" i="12" s="1"/>
  <c r="M31" i="10"/>
  <c r="L23" i="11" s="1"/>
  <c r="L25" i="11" s="1"/>
  <c r="E104" i="13"/>
  <c r="F104" i="13" s="1"/>
  <c r="D105" i="13" s="1"/>
  <c r="F22" i="13"/>
  <c r="M26" i="10"/>
  <c r="F77" i="13"/>
  <c r="N9" i="10"/>
  <c r="C19" i="11"/>
  <c r="AB17" i="11"/>
  <c r="AC18" i="11"/>
  <c r="AB18" i="11"/>
  <c r="AC22" i="11"/>
  <c r="F19" i="11"/>
  <c r="F40" i="13"/>
  <c r="E27" i="10" s="1"/>
  <c r="D13" i="11" s="1"/>
  <c r="P13" i="10"/>
  <c r="Q13" i="10" s="1"/>
  <c r="R13" i="10" s="1"/>
  <c r="S13" i="10" s="1"/>
  <c r="T13" i="10" s="1"/>
  <c r="U13" i="10" s="1"/>
  <c r="V13" i="10" s="1"/>
  <c r="W13" i="10" s="1"/>
  <c r="X13" i="10" s="1"/>
  <c r="Y13" i="10" s="1"/>
  <c r="Z13" i="10" s="1"/>
  <c r="AA13" i="10" s="1"/>
  <c r="D23" i="10"/>
  <c r="AD27" i="12"/>
  <c r="AD28" i="12" s="1"/>
  <c r="F20" i="12"/>
  <c r="E20" i="12"/>
  <c r="Y17" i="54"/>
  <c r="Y34" i="54" s="1"/>
  <c r="U17" i="54"/>
  <c r="U34" i="54" s="1"/>
  <c r="X17" i="54"/>
  <c r="X34" i="54" s="1"/>
  <c r="P17" i="54"/>
  <c r="P34" i="54" s="1"/>
  <c r="N19" i="11"/>
  <c r="L19" i="11"/>
  <c r="G19" i="11"/>
  <c r="Y47" i="23"/>
  <c r="Y51" i="23"/>
  <c r="AI37" i="23"/>
  <c r="Z19" i="11"/>
  <c r="O19" i="11"/>
  <c r="M19" i="11"/>
  <c r="J19" i="11"/>
  <c r="AE13" i="12"/>
  <c r="G37" i="12"/>
  <c r="H37" i="12" s="1"/>
  <c r="I37" i="12" s="1"/>
  <c r="J37" i="12" s="1"/>
  <c r="K37" i="12" s="1"/>
  <c r="L37" i="12" s="1"/>
  <c r="M37" i="12" s="1"/>
  <c r="N37" i="12" s="1"/>
  <c r="O37" i="12" s="1"/>
  <c r="P37" i="12" s="1"/>
  <c r="Q37" i="12" s="1"/>
  <c r="R37" i="12" s="1"/>
  <c r="S37" i="12" s="1"/>
  <c r="T37" i="12" s="1"/>
  <c r="U37" i="12" s="1"/>
  <c r="V37" i="12" s="1"/>
  <c r="W37" i="12" s="1"/>
  <c r="X37" i="12" s="1"/>
  <c r="Y37" i="12" s="1"/>
  <c r="Z37" i="12" s="1"/>
  <c r="AA37" i="12" s="1"/>
  <c r="AB37" i="12" s="1"/>
  <c r="AA34" i="54"/>
  <c r="Z7" i="11"/>
  <c r="W34" i="54"/>
  <c r="V7" i="11"/>
  <c r="S34" i="54"/>
  <c r="R7" i="11"/>
  <c r="Q34" i="54"/>
  <c r="P7" i="11"/>
  <c r="V34" i="54"/>
  <c r="U7" i="11"/>
  <c r="T34" i="54"/>
  <c r="S7" i="11"/>
  <c r="R34" i="54"/>
  <c r="Q7" i="11"/>
  <c r="C18" i="10"/>
  <c r="C34" i="10" s="1"/>
  <c r="H21" i="12"/>
  <c r="I21" i="12"/>
  <c r="J21" i="12"/>
  <c r="K21" i="12"/>
  <c r="F21" i="12"/>
  <c r="G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E22" i="12"/>
  <c r="F22" i="12"/>
  <c r="G22" i="12"/>
  <c r="K22" i="12"/>
  <c r="L22" i="12"/>
  <c r="M22" i="12"/>
  <c r="H22" i="12"/>
  <c r="I22" i="12"/>
  <c r="J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K19" i="11"/>
  <c r="I19" i="11"/>
  <c r="H19" i="11"/>
  <c r="F32" i="12"/>
  <c r="G32" i="12" s="1"/>
  <c r="H32" i="12" s="1"/>
  <c r="I32" i="12" s="1"/>
  <c r="J32" i="12" s="1"/>
  <c r="G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H20" i="12"/>
  <c r="I20" i="12"/>
  <c r="J20" i="12"/>
  <c r="K20" i="12"/>
  <c r="H23" i="12"/>
  <c r="I23" i="12"/>
  <c r="J23" i="12"/>
  <c r="E23" i="12"/>
  <c r="F23" i="12"/>
  <c r="G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N22" i="12"/>
  <c r="O22" i="12"/>
  <c r="P22" i="12"/>
  <c r="D19" i="11"/>
  <c r="AC31" i="54"/>
  <c r="P32" i="54"/>
  <c r="U26" i="54"/>
  <c r="T26" i="54"/>
  <c r="Q26" i="54"/>
  <c r="V26" i="54"/>
  <c r="S26" i="54"/>
  <c r="R26" i="54"/>
  <c r="U57" i="23"/>
  <c r="AA12" i="52"/>
  <c r="Y7" i="11"/>
  <c r="T7" i="11"/>
  <c r="O7" i="11"/>
  <c r="AE37" i="6"/>
  <c r="W7" i="11"/>
  <c r="AE41" i="6"/>
  <c r="X7" i="11"/>
  <c r="AE9" i="6"/>
  <c r="AE6" i="6"/>
  <c r="AH37" i="23"/>
  <c r="M7" i="11"/>
  <c r="AD31" i="54"/>
  <c r="I57" i="23"/>
  <c r="Z26" i="54"/>
  <c r="X26" i="54"/>
  <c r="W26" i="54"/>
  <c r="P26" i="54"/>
  <c r="N6" i="11"/>
  <c r="M6" i="11"/>
  <c r="AD8" i="6"/>
  <c r="AH15" i="23"/>
  <c r="AF57" i="23"/>
  <c r="AD57" i="23"/>
  <c r="AB57" i="23"/>
  <c r="E21" i="12"/>
  <c r="J57" i="23"/>
  <c r="Z34" i="54"/>
  <c r="AC17" i="54"/>
  <c r="L6" i="11"/>
  <c r="N7" i="11"/>
  <c r="AD39" i="6"/>
  <c r="AD27" i="6"/>
  <c r="AD13" i="6"/>
  <c r="O9" i="65"/>
  <c r="P9" i="65" s="1"/>
  <c r="Q9" i="65" s="1"/>
  <c r="R9" i="65" s="1"/>
  <c r="S9" i="65" s="1"/>
  <c r="T9" i="65" s="1"/>
  <c r="U9" i="65" s="1"/>
  <c r="V9" i="65" s="1"/>
  <c r="W9" i="65" s="1"/>
  <c r="X9" i="65" s="1"/>
  <c r="Y9" i="65" s="1"/>
  <c r="Z9" i="65" s="1"/>
  <c r="D21" i="53"/>
  <c r="D14" i="53"/>
  <c r="P8" i="51" s="1"/>
  <c r="E14" i="53"/>
  <c r="Q8" i="51" s="1"/>
  <c r="E21" i="53"/>
  <c r="AI14" i="52"/>
  <c r="AC8" i="52"/>
  <c r="AE20" i="52" s="1"/>
  <c r="AE12" i="52"/>
  <c r="AJ12" i="52"/>
  <c r="AH14" i="52"/>
  <c r="AK11" i="52"/>
  <c r="AK21" i="52"/>
  <c r="AB18" i="52"/>
  <c r="AC17" i="52"/>
  <c r="AJ22" i="52"/>
  <c r="AJ20" i="52"/>
  <c r="AK19" i="52"/>
  <c r="AB16" i="52"/>
  <c r="AC15" i="52"/>
  <c r="AI20" i="52"/>
  <c r="AB15" i="52"/>
  <c r="AC14" i="52"/>
  <c r="O22" i="65"/>
  <c r="P21" i="65"/>
  <c r="Q20" i="65"/>
  <c r="AE8" i="52"/>
  <c r="AE16" i="52"/>
  <c r="AI12" i="52"/>
  <c r="AB20" i="52"/>
  <c r="AC19" i="52"/>
  <c r="AB19" i="52"/>
  <c r="AC18" i="52"/>
  <c r="AI8" i="52"/>
  <c r="AH20" i="52"/>
  <c r="AK17" i="52"/>
  <c r="AB14" i="52"/>
  <c r="AC13" i="52"/>
  <c r="AJ18" i="52"/>
  <c r="AJ16" i="52"/>
  <c r="AK15" i="52"/>
  <c r="AB12" i="52"/>
  <c r="P20" i="65"/>
  <c r="AC11" i="52"/>
  <c r="Q19" i="65"/>
  <c r="AH18" i="52"/>
  <c r="O21" i="65"/>
  <c r="AE18" i="52"/>
  <c r="AI16" i="52"/>
  <c r="O20" i="65"/>
  <c r="AB11" i="52"/>
  <c r="P19" i="65"/>
  <c r="O13" i="53"/>
  <c r="O20" i="53" s="1"/>
  <c r="H13" i="53"/>
  <c r="Y13" i="53"/>
  <c r="Y20" i="53" s="1"/>
  <c r="W13" i="53"/>
  <c r="W20" i="53" s="1"/>
  <c r="V13" i="53"/>
  <c r="V20" i="53" s="1"/>
  <c r="AH22" i="52"/>
  <c r="AH12" i="52"/>
  <c r="AC17" i="11" l="1"/>
  <c r="AC19" i="11"/>
  <c r="AB19" i="11"/>
  <c r="M32" i="10"/>
  <c r="AB7" i="11"/>
  <c r="AB6" i="11"/>
  <c r="F78" i="13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O9" i="10"/>
  <c r="N31" i="10"/>
  <c r="M23" i="11" s="1"/>
  <c r="M25" i="11" s="1"/>
  <c r="E105" i="13"/>
  <c r="F105" i="13" s="1"/>
  <c r="D106" i="13" s="1"/>
  <c r="F23" i="13"/>
  <c r="N26" i="10"/>
  <c r="AC7" i="11"/>
  <c r="C25" i="11"/>
  <c r="C12" i="11"/>
  <c r="D28" i="10"/>
  <c r="E23" i="10"/>
  <c r="K32" i="12"/>
  <c r="AD17" i="54"/>
  <c r="S24" i="12"/>
  <c r="AD34" i="54"/>
  <c r="T12" i="54"/>
  <c r="AD47" i="23"/>
  <c r="AD51" i="23"/>
  <c r="U47" i="23"/>
  <c r="U51" i="23"/>
  <c r="AB47" i="23"/>
  <c r="AB51" i="23"/>
  <c r="AF47" i="23"/>
  <c r="AF51" i="23"/>
  <c r="AD23" i="12"/>
  <c r="AA24" i="12"/>
  <c r="AA8" i="6" s="1"/>
  <c r="W24" i="12"/>
  <c r="W8" i="6" s="1"/>
  <c r="G24" i="12"/>
  <c r="K24" i="12"/>
  <c r="F38" i="12"/>
  <c r="E15" i="10" s="1"/>
  <c r="G38" i="12" s="1"/>
  <c r="F15" i="10" s="1"/>
  <c r="H38" i="12" s="1"/>
  <c r="G15" i="10" s="1"/>
  <c r="AE23" i="12"/>
  <c r="J24" i="12"/>
  <c r="H24" i="12"/>
  <c r="Y24" i="12"/>
  <c r="U24" i="12"/>
  <c r="AE20" i="12"/>
  <c r="Q24" i="12"/>
  <c r="M24" i="12"/>
  <c r="AD20" i="12"/>
  <c r="AE22" i="12"/>
  <c r="I24" i="12"/>
  <c r="AB24" i="12"/>
  <c r="Z24" i="12"/>
  <c r="X24" i="12"/>
  <c r="V24" i="12"/>
  <c r="T24" i="12"/>
  <c r="R24" i="12"/>
  <c r="P24" i="12"/>
  <c r="N24" i="12"/>
  <c r="L24" i="12"/>
  <c r="F24" i="12"/>
  <c r="AD22" i="12"/>
  <c r="AE21" i="12"/>
  <c r="O24" i="12"/>
  <c r="AC26" i="54"/>
  <c r="Z32" i="54"/>
  <c r="O23" i="52"/>
  <c r="C11" i="53" s="1"/>
  <c r="C14" i="53" s="1"/>
  <c r="O8" i="51" s="1"/>
  <c r="M10" i="53"/>
  <c r="AD11" i="6"/>
  <c r="AE11" i="6"/>
  <c r="D25" i="11"/>
  <c r="E32" i="10"/>
  <c r="C36" i="10"/>
  <c r="C40" i="10" s="1"/>
  <c r="AC33" i="54"/>
  <c r="AC57" i="23"/>
  <c r="AE57" i="23"/>
  <c r="AC16" i="54"/>
  <c r="AI17" i="23"/>
  <c r="AI57" i="23" s="1"/>
  <c r="M57" i="23"/>
  <c r="W57" i="23"/>
  <c r="AA57" i="23"/>
  <c r="O57" i="23"/>
  <c r="AH17" i="23"/>
  <c r="AH57" i="23" s="1"/>
  <c r="S57" i="23"/>
  <c r="X57" i="23"/>
  <c r="P57" i="23"/>
  <c r="AC34" i="54"/>
  <c r="T57" i="23"/>
  <c r="Z57" i="23"/>
  <c r="V57" i="23"/>
  <c r="AD21" i="12"/>
  <c r="E24" i="12"/>
  <c r="E33" i="12" s="1"/>
  <c r="F33" i="12" s="1"/>
  <c r="AE39" i="6"/>
  <c r="C49" i="13"/>
  <c r="AE13" i="6"/>
  <c r="G31" i="65"/>
  <c r="G12" i="53" s="1"/>
  <c r="F31" i="65"/>
  <c r="F12" i="53" s="1"/>
  <c r="AL14" i="52"/>
  <c r="K10" i="53"/>
  <c r="L10" i="53"/>
  <c r="AL20" i="52"/>
  <c r="AL18" i="52"/>
  <c r="AL22" i="52"/>
  <c r="AL16" i="52"/>
  <c r="AL13" i="52"/>
  <c r="AK14" i="52"/>
  <c r="AG18" i="52"/>
  <c r="AF19" i="52"/>
  <c r="AD21" i="52"/>
  <c r="AL11" i="52"/>
  <c r="AF17" i="52"/>
  <c r="AD19" i="52"/>
  <c r="AI17" i="52"/>
  <c r="AG19" i="52"/>
  <c r="AF20" i="52"/>
  <c r="AD22" i="52"/>
  <c r="AE21" i="52"/>
  <c r="AI19" i="52"/>
  <c r="AG21" i="52"/>
  <c r="AF22" i="52"/>
  <c r="AG12" i="52"/>
  <c r="AF13" i="52"/>
  <c r="AD15" i="52"/>
  <c r="AG14" i="52"/>
  <c r="AF15" i="52"/>
  <c r="AD17" i="52"/>
  <c r="AD12" i="52"/>
  <c r="R20" i="65"/>
  <c r="AE11" i="52"/>
  <c r="S19" i="65"/>
  <c r="AG11" i="52"/>
  <c r="AF12" i="52"/>
  <c r="AD14" i="52"/>
  <c r="AE13" i="52"/>
  <c r="AC22" i="52"/>
  <c r="AJ15" i="52"/>
  <c r="AH17" i="52"/>
  <c r="AG16" i="52"/>
  <c r="AK12" i="52"/>
  <c r="AJ13" i="52"/>
  <c r="AH15" i="52"/>
  <c r="AC16" i="52"/>
  <c r="AB17" i="52"/>
  <c r="AL21" i="52"/>
  <c r="AK22" i="52"/>
  <c r="AH11" i="52"/>
  <c r="AE14" i="52"/>
  <c r="AJ11" i="52"/>
  <c r="AH13" i="52"/>
  <c r="AB8" i="52"/>
  <c r="AC12" i="52"/>
  <c r="AB13" i="52"/>
  <c r="AL17" i="52"/>
  <c r="AK18" i="52"/>
  <c r="AG22" i="52"/>
  <c r="AJ19" i="52"/>
  <c r="AH21" i="52"/>
  <c r="AI21" i="52"/>
  <c r="AI11" i="52"/>
  <c r="AG13" i="52"/>
  <c r="AF14" i="52"/>
  <c r="AD16" i="52"/>
  <c r="AE15" i="52"/>
  <c r="AI13" i="52"/>
  <c r="AG15" i="52"/>
  <c r="AF16" i="52"/>
  <c r="AD18" i="52"/>
  <c r="AE17" i="52"/>
  <c r="AD11" i="52"/>
  <c r="R19" i="65"/>
  <c r="AF11" i="52"/>
  <c r="AD13" i="52"/>
  <c r="AC20" i="52"/>
  <c r="AB21" i="52"/>
  <c r="AI42" i="23"/>
  <c r="AH42" i="23"/>
  <c r="N32" i="10" l="1"/>
  <c r="R8" i="6"/>
  <c r="Q16" i="54" s="1"/>
  <c r="Q33" i="54" s="1"/>
  <c r="V8" i="6"/>
  <c r="U16" i="54" s="1"/>
  <c r="U33" i="54" s="1"/>
  <c r="Z8" i="6"/>
  <c r="Y16" i="54" s="1"/>
  <c r="Y33" i="54" s="1"/>
  <c r="Q8" i="6"/>
  <c r="P16" i="54" s="1"/>
  <c r="P33" i="54" s="1"/>
  <c r="U8" i="6"/>
  <c r="T16" i="54" s="1"/>
  <c r="T33" i="54" s="1"/>
  <c r="T8" i="6"/>
  <c r="S16" i="54" s="1"/>
  <c r="S33" i="54" s="1"/>
  <c r="X8" i="6"/>
  <c r="W16" i="54" s="1"/>
  <c r="W33" i="54" s="1"/>
  <c r="AB8" i="6"/>
  <c r="AA16" i="54" s="1"/>
  <c r="AA33" i="54" s="1"/>
  <c r="Y8" i="6"/>
  <c r="X16" i="54" s="1"/>
  <c r="X33" i="54" s="1"/>
  <c r="S8" i="6"/>
  <c r="Q6" i="11" s="1"/>
  <c r="AA12" i="54"/>
  <c r="W12" i="54"/>
  <c r="P12" i="54"/>
  <c r="Y12" i="54"/>
  <c r="F24" i="13"/>
  <c r="O26" i="10"/>
  <c r="O31" i="10"/>
  <c r="E106" i="13"/>
  <c r="F106" i="13" s="1"/>
  <c r="D107" i="13" s="1"/>
  <c r="D12" i="11"/>
  <c r="E28" i="10"/>
  <c r="F23" i="10"/>
  <c r="L32" i="12"/>
  <c r="U6" i="11"/>
  <c r="V16" i="54"/>
  <c r="V33" i="54" s="1"/>
  <c r="Y6" i="11"/>
  <c r="Z16" i="54"/>
  <c r="Z33" i="54" s="1"/>
  <c r="Z47" i="23"/>
  <c r="Z51" i="23"/>
  <c r="X47" i="23"/>
  <c r="X51" i="23"/>
  <c r="AA47" i="23"/>
  <c r="AA51" i="23"/>
  <c r="W47" i="23"/>
  <c r="W51" i="23"/>
  <c r="AC47" i="23"/>
  <c r="AC51" i="23"/>
  <c r="V47" i="23"/>
  <c r="V51" i="23"/>
  <c r="AE47" i="23"/>
  <c r="AE51" i="23"/>
  <c r="AD24" i="12"/>
  <c r="AE24" i="12"/>
  <c r="P6" i="11"/>
  <c r="T6" i="11"/>
  <c r="X6" i="11"/>
  <c r="I38" i="12"/>
  <c r="H15" i="10" s="1"/>
  <c r="Z6" i="11"/>
  <c r="O6" i="11"/>
  <c r="S6" i="11"/>
  <c r="AA32" i="54"/>
  <c r="AA26" i="54"/>
  <c r="AC32" i="54"/>
  <c r="Y32" i="54"/>
  <c r="AD32" i="54" s="1"/>
  <c r="Y26" i="54"/>
  <c r="AD26" i="54"/>
  <c r="E25" i="11"/>
  <c r="F32" i="10"/>
  <c r="E34" i="12"/>
  <c r="D14" i="10" s="1"/>
  <c r="D16" i="10" s="1"/>
  <c r="AD48" i="6"/>
  <c r="C50" i="13"/>
  <c r="AD21" i="6"/>
  <c r="AE27" i="6"/>
  <c r="H31" i="65"/>
  <c r="H12" i="53" s="1"/>
  <c r="O23" i="65"/>
  <c r="P22" i="65"/>
  <c r="Q21" i="65"/>
  <c r="N10" i="53"/>
  <c r="J55" i="23"/>
  <c r="I55" i="23"/>
  <c r="I58" i="23"/>
  <c r="I56" i="23"/>
  <c r="I54" i="23"/>
  <c r="J58" i="23"/>
  <c r="J56" i="23"/>
  <c r="J54" i="23"/>
  <c r="K58" i="23"/>
  <c r="K56" i="23"/>
  <c r="K54" i="23"/>
  <c r="K55" i="23"/>
  <c r="AE22" i="52"/>
  <c r="AI18" i="52"/>
  <c r="AF21" i="52"/>
  <c r="AL15" i="52"/>
  <c r="AD20" i="52"/>
  <c r="AD23" i="52" s="1"/>
  <c r="R11" i="53" s="1"/>
  <c r="R18" i="53" s="1"/>
  <c r="F11" i="53"/>
  <c r="AG17" i="52"/>
  <c r="U23" i="52"/>
  <c r="I11" i="53" s="1"/>
  <c r="AK13" i="52"/>
  <c r="Y23" i="52"/>
  <c r="M11" i="53" s="1"/>
  <c r="AI15" i="52"/>
  <c r="W23" i="52"/>
  <c r="K11" i="53" s="1"/>
  <c r="AA23" i="52"/>
  <c r="O11" i="53" s="1"/>
  <c r="O18" i="53" s="1"/>
  <c r="AJ21" i="52"/>
  <c r="AK20" i="52"/>
  <c r="AH19" i="52"/>
  <c r="AJ17" i="52"/>
  <c r="AG20" i="52"/>
  <c r="AK16" i="52"/>
  <c r="AE19" i="52"/>
  <c r="S23" i="52"/>
  <c r="G11" i="53" s="1"/>
  <c r="AF18" i="52"/>
  <c r="T23" i="52"/>
  <c r="H11" i="53" s="1"/>
  <c r="AH16" i="52"/>
  <c r="V23" i="52"/>
  <c r="J11" i="53" s="1"/>
  <c r="AL12" i="52"/>
  <c r="Z23" i="52"/>
  <c r="N11" i="53" s="1"/>
  <c r="AJ14" i="52"/>
  <c r="X23" i="52"/>
  <c r="L11" i="53" s="1"/>
  <c r="AC21" i="52"/>
  <c r="AC23" i="52" s="1"/>
  <c r="Q11" i="53" s="1"/>
  <c r="Q18" i="53" s="1"/>
  <c r="AB22" i="52"/>
  <c r="AB23" i="52" s="1"/>
  <c r="P11" i="53" s="1"/>
  <c r="P18" i="53" s="1"/>
  <c r="AI22" i="52"/>
  <c r="AL19" i="52"/>
  <c r="R16" i="54" l="1"/>
  <c r="R33" i="54" s="1"/>
  <c r="AD33" i="54" s="1"/>
  <c r="W6" i="11"/>
  <c r="AE8" i="6"/>
  <c r="V6" i="11"/>
  <c r="R6" i="11"/>
  <c r="N23" i="11"/>
  <c r="O32" i="10"/>
  <c r="P31" i="10"/>
  <c r="E107" i="13"/>
  <c r="F107" i="13" s="1"/>
  <c r="D108" i="13" s="1"/>
  <c r="P26" i="10"/>
  <c r="F25" i="13"/>
  <c r="Z12" i="54"/>
  <c r="Q12" i="54"/>
  <c r="X12" i="54"/>
  <c r="R12" i="54"/>
  <c r="V12" i="54"/>
  <c r="S12" i="54"/>
  <c r="U12" i="54"/>
  <c r="G23" i="10"/>
  <c r="E12" i="11"/>
  <c r="M32" i="12"/>
  <c r="K60" i="23"/>
  <c r="J60" i="23"/>
  <c r="I60" i="23"/>
  <c r="J38" i="12"/>
  <c r="I15" i="10" s="1"/>
  <c r="AD38" i="6"/>
  <c r="AI47" i="23"/>
  <c r="AI51" i="23"/>
  <c r="F25" i="11"/>
  <c r="G32" i="10"/>
  <c r="G33" i="12"/>
  <c r="F34" i="12"/>
  <c r="E14" i="10" s="1"/>
  <c r="E16" i="10" s="1"/>
  <c r="C51" i="13"/>
  <c r="O24" i="65"/>
  <c r="S20" i="65"/>
  <c r="I31" i="65"/>
  <c r="I12" i="53" s="1"/>
  <c r="P23" i="65"/>
  <c r="Q22" i="65"/>
  <c r="T19" i="65"/>
  <c r="R21" i="65"/>
  <c r="P24" i="10"/>
  <c r="O10" i="53"/>
  <c r="O17" i="53" s="1"/>
  <c r="AK23" i="52"/>
  <c r="Y11" i="53" s="1"/>
  <c r="Y18" i="53" s="1"/>
  <c r="AI23" i="52"/>
  <c r="W11" i="53" s="1"/>
  <c r="W18" i="53" s="1"/>
  <c r="AL23" i="52"/>
  <c r="Z11" i="53" s="1"/>
  <c r="Z18" i="53" s="1"/>
  <c r="AH23" i="52"/>
  <c r="V11" i="53" s="1"/>
  <c r="V18" i="53" s="1"/>
  <c r="G14" i="53"/>
  <c r="S8" i="51" s="1"/>
  <c r="G21" i="53"/>
  <c r="AE23" i="52"/>
  <c r="S11" i="53" s="1"/>
  <c r="S18" i="53" s="1"/>
  <c r="AJ23" i="52"/>
  <c r="X11" i="53" s="1"/>
  <c r="X18" i="53" s="1"/>
  <c r="AF23" i="52"/>
  <c r="T11" i="53" s="1"/>
  <c r="T18" i="53" s="1"/>
  <c r="H21" i="53"/>
  <c r="H14" i="53"/>
  <c r="T8" i="51" s="1"/>
  <c r="AG23" i="52"/>
  <c r="U11" i="53" s="1"/>
  <c r="U18" i="53" s="1"/>
  <c r="F21" i="53"/>
  <c r="F14" i="53"/>
  <c r="R8" i="51" s="1"/>
  <c r="AD16" i="54" l="1"/>
  <c r="AC6" i="11"/>
  <c r="O23" i="11"/>
  <c r="O25" i="11" s="1"/>
  <c r="P32" i="10"/>
  <c r="F26" i="13"/>
  <c r="Q26" i="10"/>
  <c r="Q31" i="10"/>
  <c r="E108" i="13"/>
  <c r="F108" i="13" s="1"/>
  <c r="D109" i="13" s="1"/>
  <c r="AB23" i="11"/>
  <c r="AB25" i="11" s="1"/>
  <c r="N25" i="11"/>
  <c r="H23" i="10"/>
  <c r="N32" i="12"/>
  <c r="K38" i="12"/>
  <c r="J15" i="10" s="1"/>
  <c r="AE38" i="6"/>
  <c r="H32" i="10"/>
  <c r="G25" i="11"/>
  <c r="I14" i="53"/>
  <c r="G34" i="12"/>
  <c r="F14" i="10" s="1"/>
  <c r="F16" i="10" s="1"/>
  <c r="H33" i="12"/>
  <c r="C52" i="13"/>
  <c r="O12" i="65"/>
  <c r="P24" i="65"/>
  <c r="Q23" i="65"/>
  <c r="J31" i="65"/>
  <c r="J12" i="53" s="1"/>
  <c r="O25" i="65"/>
  <c r="U19" i="65"/>
  <c r="T20" i="65"/>
  <c r="R22" i="65"/>
  <c r="S21" i="65"/>
  <c r="I21" i="53"/>
  <c r="Q24" i="10"/>
  <c r="P10" i="53"/>
  <c r="P17" i="53" s="1"/>
  <c r="AC15" i="54"/>
  <c r="N55" i="23"/>
  <c r="M55" i="23"/>
  <c r="F9" i="11"/>
  <c r="L55" i="23"/>
  <c r="R31" i="10" l="1"/>
  <c r="Q23" i="11" s="1"/>
  <c r="Q25" i="11" s="1"/>
  <c r="E109" i="13"/>
  <c r="F109" i="13" s="1"/>
  <c r="D110" i="13" s="1"/>
  <c r="P23" i="11"/>
  <c r="Q32" i="10"/>
  <c r="F27" i="13"/>
  <c r="R26" i="10"/>
  <c r="I23" i="10"/>
  <c r="O32" i="12"/>
  <c r="L38" i="12"/>
  <c r="K15" i="10" s="1"/>
  <c r="P12" i="65"/>
  <c r="Q12" i="65" s="1"/>
  <c r="R12" i="65" s="1"/>
  <c r="S12" i="65" s="1"/>
  <c r="T12" i="65" s="1"/>
  <c r="U12" i="65" s="1"/>
  <c r="V12" i="65" s="1"/>
  <c r="W12" i="65" s="1"/>
  <c r="X12" i="65" s="1"/>
  <c r="Y12" i="65" s="1"/>
  <c r="Z12" i="65" s="1"/>
  <c r="U8" i="51"/>
  <c r="H25" i="11"/>
  <c r="I32" i="10"/>
  <c r="I33" i="12"/>
  <c r="J33" i="12" s="1"/>
  <c r="H34" i="12"/>
  <c r="C53" i="13"/>
  <c r="O11" i="65"/>
  <c r="P11" i="65" s="1"/>
  <c r="Q11" i="65" s="1"/>
  <c r="R11" i="65" s="1"/>
  <c r="S11" i="65" s="1"/>
  <c r="T11" i="65" s="1"/>
  <c r="U11" i="65" s="1"/>
  <c r="V11" i="65" s="1"/>
  <c r="W11" i="65" s="1"/>
  <c r="X11" i="65" s="1"/>
  <c r="Y11" i="65" s="1"/>
  <c r="Z11" i="65" s="1"/>
  <c r="H9" i="11"/>
  <c r="I9" i="11"/>
  <c r="O55" i="23"/>
  <c r="N56" i="23"/>
  <c r="K31" i="65"/>
  <c r="K12" i="53" s="1"/>
  <c r="O26" i="65"/>
  <c r="Q24" i="65"/>
  <c r="P25" i="65"/>
  <c r="S22" i="65"/>
  <c r="U20" i="65"/>
  <c r="R23" i="65"/>
  <c r="V19" i="65"/>
  <c r="T21" i="65"/>
  <c r="J21" i="53"/>
  <c r="J14" i="53"/>
  <c r="G9" i="11"/>
  <c r="M56" i="23"/>
  <c r="M58" i="23"/>
  <c r="N58" i="23"/>
  <c r="N54" i="23"/>
  <c r="M54" i="23"/>
  <c r="R24" i="10"/>
  <c r="Q10" i="53"/>
  <c r="Q17" i="53" s="1"/>
  <c r="E18" i="54"/>
  <c r="F18" i="54"/>
  <c r="L58" i="23"/>
  <c r="L54" i="23"/>
  <c r="L56" i="23"/>
  <c r="L60" i="23" l="1"/>
  <c r="M60" i="23"/>
  <c r="R32" i="10"/>
  <c r="F28" i="13"/>
  <c r="S26" i="10"/>
  <c r="P25" i="11"/>
  <c r="S31" i="10"/>
  <c r="R23" i="11" s="1"/>
  <c r="R25" i="11" s="1"/>
  <c r="E110" i="13"/>
  <c r="F110" i="13" s="1"/>
  <c r="D111" i="13" s="1"/>
  <c r="G14" i="10"/>
  <c r="G16" i="10" s="1"/>
  <c r="J23" i="10"/>
  <c r="K33" i="12"/>
  <c r="J34" i="12"/>
  <c r="I14" i="10" s="1"/>
  <c r="P32" i="12"/>
  <c r="N60" i="23"/>
  <c r="M38" i="12"/>
  <c r="L15" i="10" s="1"/>
  <c r="V8" i="51"/>
  <c r="AD10" i="6"/>
  <c r="J32" i="10"/>
  <c r="I25" i="11"/>
  <c r="I34" i="12"/>
  <c r="C54" i="13"/>
  <c r="O58" i="23"/>
  <c r="O56" i="23"/>
  <c r="O60" i="23" s="1"/>
  <c r="O54" i="23"/>
  <c r="J9" i="11"/>
  <c r="V20" i="65"/>
  <c r="P26" i="65"/>
  <c r="Q25" i="65"/>
  <c r="L31" i="65"/>
  <c r="L12" i="53" s="1"/>
  <c r="O27" i="65"/>
  <c r="T22" i="65"/>
  <c r="U21" i="65"/>
  <c r="R24" i="65"/>
  <c r="W19" i="65"/>
  <c r="S23" i="65"/>
  <c r="K21" i="53"/>
  <c r="K14" i="53"/>
  <c r="S24" i="10"/>
  <c r="R10" i="53"/>
  <c r="R17" i="53" s="1"/>
  <c r="E20" i="54"/>
  <c r="E28" i="54" s="1"/>
  <c r="D20" i="54"/>
  <c r="D28" i="54" s="1"/>
  <c r="D34" i="10" s="1"/>
  <c r="F20" i="54"/>
  <c r="F28" i="54" s="1"/>
  <c r="E34" i="10" l="1"/>
  <c r="D36" i="10"/>
  <c r="S32" i="10"/>
  <c r="F29" i="13"/>
  <c r="T26" i="10"/>
  <c r="T31" i="10"/>
  <c r="S23" i="11" s="1"/>
  <c r="S25" i="11" s="1"/>
  <c r="E111" i="13"/>
  <c r="F111" i="13" s="1"/>
  <c r="D112" i="13" s="1"/>
  <c r="H14" i="10"/>
  <c r="H16" i="10" s="1"/>
  <c r="K23" i="10"/>
  <c r="Q32" i="12"/>
  <c r="L33" i="12"/>
  <c r="K34" i="12"/>
  <c r="J14" i="10" s="1"/>
  <c r="N38" i="12"/>
  <c r="M15" i="10" s="1"/>
  <c r="W8" i="51"/>
  <c r="J25" i="11"/>
  <c r="K32" i="10"/>
  <c r="K25" i="11"/>
  <c r="I16" i="10"/>
  <c r="C55" i="13"/>
  <c r="I12" i="11"/>
  <c r="L21" i="53"/>
  <c r="L14" i="53"/>
  <c r="X8" i="51" s="1"/>
  <c r="P56" i="23"/>
  <c r="P54" i="23"/>
  <c r="P55" i="23"/>
  <c r="P58" i="23"/>
  <c r="T24" i="10"/>
  <c r="S10" i="53"/>
  <c r="S17" i="53" s="1"/>
  <c r="C5" i="11"/>
  <c r="D35" i="54"/>
  <c r="D5" i="11"/>
  <c r="E35" i="54"/>
  <c r="F35" i="54"/>
  <c r="E5" i="11"/>
  <c r="F12" i="11"/>
  <c r="H18" i="54"/>
  <c r="G12" i="11"/>
  <c r="H12" i="11"/>
  <c r="F34" i="10" l="1"/>
  <c r="E36" i="10"/>
  <c r="T32" i="10"/>
  <c r="U31" i="10"/>
  <c r="E112" i="13"/>
  <c r="F112" i="13" s="1"/>
  <c r="D113" i="13" s="1"/>
  <c r="F30" i="13"/>
  <c r="U26" i="10"/>
  <c r="L23" i="10"/>
  <c r="M33" i="12"/>
  <c r="L34" i="12"/>
  <c r="K14" i="10" s="1"/>
  <c r="R32" i="12"/>
  <c r="P60" i="23"/>
  <c r="O38" i="12"/>
  <c r="N15" i="10" s="1"/>
  <c r="I18" i="54"/>
  <c r="L9" i="11"/>
  <c r="J16" i="10"/>
  <c r="C56" i="13"/>
  <c r="F41" i="13"/>
  <c r="F27" i="10" s="1"/>
  <c r="R55" i="23"/>
  <c r="K9" i="11"/>
  <c r="Q55" i="23"/>
  <c r="Q58" i="23"/>
  <c r="Q56" i="23"/>
  <c r="Q54" i="23"/>
  <c r="U24" i="10"/>
  <c r="T10" i="53"/>
  <c r="T17" i="53" s="1"/>
  <c r="G18" i="54"/>
  <c r="G20" i="54" s="1"/>
  <c r="G28" i="54" s="1"/>
  <c r="H20" i="54"/>
  <c r="H28" i="54" s="1"/>
  <c r="G34" i="10" l="1"/>
  <c r="H34" i="10" s="1"/>
  <c r="V31" i="10"/>
  <c r="E113" i="13"/>
  <c r="F113" i="13" s="1"/>
  <c r="D114" i="13" s="1"/>
  <c r="E13" i="11"/>
  <c r="F28" i="10"/>
  <c r="F36" i="10" s="1"/>
  <c r="F31" i="13"/>
  <c r="V26" i="10"/>
  <c r="T23" i="11"/>
  <c r="U32" i="10"/>
  <c r="M23" i="10"/>
  <c r="S32" i="12"/>
  <c r="N33" i="12"/>
  <c r="M34" i="12"/>
  <c r="L14" i="10" s="1"/>
  <c r="Q60" i="23"/>
  <c r="P38" i="12"/>
  <c r="O15" i="10" s="1"/>
  <c r="I20" i="54"/>
  <c r="I28" i="54" s="1"/>
  <c r="H5" i="11" s="1"/>
  <c r="R58" i="23"/>
  <c r="AH51" i="23"/>
  <c r="AH47" i="23"/>
  <c r="K16" i="10"/>
  <c r="AE48" i="6"/>
  <c r="C57" i="13"/>
  <c r="S55" i="23"/>
  <c r="F42" i="13"/>
  <c r="G27" i="10" s="1"/>
  <c r="J18" i="54"/>
  <c r="S56" i="23"/>
  <c r="R54" i="23"/>
  <c r="R56" i="23"/>
  <c r="V24" i="10"/>
  <c r="U10" i="53"/>
  <c r="U17" i="53" s="1"/>
  <c r="G35" i="54"/>
  <c r="F5" i="11"/>
  <c r="G5" i="11"/>
  <c r="H35" i="54"/>
  <c r="I34" i="10" l="1"/>
  <c r="U23" i="11"/>
  <c r="U25" i="11" s="1"/>
  <c r="V32" i="10"/>
  <c r="F13" i="11"/>
  <c r="G28" i="10"/>
  <c r="T25" i="11"/>
  <c r="F32" i="13"/>
  <c r="W26" i="10"/>
  <c r="W31" i="10"/>
  <c r="E114" i="13"/>
  <c r="F114" i="13" s="1"/>
  <c r="D115" i="13" s="1"/>
  <c r="N23" i="10"/>
  <c r="O33" i="12"/>
  <c r="N34" i="12"/>
  <c r="M14" i="10" s="1"/>
  <c r="T32" i="12"/>
  <c r="R60" i="23"/>
  <c r="Q38" i="12"/>
  <c r="P15" i="10" s="1"/>
  <c r="I35" i="54"/>
  <c r="C58" i="13"/>
  <c r="S54" i="23"/>
  <c r="F43" i="13"/>
  <c r="H27" i="10" s="1"/>
  <c r="J20" i="54"/>
  <c r="J28" i="54" s="1"/>
  <c r="AH33" i="23"/>
  <c r="K12" i="11"/>
  <c r="J12" i="11"/>
  <c r="S58" i="23"/>
  <c r="S60" i="23" s="1"/>
  <c r="K18" i="54"/>
  <c r="V10" i="53"/>
  <c r="V17" i="53" s="1"/>
  <c r="W24" i="10"/>
  <c r="J34" i="10" l="1"/>
  <c r="G13" i="11"/>
  <c r="H28" i="10"/>
  <c r="V23" i="11"/>
  <c r="V25" i="11" s="1"/>
  <c r="W32" i="10"/>
  <c r="F33" i="13"/>
  <c r="X26" i="10"/>
  <c r="X31" i="10"/>
  <c r="E115" i="13"/>
  <c r="F115" i="13" s="1"/>
  <c r="D116" i="13" s="1"/>
  <c r="O23" i="10"/>
  <c r="U32" i="12"/>
  <c r="P33" i="12"/>
  <c r="O34" i="12"/>
  <c r="N14" i="10" s="1"/>
  <c r="R38" i="12"/>
  <c r="Q15" i="10" s="1"/>
  <c r="AE10" i="6"/>
  <c r="L16" i="10"/>
  <c r="T56" i="23"/>
  <c r="M16" i="10"/>
  <c r="C59" i="13"/>
  <c r="F44" i="13"/>
  <c r="I27" i="10" s="1"/>
  <c r="G36" i="10"/>
  <c r="J35" i="54"/>
  <c r="I5" i="11"/>
  <c r="L18" i="54"/>
  <c r="T58" i="23"/>
  <c r="AH32" i="23"/>
  <c r="AH58" i="23" s="1"/>
  <c r="AD18" i="6"/>
  <c r="T54" i="23"/>
  <c r="AH31" i="23"/>
  <c r="AH56" i="23" s="1"/>
  <c r="U55" i="23"/>
  <c r="K20" i="54"/>
  <c r="K28" i="54" s="1"/>
  <c r="AC12" i="54"/>
  <c r="T55" i="23"/>
  <c r="T60" i="23" s="1"/>
  <c r="AH55" i="23"/>
  <c r="X24" i="10"/>
  <c r="W10" i="53"/>
  <c r="W17" i="53" s="1"/>
  <c r="K34" i="10" l="1"/>
  <c r="W23" i="11"/>
  <c r="X32" i="10"/>
  <c r="H13" i="11"/>
  <c r="I28" i="10"/>
  <c r="Y31" i="10"/>
  <c r="E116" i="13"/>
  <c r="F116" i="13" s="1"/>
  <c r="D117" i="13" s="1"/>
  <c r="F34" i="13"/>
  <c r="Y26" i="10"/>
  <c r="P23" i="10"/>
  <c r="V32" i="12"/>
  <c r="Q33" i="12"/>
  <c r="P34" i="12"/>
  <c r="O14" i="10" s="1"/>
  <c r="U45" i="23"/>
  <c r="U49" i="23"/>
  <c r="S38" i="12"/>
  <c r="R15" i="10" s="1"/>
  <c r="AH45" i="23"/>
  <c r="AH49" i="23"/>
  <c r="AH48" i="23"/>
  <c r="AH46" i="23"/>
  <c r="AH50" i="23"/>
  <c r="M12" i="11"/>
  <c r="AD7" i="6"/>
  <c r="N16" i="10"/>
  <c r="C60" i="13"/>
  <c r="F45" i="13"/>
  <c r="J27" i="10" s="1"/>
  <c r="H36" i="10"/>
  <c r="L12" i="11"/>
  <c r="AH60" i="23"/>
  <c r="J5" i="11"/>
  <c r="K35" i="54"/>
  <c r="AD25" i="6"/>
  <c r="AD12" i="6"/>
  <c r="L20" i="54"/>
  <c r="L28" i="54" s="1"/>
  <c r="AH52" i="23"/>
  <c r="V55" i="23"/>
  <c r="Y24" i="10"/>
  <c r="X10" i="53"/>
  <c r="X17" i="53" s="1"/>
  <c r="L34" i="10" l="1"/>
  <c r="M34" i="10" s="1"/>
  <c r="N34" i="10" s="1"/>
  <c r="O34" i="10" s="1"/>
  <c r="I13" i="11"/>
  <c r="J28" i="10"/>
  <c r="Z31" i="10"/>
  <c r="E117" i="13"/>
  <c r="F117" i="13" s="1"/>
  <c r="AA31" i="10" s="1"/>
  <c r="AA32" i="10" s="1"/>
  <c r="W25" i="11"/>
  <c r="F35" i="13"/>
  <c r="AA26" i="10" s="1"/>
  <c r="Z26" i="10"/>
  <c r="X23" i="11"/>
  <c r="X25" i="11" s="1"/>
  <c r="Y32" i="10"/>
  <c r="Q23" i="10"/>
  <c r="R33" i="12"/>
  <c r="Q34" i="12"/>
  <c r="W32" i="12"/>
  <c r="P11" i="54"/>
  <c r="V45" i="23"/>
  <c r="V49" i="23"/>
  <c r="T38" i="12"/>
  <c r="S15" i="10" s="1"/>
  <c r="O16" i="10"/>
  <c r="C61" i="13"/>
  <c r="F46" i="13"/>
  <c r="K27" i="10" s="1"/>
  <c r="I36" i="10"/>
  <c r="L35" i="54"/>
  <c r="K5" i="11"/>
  <c r="AD29" i="6"/>
  <c r="AC13" i="54"/>
  <c r="Z23" i="11" l="1"/>
  <c r="Z25" i="11" s="1"/>
  <c r="J13" i="11"/>
  <c r="K28" i="10"/>
  <c r="Y23" i="11"/>
  <c r="Z32" i="10"/>
  <c r="C10" i="11"/>
  <c r="R23" i="10"/>
  <c r="X32" i="12"/>
  <c r="S33" i="12"/>
  <c r="R34" i="12"/>
  <c r="Q11" i="54"/>
  <c r="U38" i="12"/>
  <c r="T15" i="10" s="1"/>
  <c r="W55" i="23"/>
  <c r="P14" i="10"/>
  <c r="P16" i="10" s="1"/>
  <c r="AE21" i="6"/>
  <c r="C62" i="13"/>
  <c r="F47" i="13"/>
  <c r="L27" i="10" s="1"/>
  <c r="J36" i="10"/>
  <c r="N12" i="11"/>
  <c r="AB12" i="11" s="1"/>
  <c r="X55" i="23"/>
  <c r="AC11" i="54"/>
  <c r="L5" i="11"/>
  <c r="AA24" i="10"/>
  <c r="K13" i="11" l="1"/>
  <c r="L28" i="10"/>
  <c r="AC23" i="11"/>
  <c r="AC25" i="11" s="1"/>
  <c r="Y25" i="11"/>
  <c r="C14" i="11"/>
  <c r="C27" i="11" s="1"/>
  <c r="C30" i="11" s="1"/>
  <c r="D7" i="10" s="1"/>
  <c r="D10" i="10" s="1"/>
  <c r="D18" i="10" s="1"/>
  <c r="D40" i="10" s="1"/>
  <c r="D10" i="11"/>
  <c r="D14" i="11" s="1"/>
  <c r="D27" i="11" s="1"/>
  <c r="S23" i="10"/>
  <c r="T33" i="12"/>
  <c r="S34" i="12"/>
  <c r="Y32" i="12"/>
  <c r="W45" i="23"/>
  <c r="W49" i="23"/>
  <c r="X45" i="23"/>
  <c r="X49" i="23"/>
  <c r="V38" i="12"/>
  <c r="U15" i="10" s="1"/>
  <c r="Q14" i="10"/>
  <c r="Q16" i="10" s="1"/>
  <c r="F48" i="13"/>
  <c r="M27" i="10" s="1"/>
  <c r="K36" i="10"/>
  <c r="Y55" i="23"/>
  <c r="Z24" i="10"/>
  <c r="AD15" i="54"/>
  <c r="R11" i="54" l="1"/>
  <c r="L13" i="11"/>
  <c r="M28" i="10"/>
  <c r="T23" i="10"/>
  <c r="D29" i="11"/>
  <c r="D30" i="11" s="1"/>
  <c r="E10" i="11"/>
  <c r="E14" i="11" s="1"/>
  <c r="E27" i="11" s="1"/>
  <c r="U33" i="12"/>
  <c r="T34" i="12"/>
  <c r="Z32" i="12"/>
  <c r="S11" i="54"/>
  <c r="Y45" i="23"/>
  <c r="Y49" i="23"/>
  <c r="W38" i="12"/>
  <c r="V15" i="10" s="1"/>
  <c r="R14" i="10"/>
  <c r="R16" i="10" s="1"/>
  <c r="F49" i="13"/>
  <c r="N27" i="10" s="1"/>
  <c r="L36" i="10"/>
  <c r="Z55" i="23"/>
  <c r="M13" i="11" l="1"/>
  <c r="N28" i="10"/>
  <c r="E29" i="11"/>
  <c r="E30" i="11" s="1"/>
  <c r="E7" i="10"/>
  <c r="E10" i="10" s="1"/>
  <c r="E18" i="10" s="1"/>
  <c r="E40" i="10" s="1"/>
  <c r="F10" i="11"/>
  <c r="F14" i="11" s="1"/>
  <c r="F27" i="11" s="1"/>
  <c r="U23" i="10"/>
  <c r="AA32" i="12"/>
  <c r="V33" i="12"/>
  <c r="U34" i="12"/>
  <c r="T11" i="54"/>
  <c r="Z45" i="23"/>
  <c r="Z49" i="23"/>
  <c r="X38" i="12"/>
  <c r="W15" i="10" s="1"/>
  <c r="S14" i="10"/>
  <c r="S16" i="10" s="1"/>
  <c r="F50" i="13"/>
  <c r="O27" i="10" s="1"/>
  <c r="M36" i="10"/>
  <c r="AA55" i="23"/>
  <c r="N13" i="11" l="1"/>
  <c r="AB13" i="11" s="1"/>
  <c r="O28" i="10"/>
  <c r="F29" i="11"/>
  <c r="F30" i="11" s="1"/>
  <c r="G7" i="10" s="1"/>
  <c r="G10" i="10" s="1"/>
  <c r="G18" i="10" s="1"/>
  <c r="G40" i="10" s="1"/>
  <c r="F7" i="10"/>
  <c r="F10" i="10" s="1"/>
  <c r="F18" i="10" s="1"/>
  <c r="F40" i="10" s="1"/>
  <c r="V23" i="10"/>
  <c r="G10" i="11"/>
  <c r="G14" i="11" s="1"/>
  <c r="G27" i="11" s="1"/>
  <c r="W33" i="12"/>
  <c r="V34" i="12"/>
  <c r="AB32" i="12"/>
  <c r="U11" i="54"/>
  <c r="AA45" i="23"/>
  <c r="AA49" i="23"/>
  <c r="Y38" i="12"/>
  <c r="X15" i="10" s="1"/>
  <c r="T14" i="10"/>
  <c r="T16" i="10" s="1"/>
  <c r="F51" i="13"/>
  <c r="P27" i="10" s="1"/>
  <c r="O13" i="11" l="1"/>
  <c r="P28" i="10"/>
  <c r="G29" i="11"/>
  <c r="H10" i="11"/>
  <c r="W23" i="10"/>
  <c r="X33" i="12"/>
  <c r="W34" i="12"/>
  <c r="V11" i="54"/>
  <c r="Z38" i="12"/>
  <c r="Y15" i="10" s="1"/>
  <c r="U14" i="10"/>
  <c r="U16" i="10" s="1"/>
  <c r="F52" i="13"/>
  <c r="Q27" i="10" s="1"/>
  <c r="AC55" i="23"/>
  <c r="AB55" i="23"/>
  <c r="P13" i="11" l="1"/>
  <c r="Q28" i="10"/>
  <c r="H14" i="11"/>
  <c r="H27" i="11" s="1"/>
  <c r="G30" i="11"/>
  <c r="H7" i="10" s="1"/>
  <c r="H10" i="10" s="1"/>
  <c r="H18" i="10" s="1"/>
  <c r="H40" i="10" s="1"/>
  <c r="X23" i="10"/>
  <c r="I10" i="11"/>
  <c r="I14" i="11" s="1"/>
  <c r="I27" i="11" s="1"/>
  <c r="Y33" i="12"/>
  <c r="X34" i="12"/>
  <c r="AC45" i="23"/>
  <c r="AC49" i="23"/>
  <c r="AB45" i="23"/>
  <c r="AB49" i="23"/>
  <c r="AA38" i="12"/>
  <c r="Z15" i="10" s="1"/>
  <c r="AB38" i="12" s="1"/>
  <c r="AA15" i="10" s="1"/>
  <c r="V14" i="10"/>
  <c r="V16" i="10" s="1"/>
  <c r="F53" i="13"/>
  <c r="R27" i="10" s="1"/>
  <c r="Q13" i="11" l="1"/>
  <c r="R28" i="10"/>
  <c r="H29" i="11"/>
  <c r="H30" i="11" s="1"/>
  <c r="I29" i="11" s="1"/>
  <c r="I30" i="11" s="1"/>
  <c r="J10" i="11"/>
  <c r="J14" i="11" s="1"/>
  <c r="J27" i="11" s="1"/>
  <c r="Y23" i="10"/>
  <c r="Z33" i="12"/>
  <c r="Y34" i="12"/>
  <c r="X11" i="54"/>
  <c r="W11" i="54"/>
  <c r="W14" i="10"/>
  <c r="W16" i="10" s="1"/>
  <c r="F54" i="13"/>
  <c r="S27" i="10" s="1"/>
  <c r="AE55" i="23"/>
  <c r="AD55" i="23"/>
  <c r="R13" i="11" l="1"/>
  <c r="S28" i="10"/>
  <c r="I7" i="10"/>
  <c r="I10" i="10" s="1"/>
  <c r="I18" i="10" s="1"/>
  <c r="I40" i="10" s="1"/>
  <c r="J7" i="10"/>
  <c r="J10" i="10" s="1"/>
  <c r="J18" i="10" s="1"/>
  <c r="J40" i="10" s="1"/>
  <c r="J29" i="11"/>
  <c r="J30" i="11" s="1"/>
  <c r="K7" i="10" s="1"/>
  <c r="K10" i="10" s="1"/>
  <c r="K18" i="10" s="1"/>
  <c r="K40" i="10" s="1"/>
  <c r="Z23" i="10"/>
  <c r="K10" i="11"/>
  <c r="K14" i="11" s="1"/>
  <c r="K27" i="11" s="1"/>
  <c r="AA33" i="12"/>
  <c r="Z34" i="12"/>
  <c r="AD45" i="23"/>
  <c r="AD49" i="23"/>
  <c r="AE45" i="23"/>
  <c r="AE49" i="23"/>
  <c r="X14" i="10"/>
  <c r="X16" i="10" s="1"/>
  <c r="F55" i="13"/>
  <c r="T27" i="10" s="1"/>
  <c r="S13" i="11" l="1"/>
  <c r="T28" i="10"/>
  <c r="K29" i="11"/>
  <c r="K30" i="11" s="1"/>
  <c r="L10" i="11"/>
  <c r="L14" i="11" s="1"/>
  <c r="L27" i="11" s="1"/>
  <c r="M10" i="11"/>
  <c r="AA23" i="10"/>
  <c r="AB33" i="12"/>
  <c r="AB34" i="12" s="1"/>
  <c r="AA34" i="12"/>
  <c r="Z11" i="54"/>
  <c r="Y11" i="54"/>
  <c r="Y14" i="10"/>
  <c r="Y16" i="10" s="1"/>
  <c r="F56" i="13"/>
  <c r="U27" i="10" s="1"/>
  <c r="AF55" i="23"/>
  <c r="AI55" i="23"/>
  <c r="AE18" i="6"/>
  <c r="T13" i="11" l="1"/>
  <c r="U28" i="10"/>
  <c r="L29" i="11"/>
  <c r="L30" i="11" s="1"/>
  <c r="M7" i="10" s="1"/>
  <c r="M10" i="10" s="1"/>
  <c r="M18" i="10" s="1"/>
  <c r="M40" i="10" s="1"/>
  <c r="L7" i="10"/>
  <c r="L10" i="10" s="1"/>
  <c r="L18" i="10" s="1"/>
  <c r="L40" i="10" s="1"/>
  <c r="N10" i="11"/>
  <c r="AB10" i="11" s="1"/>
  <c r="AF45" i="23"/>
  <c r="AF49" i="23"/>
  <c r="AI49" i="23" s="1"/>
  <c r="AI45" i="23"/>
  <c r="AE7" i="6"/>
  <c r="Z14" i="10"/>
  <c r="Z16" i="10" s="1"/>
  <c r="F57" i="13"/>
  <c r="V27" i="10" s="1"/>
  <c r="AE12" i="6"/>
  <c r="AE25" i="6"/>
  <c r="AD12" i="54"/>
  <c r="U13" i="11" l="1"/>
  <c r="V28" i="10"/>
  <c r="M29" i="11"/>
  <c r="AA11" i="54"/>
  <c r="AA14" i="10"/>
  <c r="AA16" i="10" s="1"/>
  <c r="F58" i="13"/>
  <c r="W27" i="10" s="1"/>
  <c r="AE29" i="6"/>
  <c r="V13" i="11" l="1"/>
  <c r="W28" i="10"/>
  <c r="Y12" i="11"/>
  <c r="AE30" i="6"/>
  <c r="F59" i="13"/>
  <c r="X27" i="10" s="1"/>
  <c r="W13" i="11" l="1"/>
  <c r="X28" i="10"/>
  <c r="W12" i="11"/>
  <c r="Z12" i="11"/>
  <c r="X12" i="11"/>
  <c r="O12" i="11"/>
  <c r="T12" i="11"/>
  <c r="AD11" i="54"/>
  <c r="R12" i="11"/>
  <c r="V12" i="11"/>
  <c r="U12" i="11"/>
  <c r="P12" i="11"/>
  <c r="Q12" i="11"/>
  <c r="S12" i="11"/>
  <c r="F60" i="13"/>
  <c r="Y27" i="10" s="1"/>
  <c r="X13" i="11" l="1"/>
  <c r="Y28" i="10"/>
  <c r="AC12" i="11"/>
  <c r="F61" i="13"/>
  <c r="Z27" i="10" s="1"/>
  <c r="Y13" i="11" l="1"/>
  <c r="Z28" i="10"/>
  <c r="F62" i="13"/>
  <c r="AA27" i="10" s="1"/>
  <c r="Z13" i="11" l="1"/>
  <c r="AC13" i="11" s="1"/>
  <c r="AA28" i="10"/>
  <c r="AC14" i="54" l="1"/>
  <c r="AC18" i="54" l="1"/>
  <c r="O8" i="65" l="1"/>
  <c r="P8" i="65" l="1"/>
  <c r="P15" i="65" s="1"/>
  <c r="O15" i="65"/>
  <c r="O16" i="65" s="1"/>
  <c r="Y19" i="65"/>
  <c r="M31" i="65"/>
  <c r="M12" i="53" s="1"/>
  <c r="X19" i="65"/>
  <c r="W20" i="65"/>
  <c r="V21" i="65"/>
  <c r="T23" i="65"/>
  <c r="S24" i="65"/>
  <c r="O28" i="65"/>
  <c r="R25" i="65"/>
  <c r="U22" i="65"/>
  <c r="Q26" i="65"/>
  <c r="P27" i="65"/>
  <c r="U23" i="65"/>
  <c r="P28" i="65"/>
  <c r="X20" i="65"/>
  <c r="V22" i="65"/>
  <c r="Q8" i="65"/>
  <c r="P16" i="65" l="1"/>
  <c r="M14" i="53"/>
  <c r="Y8" i="51" s="1"/>
  <c r="Y10" i="53" s="1"/>
  <c r="Y17" i="53" s="1"/>
  <c r="M21" i="53"/>
  <c r="T24" i="65"/>
  <c r="O29" i="65"/>
  <c r="O30" i="65"/>
  <c r="T25" i="65"/>
  <c r="R27" i="65"/>
  <c r="X21" i="65"/>
  <c r="S26" i="65"/>
  <c r="U24" i="65"/>
  <c r="Z19" i="65"/>
  <c r="R26" i="65"/>
  <c r="S25" i="65"/>
  <c r="W21" i="65"/>
  <c r="Q27" i="65"/>
  <c r="N31" i="65"/>
  <c r="N12" i="53" s="1"/>
  <c r="N14" i="53" s="1"/>
  <c r="Z8" i="51" s="1"/>
  <c r="V23" i="65"/>
  <c r="Y20" i="65"/>
  <c r="W22" i="65"/>
  <c r="P29" i="65"/>
  <c r="Q28" i="65"/>
  <c r="R8" i="65"/>
  <c r="Q15" i="65"/>
  <c r="Q16" i="65" s="1"/>
  <c r="S27" i="65"/>
  <c r="Y21" i="65"/>
  <c r="R28" i="65"/>
  <c r="V24" i="65"/>
  <c r="P30" i="65"/>
  <c r="T26" i="65"/>
  <c r="Z20" i="65"/>
  <c r="W23" i="65"/>
  <c r="Q29" i="65"/>
  <c r="X22" i="65"/>
  <c r="U25" i="65"/>
  <c r="Z10" i="53" l="1"/>
  <c r="Z17" i="53" s="1"/>
  <c r="N21" i="53"/>
  <c r="P31" i="65"/>
  <c r="P12" i="53" s="1"/>
  <c r="P19" i="53" s="1"/>
  <c r="O31" i="65"/>
  <c r="O12" i="53" s="1"/>
  <c r="O19" i="53" s="1"/>
  <c r="S8" i="65"/>
  <c r="R15" i="65"/>
  <c r="R16" i="65" s="1"/>
  <c r="R29" i="65"/>
  <c r="T27" i="65"/>
  <c r="X23" i="65"/>
  <c r="Y22" i="65"/>
  <c r="W24" i="65"/>
  <c r="V25" i="65"/>
  <c r="S28" i="65"/>
  <c r="Z21" i="65"/>
  <c r="U26" i="65"/>
  <c r="Q30" i="65"/>
  <c r="Q31" i="65" s="1"/>
  <c r="Q12" i="53" s="1"/>
  <c r="Q19" i="53" s="1"/>
  <c r="M9" i="11" l="1"/>
  <c r="Q21" i="53"/>
  <c r="R5" i="54" s="1"/>
  <c r="Q14" i="53"/>
  <c r="R7" i="54" s="1"/>
  <c r="P21" i="53"/>
  <c r="Q5" i="54" s="1"/>
  <c r="P14" i="53"/>
  <c r="Q7" i="54" s="1"/>
  <c r="M5" i="11"/>
  <c r="O14" i="53"/>
  <c r="P7" i="54" s="1"/>
  <c r="AC5" i="54"/>
  <c r="T8" i="65"/>
  <c r="S15" i="65"/>
  <c r="S16" i="65" s="1"/>
  <c r="X24" i="65"/>
  <c r="U27" i="65"/>
  <c r="R30" i="65"/>
  <c r="R31" i="65" s="1"/>
  <c r="R12" i="53" s="1"/>
  <c r="R19" i="53" s="1"/>
  <c r="W25" i="65"/>
  <c r="T28" i="65"/>
  <c r="Z22" i="65"/>
  <c r="S29" i="65"/>
  <c r="V26" i="65"/>
  <c r="Y23" i="65"/>
  <c r="Q6" i="54" l="1"/>
  <c r="R6" i="54"/>
  <c r="M14" i="11"/>
  <c r="M27" i="11" s="1"/>
  <c r="M30" i="11" s="1"/>
  <c r="N7" i="10" s="1"/>
  <c r="O21" i="53"/>
  <c r="P5" i="54" s="1"/>
  <c r="W31" i="23" s="1"/>
  <c r="R14" i="53"/>
  <c r="S7" i="54" s="1"/>
  <c r="R21" i="53"/>
  <c r="Q8" i="54"/>
  <c r="R8" i="10"/>
  <c r="R8" i="54"/>
  <c r="N36" i="10"/>
  <c r="O36" i="10"/>
  <c r="N5" i="11"/>
  <c r="AB5" i="11" s="1"/>
  <c r="AC6" i="54"/>
  <c r="AC7" i="54" s="1"/>
  <c r="X25" i="65"/>
  <c r="W26" i="65"/>
  <c r="S30" i="65"/>
  <c r="S31" i="65" s="1"/>
  <c r="S12" i="53" s="1"/>
  <c r="S19" i="53" s="1"/>
  <c r="Z23" i="65"/>
  <c r="V27" i="65"/>
  <c r="T29" i="65"/>
  <c r="U28" i="65"/>
  <c r="Y24" i="65"/>
  <c r="U8" i="65"/>
  <c r="T15" i="65"/>
  <c r="T16" i="65" s="1"/>
  <c r="N29" i="11" l="1"/>
  <c r="S5" i="54"/>
  <c r="S6" i="54" s="1"/>
  <c r="P8" i="10"/>
  <c r="S14" i="53"/>
  <c r="T7" i="54" s="1"/>
  <c r="N10" i="10"/>
  <c r="N18" i="10" s="1"/>
  <c r="N40" i="10" s="1"/>
  <c r="AC8" i="54"/>
  <c r="AC20" i="54"/>
  <c r="AC28" i="54" s="1"/>
  <c r="AC35" i="54" s="1"/>
  <c r="N9" i="11"/>
  <c r="V8" i="65"/>
  <c r="U15" i="65"/>
  <c r="U16" i="65" s="1"/>
  <c r="U29" i="65"/>
  <c r="W27" i="65"/>
  <c r="V28" i="65"/>
  <c r="X26" i="65"/>
  <c r="Z24" i="65"/>
  <c r="Y25" i="65"/>
  <c r="T30" i="65"/>
  <c r="T31" i="65" s="1"/>
  <c r="T12" i="53" s="1"/>
  <c r="T19" i="53" s="1"/>
  <c r="N14" i="11" l="1"/>
  <c r="N27" i="11" s="1"/>
  <c r="N30" i="11" s="1"/>
  <c r="O7" i="10" s="1"/>
  <c r="AB9" i="11"/>
  <c r="AB14" i="11" s="1"/>
  <c r="AB27" i="11" s="1"/>
  <c r="S8" i="54"/>
  <c r="S8" i="10"/>
  <c r="R9" i="11" s="1"/>
  <c r="V31" i="23"/>
  <c r="X31" i="23"/>
  <c r="W32" i="23"/>
  <c r="V33" i="23"/>
  <c r="X33" i="23"/>
  <c r="V32" i="23"/>
  <c r="X32" i="23"/>
  <c r="W33" i="23"/>
  <c r="U31" i="23"/>
  <c r="U32" i="23"/>
  <c r="U33" i="23"/>
  <c r="O9" i="11"/>
  <c r="P8" i="54"/>
  <c r="P6" i="54"/>
  <c r="Q8" i="10"/>
  <c r="S21" i="53"/>
  <c r="T5" i="54" s="1"/>
  <c r="T6" i="54" s="1"/>
  <c r="T14" i="53"/>
  <c r="U7" i="54" s="1"/>
  <c r="T21" i="53"/>
  <c r="U5" i="54" s="1"/>
  <c r="V29" i="65"/>
  <c r="W28" i="65"/>
  <c r="Y26" i="65"/>
  <c r="Z25" i="65"/>
  <c r="X27" i="65"/>
  <c r="U30" i="65"/>
  <c r="U31" i="65" s="1"/>
  <c r="U12" i="53" s="1"/>
  <c r="U19" i="53" s="1"/>
  <c r="W8" i="65"/>
  <c r="V15" i="65"/>
  <c r="V16" i="65" s="1"/>
  <c r="O29" i="11" l="1"/>
  <c r="O10" i="10"/>
  <c r="O18" i="10" s="1"/>
  <c r="O40" i="10" s="1"/>
  <c r="U6" i="54"/>
  <c r="X58" i="23"/>
  <c r="W56" i="23"/>
  <c r="W54" i="23"/>
  <c r="X56" i="23"/>
  <c r="X54" i="23"/>
  <c r="V58" i="23"/>
  <c r="W58" i="23"/>
  <c r="V56" i="23"/>
  <c r="V54" i="23"/>
  <c r="U58" i="23"/>
  <c r="P9" i="11"/>
  <c r="U56" i="23"/>
  <c r="U54" i="23"/>
  <c r="Q9" i="11"/>
  <c r="U8" i="54"/>
  <c r="U21" i="53"/>
  <c r="U14" i="53"/>
  <c r="V7" i="54" s="1"/>
  <c r="X8" i="65"/>
  <c r="W15" i="65"/>
  <c r="W16" i="65" s="1"/>
  <c r="X28" i="65"/>
  <c r="Z26" i="65"/>
  <c r="Y27" i="65"/>
  <c r="V30" i="65"/>
  <c r="V31" i="65" s="1"/>
  <c r="V12" i="53" s="1"/>
  <c r="V19" i="53" s="1"/>
  <c r="W29" i="65"/>
  <c r="V5" i="54" l="1"/>
  <c r="V6" i="54" s="1"/>
  <c r="X60" i="23"/>
  <c r="X46" i="23"/>
  <c r="X50" i="23"/>
  <c r="V46" i="23"/>
  <c r="V60" i="23"/>
  <c r="V50" i="23"/>
  <c r="W48" i="23"/>
  <c r="W52" i="23"/>
  <c r="V48" i="23"/>
  <c r="V52" i="23"/>
  <c r="W46" i="23"/>
  <c r="W60" i="23"/>
  <c r="W50" i="23"/>
  <c r="X48" i="23"/>
  <c r="X52" i="23"/>
  <c r="Z31" i="23"/>
  <c r="Y31" i="23"/>
  <c r="Z32" i="23"/>
  <c r="Y32" i="23"/>
  <c r="Z33" i="23"/>
  <c r="Y33" i="23"/>
  <c r="U52" i="23"/>
  <c r="U48" i="23"/>
  <c r="U50" i="23"/>
  <c r="U46" i="23"/>
  <c r="U60" i="23"/>
  <c r="T8" i="54"/>
  <c r="U8" i="10"/>
  <c r="T8" i="10"/>
  <c r="V14" i="53"/>
  <c r="W7" i="54" s="1"/>
  <c r="Y8" i="65"/>
  <c r="X15" i="65"/>
  <c r="X16" i="65" s="1"/>
  <c r="Z27" i="65"/>
  <c r="X29" i="65"/>
  <c r="Y28" i="65"/>
  <c r="W30" i="65"/>
  <c r="W31" i="65" s="1"/>
  <c r="W12" i="53" s="1"/>
  <c r="W19" i="53" s="1"/>
  <c r="P9" i="10" l="1"/>
  <c r="R9" i="10"/>
  <c r="Q9" i="10"/>
  <c r="S9" i="10"/>
  <c r="AA33" i="23"/>
  <c r="AA31" i="23"/>
  <c r="AA56" i="23" s="1"/>
  <c r="AA32" i="23"/>
  <c r="V8" i="10"/>
  <c r="U9" i="11" s="1"/>
  <c r="Q13" i="54"/>
  <c r="R13" i="54"/>
  <c r="Y58" i="23"/>
  <c r="Z58" i="23"/>
  <c r="S13" i="54"/>
  <c r="Q14" i="54"/>
  <c r="S14" i="54"/>
  <c r="Y54" i="23"/>
  <c r="Y56" i="23"/>
  <c r="Z54" i="23"/>
  <c r="Z56" i="23"/>
  <c r="R14" i="54"/>
  <c r="P13" i="54"/>
  <c r="P14" i="54"/>
  <c r="S9" i="11"/>
  <c r="T9" i="11"/>
  <c r="V21" i="53"/>
  <c r="W5" i="54" s="1"/>
  <c r="W6" i="54" s="1"/>
  <c r="W14" i="53"/>
  <c r="X7" i="54" s="1"/>
  <c r="W21" i="53"/>
  <c r="X5" i="54" s="1"/>
  <c r="V8" i="54"/>
  <c r="Y29" i="65"/>
  <c r="Z28" i="65"/>
  <c r="X30" i="65"/>
  <c r="X31" i="65" s="1"/>
  <c r="X12" i="53" s="1"/>
  <c r="X19" i="53" s="1"/>
  <c r="Z8" i="65"/>
  <c r="Y15" i="65"/>
  <c r="Y16" i="65" s="1"/>
  <c r="AA54" i="23" l="1"/>
  <c r="AA58" i="23"/>
  <c r="AA48" i="23" s="1"/>
  <c r="X6" i="54"/>
  <c r="R18" i="54"/>
  <c r="Q18" i="54"/>
  <c r="Q20" i="54" s="1"/>
  <c r="Q28" i="54" s="1"/>
  <c r="Q10" i="11"/>
  <c r="R10" i="11"/>
  <c r="Z50" i="23"/>
  <c r="Z46" i="23"/>
  <c r="Z60" i="23"/>
  <c r="Y46" i="23"/>
  <c r="Y60" i="23"/>
  <c r="Y50" i="23"/>
  <c r="AA50" i="23"/>
  <c r="AA46" i="23"/>
  <c r="S18" i="54"/>
  <c r="Y48" i="23"/>
  <c r="Y52" i="23"/>
  <c r="Z52" i="23"/>
  <c r="Z48" i="23"/>
  <c r="P18" i="54"/>
  <c r="O10" i="11"/>
  <c r="P10" i="11"/>
  <c r="X21" i="53"/>
  <c r="X14" i="53"/>
  <c r="Y7" i="54" s="1"/>
  <c r="Z29" i="65"/>
  <c r="Y30" i="65"/>
  <c r="Y31" i="65" s="1"/>
  <c r="Y12" i="53" s="1"/>
  <c r="Y19" i="53" s="1"/>
  <c r="Z15" i="65"/>
  <c r="Z16" i="65" s="1"/>
  <c r="V9" i="10" l="1"/>
  <c r="U9" i="10"/>
  <c r="T9" i="10"/>
  <c r="AA52" i="23"/>
  <c r="V13" i="54" s="1"/>
  <c r="AA60" i="23"/>
  <c r="Y5" i="54"/>
  <c r="Y6" i="54" s="1"/>
  <c r="R20" i="54"/>
  <c r="R28" i="54" s="1"/>
  <c r="R35" i="54" s="1"/>
  <c r="S20" i="54"/>
  <c r="S28" i="54" s="1"/>
  <c r="V14" i="54"/>
  <c r="W8" i="54"/>
  <c r="AB31" i="23"/>
  <c r="AC31" i="23"/>
  <c r="AC32" i="23"/>
  <c r="AC33" i="23"/>
  <c r="AB33" i="23"/>
  <c r="AB32" i="23"/>
  <c r="U13" i="54"/>
  <c r="P5" i="11"/>
  <c r="P14" i="11" s="1"/>
  <c r="P27" i="11" s="1"/>
  <c r="Q35" i="54"/>
  <c r="T14" i="54"/>
  <c r="U14" i="54"/>
  <c r="T13" i="54"/>
  <c r="P20" i="54"/>
  <c r="P28" i="54" s="1"/>
  <c r="P34" i="10" s="1"/>
  <c r="Q34" i="10" s="1"/>
  <c r="Y21" i="53"/>
  <c r="Y14" i="53"/>
  <c r="Z7" i="54" s="1"/>
  <c r="X8" i="10"/>
  <c r="W8" i="10"/>
  <c r="X8" i="54"/>
  <c r="Z30" i="65"/>
  <c r="Z31" i="65" s="1"/>
  <c r="Z12" i="53" s="1"/>
  <c r="Z19" i="53" s="1"/>
  <c r="AD33" i="23" l="1"/>
  <c r="AD32" i="23"/>
  <c r="AD31" i="23"/>
  <c r="Y8" i="54"/>
  <c r="R34" i="10"/>
  <c r="S34" i="10" s="1"/>
  <c r="Y8" i="10"/>
  <c r="X9" i="11" s="1"/>
  <c r="Q5" i="11"/>
  <c r="Q14" i="11" s="1"/>
  <c r="Q27" i="11" s="1"/>
  <c r="Z5" i="54"/>
  <c r="Z6" i="54" s="1"/>
  <c r="T18" i="54"/>
  <c r="S10" i="11"/>
  <c r="U18" i="54"/>
  <c r="T10" i="11"/>
  <c r="V18" i="54"/>
  <c r="AB58" i="23"/>
  <c r="AC58" i="23"/>
  <c r="AC56" i="23"/>
  <c r="AC54" i="23"/>
  <c r="AB56" i="23"/>
  <c r="AB54" i="23"/>
  <c r="U10" i="11"/>
  <c r="S35" i="54"/>
  <c r="R5" i="11"/>
  <c r="R14" i="11" s="1"/>
  <c r="R27" i="11" s="1"/>
  <c r="O5" i="11"/>
  <c r="P35" i="54"/>
  <c r="V9" i="11"/>
  <c r="W9" i="11"/>
  <c r="Z21" i="53"/>
  <c r="AA5" i="54" s="1"/>
  <c r="Z14" i="53"/>
  <c r="AA7" i="54" s="1"/>
  <c r="AD58" i="23" l="1"/>
  <c r="AD52" i="23" s="1"/>
  <c r="AD54" i="23"/>
  <c r="AD56" i="23"/>
  <c r="AD46" i="23" s="1"/>
  <c r="AE33" i="23"/>
  <c r="AE31" i="23"/>
  <c r="AE56" i="23" s="1"/>
  <c r="O14" i="11"/>
  <c r="Z8" i="54"/>
  <c r="AA6" i="54"/>
  <c r="AD6" i="54" s="1"/>
  <c r="Z8" i="10"/>
  <c r="Y9" i="11" s="1"/>
  <c r="AE32" i="23"/>
  <c r="AF32" i="23"/>
  <c r="AF31" i="23"/>
  <c r="AB50" i="23"/>
  <c r="AB46" i="23"/>
  <c r="AB60" i="23"/>
  <c r="AC46" i="23"/>
  <c r="AC60" i="23"/>
  <c r="AC50" i="23"/>
  <c r="U20" i="54"/>
  <c r="U28" i="54" s="1"/>
  <c r="T20" i="54"/>
  <c r="T28" i="54" s="1"/>
  <c r="T34" i="10" s="1"/>
  <c r="AC48" i="23"/>
  <c r="AC52" i="23"/>
  <c r="AB52" i="23"/>
  <c r="AB48" i="23"/>
  <c r="V20" i="54"/>
  <c r="V28" i="54" s="1"/>
  <c r="AF33" i="23"/>
  <c r="AA8" i="10"/>
  <c r="AD5" i="54"/>
  <c r="AA8" i="54"/>
  <c r="AD48" i="23" l="1"/>
  <c r="AD50" i="23"/>
  <c r="AD60" i="23"/>
  <c r="AE58" i="23"/>
  <c r="AE52" i="23" s="1"/>
  <c r="AI33" i="23"/>
  <c r="AE54" i="23"/>
  <c r="U34" i="10"/>
  <c r="V34" i="10" s="1"/>
  <c r="O27" i="11"/>
  <c r="O30" i="11" s="1"/>
  <c r="P29" i="11" s="1"/>
  <c r="P30" i="11" s="1"/>
  <c r="Q7" i="10" s="1"/>
  <c r="Y9" i="10"/>
  <c r="X9" i="10"/>
  <c r="W9" i="10"/>
  <c r="AI32" i="23"/>
  <c r="Y13" i="54"/>
  <c r="U5" i="11"/>
  <c r="U14" i="11" s="1"/>
  <c r="U27" i="11" s="1"/>
  <c r="V35" i="54"/>
  <c r="AE50" i="23"/>
  <c r="AE46" i="23"/>
  <c r="S5" i="11"/>
  <c r="T35" i="54"/>
  <c r="W13" i="54"/>
  <c r="X13" i="54"/>
  <c r="U35" i="54"/>
  <c r="T5" i="11"/>
  <c r="T14" i="11" s="1"/>
  <c r="T27" i="11" s="1"/>
  <c r="AF56" i="23"/>
  <c r="AF54" i="23"/>
  <c r="AI31" i="23"/>
  <c r="AI56" i="23" s="1"/>
  <c r="Y14" i="54"/>
  <c r="X14" i="54"/>
  <c r="W14" i="54"/>
  <c r="AF58" i="23"/>
  <c r="AD7" i="54"/>
  <c r="E2" i="65" s="1"/>
  <c r="D2" i="51"/>
  <c r="P2" i="52"/>
  <c r="D2" i="65"/>
  <c r="D2" i="45"/>
  <c r="Z9" i="11"/>
  <c r="AC9" i="11" s="1"/>
  <c r="AE60" i="23" l="1"/>
  <c r="AE48" i="23"/>
  <c r="Z13" i="54" s="1"/>
  <c r="AI58" i="23"/>
  <c r="P7" i="10"/>
  <c r="P10" i="10" s="1"/>
  <c r="P18" i="10" s="1"/>
  <c r="P36" i="10"/>
  <c r="S14" i="11"/>
  <c r="Z9" i="10"/>
  <c r="Y18" i="54"/>
  <c r="Y20" i="54" s="1"/>
  <c r="Y28" i="54" s="1"/>
  <c r="V10" i="11"/>
  <c r="W10" i="11"/>
  <c r="X10" i="11"/>
  <c r="W18" i="54"/>
  <c r="AF48" i="23"/>
  <c r="AF52" i="23"/>
  <c r="AI52" i="23" s="1"/>
  <c r="AF46" i="23"/>
  <c r="AF60" i="23"/>
  <c r="AI60" i="23" s="1"/>
  <c r="AF50" i="23"/>
  <c r="AI50" i="23" s="1"/>
  <c r="X18" i="54"/>
  <c r="Z14" i="54"/>
  <c r="Q10" i="10"/>
  <c r="Q18" i="10" s="1"/>
  <c r="Q29" i="11"/>
  <c r="Q30" i="11" s="1"/>
  <c r="R7" i="10" s="1"/>
  <c r="E2" i="51"/>
  <c r="Q2" i="52"/>
  <c r="AD8" i="54"/>
  <c r="E2" i="45"/>
  <c r="AA9" i="10" l="1"/>
  <c r="P40" i="10"/>
  <c r="Q36" i="10"/>
  <c r="Q40" i="10" s="1"/>
  <c r="S27" i="11"/>
  <c r="Y10" i="11"/>
  <c r="X20" i="54"/>
  <c r="X28" i="54" s="1"/>
  <c r="AI46" i="23"/>
  <c r="AA14" i="54"/>
  <c r="AD14" i="54" s="1"/>
  <c r="AI48" i="23"/>
  <c r="AA13" i="54"/>
  <c r="Z18" i="54"/>
  <c r="W20" i="54"/>
  <c r="W28" i="54" s="1"/>
  <c r="W34" i="10" s="1"/>
  <c r="X5" i="11"/>
  <c r="X14" i="11" s="1"/>
  <c r="X27" i="11" s="1"/>
  <c r="Y35" i="54"/>
  <c r="R29" i="11"/>
  <c r="R30" i="11" s="1"/>
  <c r="S7" i="10" s="1"/>
  <c r="R10" i="10"/>
  <c r="R18" i="10" s="1"/>
  <c r="X34" i="10" l="1"/>
  <c r="Y34" i="10" s="1"/>
  <c r="R36" i="10"/>
  <c r="R40" i="10" s="1"/>
  <c r="V5" i="11"/>
  <c r="W35" i="54"/>
  <c r="Z20" i="54"/>
  <c r="Z28" i="54" s="1"/>
  <c r="Z10" i="11"/>
  <c r="AC10" i="11" s="1"/>
  <c r="AA18" i="54"/>
  <c r="W5" i="11"/>
  <c r="W14" i="11" s="1"/>
  <c r="W27" i="11" s="1"/>
  <c r="X35" i="54"/>
  <c r="AD13" i="54"/>
  <c r="AD18" i="54" s="1"/>
  <c r="AD20" i="54" s="1"/>
  <c r="AD28" i="54" s="1"/>
  <c r="S29" i="11"/>
  <c r="S30" i="11" s="1"/>
  <c r="S10" i="10"/>
  <c r="S18" i="10" s="1"/>
  <c r="Z34" i="10" l="1"/>
  <c r="AD35" i="54"/>
  <c r="R2" i="52" s="1"/>
  <c r="T7" i="10"/>
  <c r="T10" i="10" s="1"/>
  <c r="T18" i="10" s="1"/>
  <c r="S36" i="10"/>
  <c r="S40" i="10" s="1"/>
  <c r="V14" i="11"/>
  <c r="AA20" i="54"/>
  <c r="AA28" i="54" s="1"/>
  <c r="Y5" i="11"/>
  <c r="Y14" i="11" s="1"/>
  <c r="Y27" i="11" s="1"/>
  <c r="Z35" i="54"/>
  <c r="T29" i="11"/>
  <c r="T30" i="11" s="1"/>
  <c r="U7" i="10" s="1"/>
  <c r="F2" i="51" l="1"/>
  <c r="AA34" i="10"/>
  <c r="F2" i="45"/>
  <c r="F2" i="65"/>
  <c r="T36" i="10"/>
  <c r="T40" i="10" s="1"/>
  <c r="V27" i="11"/>
  <c r="Z5" i="11"/>
  <c r="AC5" i="11" s="1"/>
  <c r="AC14" i="11" s="1"/>
  <c r="AC27" i="11" s="1"/>
  <c r="AA35" i="54"/>
  <c r="U10" i="10"/>
  <c r="U18" i="10" s="1"/>
  <c r="U29" i="11"/>
  <c r="U30" i="11" s="1"/>
  <c r="V7" i="10" s="1"/>
  <c r="U36" i="10" l="1"/>
  <c r="U40" i="10" s="1"/>
  <c r="Z14" i="11"/>
  <c r="Z27" i="11" s="1"/>
  <c r="V29" i="11"/>
  <c r="V30" i="11" s="1"/>
  <c r="W7" i="10" s="1"/>
  <c r="V10" i="10"/>
  <c r="V18" i="10" s="1"/>
  <c r="V36" i="10" l="1"/>
  <c r="V40" i="10" s="1"/>
  <c r="W10" i="10"/>
  <c r="W18" i="10" s="1"/>
  <c r="W29" i="11"/>
  <c r="W30" i="11" s="1"/>
  <c r="X7" i="10" s="1"/>
  <c r="W36" i="10" l="1"/>
  <c r="W40" i="10" s="1"/>
  <c r="X10" i="10"/>
  <c r="X18" i="10" s="1"/>
  <c r="X29" i="11"/>
  <c r="X30" i="11" s="1"/>
  <c r="Y7" i="10" s="1"/>
  <c r="X36" i="10" l="1"/>
  <c r="X40" i="10" s="1"/>
  <c r="Y29" i="11"/>
  <c r="Y30" i="11" s="1"/>
  <c r="Z7" i="10" s="1"/>
  <c r="Y10" i="10"/>
  <c r="Y18" i="10" s="1"/>
  <c r="Y36" i="10" l="1"/>
  <c r="Y40" i="10" s="1"/>
  <c r="Z29" i="11"/>
  <c r="Z30" i="11" s="1"/>
  <c r="Z10" i="10"/>
  <c r="Z18" i="10" s="1"/>
  <c r="G2" i="45" l="1"/>
  <c r="G2" i="51"/>
  <c r="S2" i="52"/>
  <c r="G2" i="65"/>
  <c r="AA7" i="10"/>
  <c r="AA10" i="10" s="1"/>
  <c r="AA18" i="10" s="1"/>
  <c r="Z36" i="10"/>
  <c r="Z40" i="10" s="1"/>
  <c r="AA36" i="10" l="1"/>
  <c r="AA40" i="10" s="1"/>
</calcChain>
</file>

<file path=xl/sharedStrings.xml><?xml version="1.0" encoding="utf-8"?>
<sst xmlns="http://schemas.openxmlformats.org/spreadsheetml/2006/main" count="657" uniqueCount="355">
  <si>
    <t>Legal fees</t>
  </si>
  <si>
    <t>Accounting fees</t>
  </si>
  <si>
    <t>Marketing</t>
  </si>
  <si>
    <t>End Date</t>
  </si>
  <si>
    <t>Interest expense</t>
  </si>
  <si>
    <t>Depreciation</t>
  </si>
  <si>
    <t>Amortization</t>
  </si>
  <si>
    <t>Monthly computer/software costs</t>
  </si>
  <si>
    <t>Capital expenditures</t>
  </si>
  <si>
    <t>Utilities</t>
  </si>
  <si>
    <t>Operating expenses</t>
  </si>
  <si>
    <t>Operating profit</t>
  </si>
  <si>
    <t>Net income (loss)</t>
  </si>
  <si>
    <t>EBITDA</t>
  </si>
  <si>
    <t>Interest</t>
  </si>
  <si>
    <t>Taxes</t>
  </si>
  <si>
    <t>in actual $</t>
  </si>
  <si>
    <t>Assets</t>
  </si>
  <si>
    <t>Current Assets</t>
  </si>
  <si>
    <t>Cash &amp; cash equivalents</t>
  </si>
  <si>
    <t>Accounts receivable</t>
  </si>
  <si>
    <t>Prepaid expenses</t>
  </si>
  <si>
    <t>Total current assets</t>
  </si>
  <si>
    <t>Non-current assets</t>
  </si>
  <si>
    <t>Fixed assets</t>
  </si>
  <si>
    <t>Capitalized software</t>
  </si>
  <si>
    <t>Total non-current assets</t>
  </si>
  <si>
    <t>Liabilities and Equity</t>
  </si>
  <si>
    <t>Total assets</t>
  </si>
  <si>
    <t>Current liabilities</t>
  </si>
  <si>
    <t>Accounts Payable</t>
  </si>
  <si>
    <t>Total current liabilities</t>
  </si>
  <si>
    <t>Non-current liabilities</t>
  </si>
  <si>
    <t>Total non-current liabilities</t>
  </si>
  <si>
    <t>Equity</t>
  </si>
  <si>
    <t>Total liabilities and equity</t>
  </si>
  <si>
    <t>Cash flows from operating activities</t>
  </si>
  <si>
    <t>Net cash provided by (used in) operating activities</t>
  </si>
  <si>
    <t>Cash flows from investing activities</t>
  </si>
  <si>
    <t>Increase in capitalized software</t>
  </si>
  <si>
    <t xml:space="preserve">   Accounts receivable</t>
  </si>
  <si>
    <t xml:space="preserve">   Prepaid expenses</t>
  </si>
  <si>
    <t xml:space="preserve">   Accounts payable</t>
  </si>
  <si>
    <t xml:space="preserve">   Accrued expenses</t>
  </si>
  <si>
    <t>Net cash used in investing activities</t>
  </si>
  <si>
    <t>Cash flows from financing activities</t>
  </si>
  <si>
    <t>Net cash provided by financing activities</t>
  </si>
  <si>
    <t>Net increase (decrease) in cash</t>
  </si>
  <si>
    <t>Cash, beginning of the period</t>
  </si>
  <si>
    <t>Cash, end of the period</t>
  </si>
  <si>
    <t>Furniture and fixtures</t>
  </si>
  <si>
    <t>Life (mo)</t>
  </si>
  <si>
    <t>Capital Expenditures</t>
  </si>
  <si>
    <t>Total capital expenditures</t>
  </si>
  <si>
    <t>Total depreciation</t>
  </si>
  <si>
    <t>Total amortization</t>
  </si>
  <si>
    <t>Total accumulated depreciation</t>
  </si>
  <si>
    <t>Total gross intangibles</t>
  </si>
  <si>
    <t>Total accumulated amortization</t>
  </si>
  <si>
    <t>Net intangible assets</t>
  </si>
  <si>
    <t>Balance Sheet</t>
  </si>
  <si>
    <t>Total cap software</t>
  </si>
  <si>
    <t>Difference</t>
  </si>
  <si>
    <t>Payment</t>
  </si>
  <si>
    <t>Month</t>
  </si>
  <si>
    <t>Deferred Rent</t>
  </si>
  <si>
    <t>Accrual</t>
  </si>
  <si>
    <t>Deferred rent</t>
  </si>
  <si>
    <t>Accrued utilities</t>
  </si>
  <si>
    <t>Fees incurred</t>
  </si>
  <si>
    <t>Fees paid</t>
  </si>
  <si>
    <t>Change in assets:</t>
  </si>
  <si>
    <t>Change in liabilities:</t>
  </si>
  <si>
    <t>Security deposit</t>
  </si>
  <si>
    <t>Check</t>
  </si>
  <si>
    <t>Gross margin</t>
  </si>
  <si>
    <t>gross margin %</t>
  </si>
  <si>
    <t xml:space="preserve"> </t>
  </si>
  <si>
    <t>Start Date</t>
  </si>
  <si>
    <t>Other misc costs</t>
  </si>
  <si>
    <t>Debt</t>
  </si>
  <si>
    <t>GA</t>
  </si>
  <si>
    <t>BS</t>
  </si>
  <si>
    <t>AP</t>
  </si>
  <si>
    <t>Accrued commission</t>
  </si>
  <si>
    <t>Recruiting fees</t>
  </si>
  <si>
    <t>Proceeds from equity financing</t>
  </si>
  <si>
    <t>Equity financing</t>
  </si>
  <si>
    <t>Balance</t>
  </si>
  <si>
    <t>Principal</t>
  </si>
  <si>
    <t>Beginning</t>
  </si>
  <si>
    <t>Funds used to pay down debt</t>
  </si>
  <si>
    <t>CO</t>
  </si>
  <si>
    <t>Balance Sheet Assumptions</t>
  </si>
  <si>
    <t>Computers/software for internal use</t>
  </si>
  <si>
    <t>Insurance - Property &amp; Liability</t>
  </si>
  <si>
    <t>Expense</t>
  </si>
  <si>
    <t>Rent and U&amp;O Tax</t>
  </si>
  <si>
    <t>Online software</t>
  </si>
  <si>
    <t>Annual</t>
  </si>
  <si>
    <t>s</t>
  </si>
  <si>
    <t>Other marketing costs</t>
  </si>
  <si>
    <t>PP</t>
  </si>
  <si>
    <t>PD</t>
  </si>
  <si>
    <t>Utilities: 1 month cost accrued</t>
  </si>
  <si>
    <t>Commission: 1 month cost accrued</t>
  </si>
  <si>
    <t>&gt;</t>
  </si>
  <si>
    <t>Total other income/(expense)</t>
  </si>
  <si>
    <t>PL</t>
  </si>
  <si>
    <t>Office expenses</t>
  </si>
  <si>
    <t>Payroll related costs</t>
  </si>
  <si>
    <t>Commission</t>
  </si>
  <si>
    <t>Headcount</t>
  </si>
  <si>
    <t>SM</t>
  </si>
  <si>
    <t>DP</t>
  </si>
  <si>
    <t>AT</t>
  </si>
  <si>
    <t>Prepaid expenses average months paid in advance: 1</t>
  </si>
  <si>
    <t>Accounts Receivable as % of Last 2 months' sales</t>
  </si>
  <si>
    <t>Accounts Payable months outstanding: 1</t>
  </si>
  <si>
    <t>Revenue</t>
  </si>
  <si>
    <t>Total Revenue</t>
  </si>
  <si>
    <t>Gross Margin</t>
  </si>
  <si>
    <t>GM</t>
  </si>
  <si>
    <t>Cost of Sales</t>
  </si>
  <si>
    <t>Other income/(expense)</t>
  </si>
  <si>
    <t>Total operating expenses</t>
  </si>
  <si>
    <t>Year 1</t>
  </si>
  <si>
    <t>Administrative</t>
  </si>
  <si>
    <t>raise %:</t>
  </si>
  <si>
    <t>Client</t>
  </si>
  <si>
    <t>Assumptions</t>
  </si>
  <si>
    <t>Revenue pattern after won</t>
  </si>
  <si>
    <t>month --&gt;</t>
  </si>
  <si>
    <t>Tech</t>
  </si>
  <si>
    <t>Insurance - Workers' Comp</t>
  </si>
  <si>
    <t>Total</t>
  </si>
  <si>
    <t>Hardware</t>
  </si>
  <si>
    <t>Software</t>
  </si>
  <si>
    <t>Insurance - CEO &amp; Group Term Life</t>
  </si>
  <si>
    <t>Sales &amp; Marketing</t>
  </si>
  <si>
    <t>Shipping costs</t>
  </si>
  <si>
    <t>Sales consulting/training</t>
  </si>
  <si>
    <t>Total 2014</t>
  </si>
  <si>
    <t>Total 2015</t>
  </si>
  <si>
    <t>2014</t>
  </si>
  <si>
    <t>2015</t>
  </si>
  <si>
    <t>Monthly furniture/fixtures</t>
  </si>
  <si>
    <t>Sales materials</t>
  </si>
  <si>
    <t>People attending trade show</t>
  </si>
  <si>
    <t>Travel costs per person for show</t>
  </si>
  <si>
    <t>Trade shows / sponsorships</t>
  </si>
  <si>
    <t>Other trade shows per year</t>
  </si>
  <si>
    <t>Mth</t>
  </si>
  <si>
    <t>Hosting</t>
  </si>
  <si>
    <t>Pingdom</t>
  </si>
  <si>
    <t>Sendgrid</t>
  </si>
  <si>
    <t>Postmark</t>
  </si>
  <si>
    <t>Box.net</t>
  </si>
  <si>
    <t>EchoSign</t>
  </si>
  <si>
    <t>37Signals</t>
  </si>
  <si>
    <t>Github</t>
  </si>
  <si>
    <t>Freshbooks</t>
  </si>
  <si>
    <t>Litmus</t>
  </si>
  <si>
    <t>Quickbooks</t>
  </si>
  <si>
    <t>Google Apps</t>
  </si>
  <si>
    <t>Salary</t>
  </si>
  <si>
    <t>Interval*</t>
  </si>
  <si>
    <t>Totals (which flow to the Sales Driven GM tab)</t>
  </si>
  <si>
    <t>Future Scaling Up</t>
  </si>
  <si>
    <t>Account Manager</t>
  </si>
  <si>
    <t>*how many dollars of revenue in excess of baseline</t>
  </si>
  <si>
    <t>Prepaid</t>
  </si>
  <si>
    <t>Retention</t>
  </si>
  <si>
    <t>New Business, Organic</t>
  </si>
  <si>
    <t>New Business, Sales</t>
  </si>
  <si>
    <t>Grand Total</t>
  </si>
  <si>
    <t>net GM retention</t>
  </si>
  <si>
    <t>Assumptions for Forecast</t>
  </si>
  <si>
    <t>Results of Assumptions</t>
  </si>
  <si>
    <t>Month - 11</t>
  </si>
  <si>
    <t>Month - 10</t>
  </si>
  <si>
    <t>Month - 9</t>
  </si>
  <si>
    <t>Month - 8</t>
  </si>
  <si>
    <t>Month - 7</t>
  </si>
  <si>
    <t>Month - 6</t>
  </si>
  <si>
    <t>Month - 5</t>
  </si>
  <si>
    <t>Month - 4</t>
  </si>
  <si>
    <t>Month - 3</t>
  </si>
  <si>
    <t>Month - 2</t>
  </si>
  <si>
    <t>Month - 1</t>
  </si>
  <si>
    <t>Month - 0</t>
  </si>
  <si>
    <t>Total New Organic GM</t>
  </si>
  <si>
    <t>LOW</t>
  </si>
  <si>
    <r>
      <t>Other Costs</t>
    </r>
    <r>
      <rPr>
        <sz val="10"/>
        <rFont val="Calibri"/>
        <family val="2"/>
        <scheme val="minor"/>
      </rPr>
      <t xml:space="preserve"> (non cogs, non people, non capital expenditures)</t>
    </r>
  </si>
  <si>
    <t>Fixed Assets</t>
  </si>
  <si>
    <t>Hardware/yr</t>
  </si>
  <si>
    <t>Software/yr</t>
  </si>
  <si>
    <t>New Organic</t>
  </si>
  <si>
    <t>GM%</t>
  </si>
  <si>
    <t>CL</t>
  </si>
  <si>
    <t>Payroll taxes - GA</t>
  </si>
  <si>
    <t>Payroll taxes - PD</t>
  </si>
  <si>
    <t>Health insurance - GA</t>
  </si>
  <si>
    <t>Health insurance - SM</t>
  </si>
  <si>
    <t>Health insurance - PD</t>
  </si>
  <si>
    <t>General and administrative</t>
  </si>
  <si>
    <t>Sales and marketing</t>
  </si>
  <si>
    <t>Salaries only - GA</t>
  </si>
  <si>
    <t>Salaries only - SM</t>
  </si>
  <si>
    <t>Salaries only - PD</t>
  </si>
  <si>
    <t>Salaries only - CO</t>
  </si>
  <si>
    <t>Health insurance - CO</t>
  </si>
  <si>
    <t>Payroll taxes - CO</t>
  </si>
  <si>
    <t>Account management and support</t>
  </si>
  <si>
    <t>SEM Consulting</t>
  </si>
  <si>
    <t>Travel - Account Management</t>
  </si>
  <si>
    <t>SUM1YR</t>
  </si>
  <si>
    <t>Closed</t>
  </si>
  <si>
    <t>Net GM Retention %</t>
  </si>
  <si>
    <t>GM from Retained</t>
  </si>
  <si>
    <t>Payroll taxes - SM</t>
  </si>
  <si>
    <t>Bank charges</t>
  </si>
  <si>
    <t>Other fixed costs as model scales</t>
  </si>
  <si>
    <t>Tech Consulting</t>
  </si>
  <si>
    <t>Cash Flow</t>
  </si>
  <si>
    <r>
      <rPr>
        <b/>
        <sz val="10"/>
        <color theme="1"/>
        <rFont val="Calibri"/>
        <family val="2"/>
        <scheme val="minor"/>
      </rPr>
      <t>NOTE:</t>
    </r>
    <r>
      <rPr>
        <sz val="10"/>
        <color theme="1"/>
        <rFont val="Calibri"/>
        <family val="2"/>
        <scheme val="minor"/>
      </rPr>
      <t xml:space="preserve"> ONLY INPUT 1 YEAR WORTH OF GM, THE RETENTION ASPECT OF THE MODEL WILL TAKE IT FROM THERE.</t>
    </r>
  </si>
  <si>
    <t>REV</t>
  </si>
  <si>
    <t>G&amp;A contractors</t>
  </si>
  <si>
    <t>Bad debt expense</t>
  </si>
  <si>
    <t>Public Relations</t>
  </si>
  <si>
    <t>Sales travel</t>
  </si>
  <si>
    <t>Asana</t>
  </si>
  <si>
    <t>Total payroll:</t>
  </si>
  <si>
    <t>GM Total</t>
  </si>
  <si>
    <t>Revenue Total</t>
  </si>
  <si>
    <t>Jira</t>
  </si>
  <si>
    <t>Rdio</t>
  </si>
  <si>
    <t>SEO Consulting</t>
  </si>
  <si>
    <t>Customer Success</t>
  </si>
  <si>
    <t>Desk</t>
  </si>
  <si>
    <t>Income Statements</t>
  </si>
  <si>
    <t>New Sales</t>
  </si>
  <si>
    <t>New Business, PPC</t>
  </si>
  <si>
    <t>Total New PPC GM</t>
  </si>
  <si>
    <r>
      <t xml:space="preserve">Signup Date V  /  Customer Date  </t>
    </r>
    <r>
      <rPr>
        <sz val="10"/>
        <color theme="1"/>
        <rFont val="Calibri"/>
        <family val="2"/>
        <scheme val="minor"/>
      </rPr>
      <t>&gt;</t>
    </r>
  </si>
  <si>
    <t>become customer in signup month</t>
  </si>
  <si>
    <t>become customer one month later</t>
  </si>
  <si>
    <t>become customer two months later</t>
  </si>
  <si>
    <t>become customer prior to that x factor</t>
  </si>
  <si>
    <t>PPC Conversions (signups)</t>
  </si>
  <si>
    <t>Cost per conversion (CPA)</t>
  </si>
  <si>
    <r>
      <t xml:space="preserve">Spend </t>
    </r>
    <r>
      <rPr>
        <i/>
        <sz val="10"/>
        <color rgb="FF0000FF"/>
        <rFont val="Calibri"/>
        <family val="2"/>
        <scheme val="minor"/>
      </rPr>
      <t>(pulls from other costs tab)</t>
    </r>
  </si>
  <si>
    <t>Forecast (&amp; historic actuals)</t>
  </si>
  <si>
    <r>
      <t xml:space="preserve">Signup Date V  /  GM Date  </t>
    </r>
    <r>
      <rPr>
        <sz val="10"/>
        <color theme="1"/>
        <rFont val="Calibri"/>
        <family val="2"/>
        <scheme val="minor"/>
      </rPr>
      <t>&gt;</t>
    </r>
  </si>
  <si>
    <t>Actual GM by Cohort</t>
  </si>
  <si>
    <t>New organic customers</t>
  </si>
  <si>
    <t>YoY new customer growth rate</t>
  </si>
  <si>
    <t>Actual customer count by cohort</t>
  </si>
  <si>
    <t>New ppc customers</t>
  </si>
  <si>
    <t>New sales customers</t>
  </si>
  <si>
    <t>Total New Sales GM</t>
  </si>
  <si>
    <t>Professional fees - other</t>
  </si>
  <si>
    <t>Product</t>
  </si>
  <si>
    <t>PPC - Other</t>
  </si>
  <si>
    <t>PPC - Adwords</t>
  </si>
  <si>
    <t>Advertising</t>
  </si>
  <si>
    <t>Outsourced Design</t>
  </si>
  <si>
    <t>Trade shows</t>
  </si>
  <si>
    <t>Event sponsorships</t>
  </si>
  <si>
    <t>Payroll software</t>
  </si>
  <si>
    <t>Travel - Other non-sales</t>
  </si>
  <si>
    <t>Cellular &amp; Aircards</t>
  </si>
  <si>
    <t>Office Internet</t>
  </si>
  <si>
    <t>Office Phone</t>
  </si>
  <si>
    <t>Sales</t>
  </si>
  <si>
    <t>Months from closing to generating revenue</t>
  </si>
  <si>
    <t>Rep 1</t>
  </si>
  <si>
    <t>Rep 2</t>
  </si>
  <si>
    <t>Rep 3</t>
  </si>
  <si>
    <t>Rep 4</t>
  </si>
  <si>
    <t>Former reps</t>
  </si>
  <si>
    <t>Revenue pattern</t>
  </si>
  <si>
    <t>Revenue and GM Summary</t>
  </si>
  <si>
    <t>CEO</t>
  </si>
  <si>
    <t>Office Manager</t>
  </si>
  <si>
    <t>Finance Manager</t>
  </si>
  <si>
    <t>Engineer</t>
  </si>
  <si>
    <t>Product Manager</t>
  </si>
  <si>
    <t>QA</t>
  </si>
  <si>
    <t>Designer</t>
  </si>
  <si>
    <t>Marketing Manager</t>
  </si>
  <si>
    <t>Writer</t>
  </si>
  <si>
    <t>Community Manager</t>
  </si>
  <si>
    <t>CS Manager</t>
  </si>
  <si>
    <t>CS Rep</t>
  </si>
  <si>
    <t>Somebody 1</t>
  </si>
  <si>
    <t>Somebody 2</t>
  </si>
  <si>
    <t>Somebody 3</t>
  </si>
  <si>
    <t>Marketing person</t>
  </si>
  <si>
    <t>Product development</t>
  </si>
  <si>
    <t>G&amp;A</t>
  </si>
  <si>
    <r>
      <t>People Costs</t>
    </r>
    <r>
      <rPr>
        <sz val="10"/>
        <rFont val="Calibri"/>
        <family val="2"/>
        <scheme val="minor"/>
      </rPr>
      <t xml:space="preserve"> (Salary, Commission, Healthcare, Payroll Taxes)</t>
    </r>
  </si>
  <si>
    <t>Baseline</t>
  </si>
  <si>
    <r>
      <t xml:space="preserve">Former Employees </t>
    </r>
    <r>
      <rPr>
        <sz val="10"/>
        <rFont val="Calibri"/>
        <family val="2"/>
        <scheme val="minor"/>
      </rPr>
      <t>(cut &amp; paste to here to maintain history)</t>
    </r>
  </si>
  <si>
    <t>(if you have 1 or a handful of larger customers, it might be easier to project their revenue directly)</t>
  </si>
  <si>
    <t>big customer 1</t>
  </si>
  <si>
    <t>big customer 2</t>
  </si>
  <si>
    <t>big customer 3</t>
  </si>
  <si>
    <t>big customer 4</t>
  </si>
  <si>
    <t>big customer 5</t>
  </si>
  <si>
    <t>Closed business</t>
  </si>
  <si>
    <t>Commission?</t>
  </si>
  <si>
    <t>Yes</t>
  </si>
  <si>
    <t>No</t>
  </si>
  <si>
    <t>New Business, unique customers</t>
  </si>
  <si>
    <t>Slack</t>
  </si>
  <si>
    <t>Some per seat thing</t>
  </si>
  <si>
    <t>Subscription software ($ per month)</t>
  </si>
  <si>
    <t>per seat</t>
  </si>
  <si>
    <t>per mth</t>
  </si>
  <si>
    <t>An event</t>
  </si>
  <si>
    <t>Another event</t>
  </si>
  <si>
    <t>Organic/PPC</t>
  </si>
  <si>
    <t>New PPC</t>
  </si>
  <si>
    <t>RV</t>
  </si>
  <si>
    <t>Capitalized Software</t>
  </si>
  <si>
    <t>Total fixed assets</t>
  </si>
  <si>
    <t>Some prepaid expense</t>
  </si>
  <si>
    <t>Some debt</t>
  </si>
  <si>
    <t>Some accrued expense</t>
  </si>
  <si>
    <t>DR</t>
  </si>
  <si>
    <t>AE</t>
  </si>
  <si>
    <t>PE</t>
  </si>
  <si>
    <t>DT</t>
  </si>
  <si>
    <t>Net Fixed Assets</t>
  </si>
  <si>
    <t>Software project</t>
  </si>
  <si>
    <t>Self Payment</t>
  </si>
  <si>
    <t>Assumed net incom</t>
  </si>
  <si>
    <t>Assumed taxes</t>
  </si>
  <si>
    <t>Big Package</t>
  </si>
  <si>
    <t>Little Package</t>
  </si>
  <si>
    <t>Big Sales</t>
  </si>
  <si>
    <t>Little Sales</t>
  </si>
  <si>
    <t>Big Units</t>
  </si>
  <si>
    <t>Little Units</t>
  </si>
  <si>
    <t>Total Customers</t>
  </si>
  <si>
    <t>total customers</t>
  </si>
  <si>
    <t>Big Price</t>
  </si>
  <si>
    <t>Little Price</t>
  </si>
  <si>
    <t>Big Rev</t>
  </si>
  <si>
    <t>Little Rev</t>
  </si>
  <si>
    <t>Costs</t>
  </si>
  <si>
    <t>Gross Profit</t>
  </si>
  <si>
    <t>Net Profit</t>
  </si>
  <si>
    <t>Self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</si>
</sst>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[$-409]mmm\-yy;@"/>
    <numFmt numFmtId="166" formatCode="_(&quot;$&quot;* #,##0_);_(&quot;$&quot;* \(#,##0\);_(&quot;$&quot;* &quot;-&quot;??_);_(@_)"/>
    <numFmt numFmtId="167" formatCode="m/d/yy;@"/>
    <numFmt numFmtId="168" formatCode="_(* #,##0_);_(* \(#,##0\);_(* &quot;-&quot;??_);_(@_)"/>
    <numFmt numFmtId="169" formatCode="_(&quot;$&quot;* #,##0.00_);_(&quot;$&quot;* \(#,##0.00\);_(&quot;$&quot;* &quot;-&quot;_);_(@_)"/>
    <numFmt numFmtId="170" formatCode="_(* #,##0.00_);_(* \(#,##0.00\);_(* &quot;-&quot;_);_(@_)"/>
    <numFmt numFmtId="171" formatCode="&quot;$&quot;#,##0"/>
  </numFmts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6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6" tint="-0.249977111117893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u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i/>
      <u/>
      <sz val="11"/>
      <color theme="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0"/>
      <color theme="0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i/>
      <sz val="10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i/>
      <sz val="10"/>
      <color rgb="FF0000FF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99CC"/>
        <bgColor indexed="64"/>
      </patternFill>
    </fill>
    <fill>
      <patternFill patternType="solid">
        <fgColor rgb="FFAAAACC"/>
        <bgColor indexed="64"/>
      </patternFill>
    </fill>
    <fill>
      <patternFill patternType="solid">
        <fgColor rgb="FFAAAA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 style="thin">
        <color theme="8" tint="-0.499984740745262"/>
      </top>
      <bottom/>
      <diagonal/>
    </border>
    <border>
      <left/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 style="thin">
        <color theme="8" tint="-0.499984740745262"/>
      </bottom>
      <diagonal/>
    </border>
    <border>
      <left/>
      <right/>
      <top/>
      <bottom style="thin">
        <color theme="8" tint="-0.499984740745262"/>
      </bottom>
      <diagonal/>
    </border>
    <border>
      <left/>
      <right style="thin">
        <color theme="8" tint="-0.499984740745262"/>
      </right>
      <top/>
      <bottom style="thin">
        <color theme="8" tint="-0.499984740745262"/>
      </bottom>
      <diagonal/>
    </border>
  </borders>
  <cellStyleXfs count="78">
    <xf numFmtId="0" fontId="0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84">
    <xf numFmtId="0" fontId="0" fillId="0" borderId="0" xfId="0"/>
    <xf numFmtId="41" fontId="0" fillId="0" borderId="0" xfId="0" applyNumberFormat="1"/>
    <xf numFmtId="0" fontId="1" fillId="0" borderId="0" xfId="0" applyFont="1"/>
    <xf numFmtId="0" fontId="3" fillId="0" borderId="0" xfId="0" applyFont="1"/>
    <xf numFmtId="0" fontId="6" fillId="0" borderId="0" xfId="0" applyFont="1"/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8" fontId="0" fillId="0" borderId="0" xfId="17" applyNumberFormat="1" applyFont="1"/>
    <xf numFmtId="0" fontId="8" fillId="0" borderId="0" xfId="0" applyFont="1" applyAlignment="1">
      <alignment horizontal="center"/>
    </xf>
    <xf numFmtId="9" fontId="0" fillId="0" borderId="0" xfId="18" applyFont="1"/>
    <xf numFmtId="1" fontId="0" fillId="0" borderId="0" xfId="0" applyNumberFormat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wrapText="1"/>
    </xf>
    <xf numFmtId="0" fontId="17" fillId="7" borderId="0" xfId="66" applyFont="1" applyFill="1" applyAlignment="1">
      <alignment horizontal="center" vertical="center"/>
    </xf>
    <xf numFmtId="17" fontId="17" fillId="8" borderId="0" xfId="66" applyNumberFormat="1" applyFont="1" applyFill="1" applyAlignment="1">
      <alignment horizontal="center" vertical="center"/>
    </xf>
    <xf numFmtId="17" fontId="18" fillId="9" borderId="0" xfId="66" applyNumberFormat="1" applyFont="1" applyFill="1" applyAlignment="1">
      <alignment vertical="top"/>
    </xf>
    <xf numFmtId="168" fontId="18" fillId="8" borderId="0" xfId="17" applyNumberFormat="1" applyFont="1" applyFill="1" applyAlignment="1">
      <alignment horizontal="right" vertical="top" wrapText="1"/>
    </xf>
    <xf numFmtId="17" fontId="17" fillId="0" borderId="0" xfId="19" applyNumberFormat="1" applyFont="1"/>
    <xf numFmtId="0" fontId="18" fillId="0" borderId="0" xfId="0" applyFont="1"/>
    <xf numFmtId="0" fontId="17" fillId="0" borderId="0" xfId="0" applyFont="1"/>
    <xf numFmtId="9" fontId="19" fillId="0" borderId="0" xfId="0" applyNumberFormat="1" applyFont="1"/>
    <xf numFmtId="168" fontId="18" fillId="0" borderId="0" xfId="17" applyNumberFormat="1" applyFont="1"/>
    <xf numFmtId="171" fontId="18" fillId="0" borderId="0" xfId="0" applyNumberFormat="1" applyFont="1"/>
    <xf numFmtId="0" fontId="17" fillId="10" borderId="0" xfId="0" applyFont="1" applyFill="1"/>
    <xf numFmtId="171" fontId="17" fillId="10" borderId="0" xfId="0" applyNumberFormat="1" applyFont="1" applyFill="1"/>
    <xf numFmtId="0" fontId="21" fillId="0" borderId="0" xfId="0" applyFont="1"/>
    <xf numFmtId="0" fontId="18" fillId="0" borderId="0" xfId="0" applyFont="1" applyAlignment="1">
      <alignment horizontal="center"/>
    </xf>
    <xf numFmtId="41" fontId="18" fillId="0" borderId="0" xfId="0" applyNumberFormat="1" applyFont="1"/>
    <xf numFmtId="165" fontId="18" fillId="0" borderId="0" xfId="0" applyNumberFormat="1" applyFont="1"/>
    <xf numFmtId="0" fontId="22" fillId="0" borderId="0" xfId="19" applyFont="1"/>
    <xf numFmtId="41" fontId="19" fillId="0" borderId="0" xfId="0" applyNumberFormat="1" applyFont="1"/>
    <xf numFmtId="41" fontId="23" fillId="0" borderId="0" xfId="0" applyNumberFormat="1" applyFont="1"/>
    <xf numFmtId="0" fontId="17" fillId="0" borderId="5" xfId="0" applyFont="1" applyBorder="1"/>
    <xf numFmtId="41" fontId="17" fillId="0" borderId="0" xfId="0" applyNumberFormat="1" applyFont="1"/>
    <xf numFmtId="41" fontId="24" fillId="0" borderId="0" xfId="0" applyNumberFormat="1" applyFont="1"/>
    <xf numFmtId="41" fontId="25" fillId="0" borderId="0" xfId="0" applyNumberFormat="1" applyFont="1"/>
    <xf numFmtId="0" fontId="26" fillId="0" borderId="0" xfId="0" applyFont="1"/>
    <xf numFmtId="0" fontId="25" fillId="0" borderId="0" xfId="0" applyFont="1"/>
    <xf numFmtId="0" fontId="27" fillId="0" borderId="0" xfId="0" applyFont="1" applyAlignment="1">
      <alignment horizontal="center"/>
    </xf>
    <xf numFmtId="165" fontId="17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165" fontId="18" fillId="0" borderId="0" xfId="0" applyNumberFormat="1" applyFont="1" applyAlignment="1">
      <alignment horizontal="right"/>
    </xf>
    <xf numFmtId="9" fontId="17" fillId="2" borderId="4" xfId="18" applyFont="1" applyFill="1" applyBorder="1" applyAlignment="1">
      <alignment horizontal="center"/>
    </xf>
    <xf numFmtId="0" fontId="29" fillId="0" borderId="0" xfId="0" applyFont="1"/>
    <xf numFmtId="0" fontId="25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3" fillId="0" borderId="0" xfId="0" applyFont="1"/>
    <xf numFmtId="0" fontId="30" fillId="0" borderId="0" xfId="0" applyFont="1"/>
    <xf numFmtId="41" fontId="24" fillId="0" borderId="0" xfId="0" quotePrefix="1" applyNumberFormat="1" applyFont="1" applyAlignment="1">
      <alignment horizontal="center"/>
    </xf>
    <xf numFmtId="165" fontId="25" fillId="0" borderId="0" xfId="0" applyNumberFormat="1" applyFont="1"/>
    <xf numFmtId="0" fontId="22" fillId="0" borderId="0" xfId="0" applyFont="1"/>
    <xf numFmtId="168" fontId="18" fillId="0" borderId="0" xfId="17" applyNumberFormat="1" applyFont="1" applyFill="1"/>
    <xf numFmtId="168" fontId="18" fillId="0" borderId="0" xfId="0" applyNumberFormat="1" applyFont="1"/>
    <xf numFmtId="165" fontId="17" fillId="0" borderId="3" xfId="0" applyNumberFormat="1" applyFont="1" applyBorder="1" applyAlignment="1">
      <alignment horizontal="center"/>
    </xf>
    <xf numFmtId="0" fontId="17" fillId="0" borderId="3" xfId="0" applyFont="1" applyBorder="1"/>
    <xf numFmtId="0" fontId="20" fillId="0" borderId="0" xfId="0" applyFont="1" applyAlignment="1">
      <alignment horizontal="center"/>
    </xf>
    <xf numFmtId="0" fontId="17" fillId="0" borderId="1" xfId="0" applyFont="1" applyBorder="1"/>
    <xf numFmtId="41" fontId="17" fillId="0" borderId="1" xfId="0" applyNumberFormat="1" applyFont="1" applyBorder="1"/>
    <xf numFmtId="166" fontId="19" fillId="0" borderId="0" xfId="65" applyNumberFormat="1" applyFont="1"/>
    <xf numFmtId="168" fontId="19" fillId="0" borderId="0" xfId="17" applyNumberFormat="1" applyFont="1"/>
    <xf numFmtId="0" fontId="24" fillId="0" borderId="0" xfId="0" applyFont="1"/>
    <xf numFmtId="168" fontId="24" fillId="0" borderId="0" xfId="17" applyNumberFormat="1" applyFont="1"/>
    <xf numFmtId="168" fontId="17" fillId="0" borderId="5" xfId="17" applyNumberFormat="1" applyFont="1" applyBorder="1"/>
    <xf numFmtId="0" fontId="29" fillId="0" borderId="1" xfId="0" applyFont="1" applyBorder="1"/>
    <xf numFmtId="41" fontId="18" fillId="0" borderId="1" xfId="0" applyNumberFormat="1" applyFont="1" applyBorder="1"/>
    <xf numFmtId="41" fontId="18" fillId="5" borderId="0" xfId="0" applyNumberFormat="1" applyFont="1" applyFill="1"/>
    <xf numFmtId="41" fontId="29" fillId="0" borderId="1" xfId="0" applyNumberFormat="1" applyFont="1" applyBorder="1"/>
    <xf numFmtId="41" fontId="17" fillId="5" borderId="1" xfId="0" applyNumberFormat="1" applyFont="1" applyFill="1" applyBorder="1"/>
    <xf numFmtId="164" fontId="24" fillId="0" borderId="0" xfId="18" applyNumberFormat="1" applyFont="1" applyFill="1"/>
    <xf numFmtId="164" fontId="24" fillId="5" borderId="0" xfId="18" applyNumberFormat="1" applyFont="1" applyFill="1"/>
    <xf numFmtId="0" fontId="32" fillId="0" borderId="1" xfId="0" applyFont="1" applyBorder="1"/>
    <xf numFmtId="0" fontId="17" fillId="0" borderId="2" xfId="0" applyFont="1" applyBorder="1"/>
    <xf numFmtId="41" fontId="17" fillId="0" borderId="2" xfId="0" applyNumberFormat="1" applyFont="1" applyBorder="1"/>
    <xf numFmtId="41" fontId="17" fillId="5" borderId="2" xfId="0" applyNumberFormat="1" applyFont="1" applyFill="1" applyBorder="1"/>
    <xf numFmtId="0" fontId="33" fillId="0" borderId="0" xfId="0" applyFont="1"/>
    <xf numFmtId="165" fontId="29" fillId="0" borderId="3" xfId="0" applyNumberFormat="1" applyFont="1" applyBorder="1" applyAlignment="1">
      <alignment horizontal="center"/>
    </xf>
    <xf numFmtId="0" fontId="34" fillId="11" borderId="0" xfId="0" applyFont="1" applyFill="1"/>
    <xf numFmtId="0" fontId="18" fillId="6" borderId="0" xfId="0" applyFont="1" applyFill="1"/>
    <xf numFmtId="41" fontId="18" fillId="6" borderId="0" xfId="0" applyNumberFormat="1" applyFont="1" applyFill="1"/>
    <xf numFmtId="0" fontId="30" fillId="0" borderId="0" xfId="0" applyFont="1" applyAlignment="1">
      <alignment horizontal="center"/>
    </xf>
    <xf numFmtId="168" fontId="25" fillId="0" borderId="0" xfId="0" applyNumberFormat="1" applyFont="1"/>
    <xf numFmtId="0" fontId="35" fillId="0" borderId="0" xfId="0" applyFont="1"/>
    <xf numFmtId="0" fontId="36" fillId="0" borderId="1" xfId="0" applyFont="1" applyBorder="1"/>
    <xf numFmtId="0" fontId="37" fillId="0" borderId="0" xfId="0" applyFont="1"/>
    <xf numFmtId="41" fontId="31" fillId="0" borderId="1" xfId="0" applyNumberFormat="1" applyFont="1" applyBorder="1"/>
    <xf numFmtId="41" fontId="18" fillId="0" borderId="2" xfId="0" applyNumberFormat="1" applyFont="1" applyBorder="1"/>
    <xf numFmtId="41" fontId="17" fillId="6" borderId="1" xfId="0" applyNumberFormat="1" applyFont="1" applyFill="1" applyBorder="1"/>
    <xf numFmtId="41" fontId="23" fillId="0" borderId="1" xfId="0" applyNumberFormat="1" applyFont="1" applyBorder="1"/>
    <xf numFmtId="165" fontId="17" fillId="6" borderId="0" xfId="0" applyNumberFormat="1" applyFont="1" applyFill="1" applyAlignment="1">
      <alignment horizontal="center"/>
    </xf>
    <xf numFmtId="165" fontId="17" fillId="0" borderId="3" xfId="0" quotePrefix="1" applyNumberFormat="1" applyFont="1" applyBorder="1" applyAlignment="1">
      <alignment horizontal="center"/>
    </xf>
    <xf numFmtId="0" fontId="17" fillId="0" borderId="3" xfId="0" quotePrefix="1" applyFont="1" applyBorder="1" applyAlignment="1">
      <alignment horizontal="center"/>
    </xf>
    <xf numFmtId="41" fontId="18" fillId="6" borderId="2" xfId="0" applyNumberFormat="1" applyFont="1" applyFill="1" applyBorder="1"/>
    <xf numFmtId="171" fontId="25" fillId="0" borderId="0" xfId="0" applyNumberFormat="1" applyFont="1"/>
    <xf numFmtId="164" fontId="19" fillId="0" borderId="0" xfId="18" applyNumberFormat="1" applyFont="1" applyFill="1"/>
    <xf numFmtId="171" fontId="23" fillId="0" borderId="0" xfId="0" applyNumberFormat="1" applyFont="1"/>
    <xf numFmtId="168" fontId="23" fillId="0" borderId="0" xfId="0" applyNumberFormat="1" applyFont="1"/>
    <xf numFmtId="42" fontId="23" fillId="0" borderId="0" xfId="0" applyNumberFormat="1" applyFont="1"/>
    <xf numFmtId="166" fontId="18" fillId="0" borderId="0" xfId="65" applyNumberFormat="1" applyFont="1"/>
    <xf numFmtId="9" fontId="23" fillId="0" borderId="0" xfId="0" applyNumberFormat="1" applyFont="1"/>
    <xf numFmtId="0" fontId="13" fillId="0" borderId="0" xfId="0" applyFont="1"/>
    <xf numFmtId="164" fontId="38" fillId="0" borderId="0" xfId="18" applyNumberFormat="1" applyFont="1" applyFill="1"/>
    <xf numFmtId="17" fontId="17" fillId="0" borderId="3" xfId="19" applyNumberFormat="1" applyFont="1" applyBorder="1"/>
    <xf numFmtId="43" fontId="18" fillId="0" borderId="0" xfId="0" applyNumberFormat="1" applyFont="1"/>
    <xf numFmtId="170" fontId="18" fillId="0" borderId="0" xfId="0" applyNumberFormat="1" applyFont="1"/>
    <xf numFmtId="41" fontId="31" fillId="0" borderId="2" xfId="0" applyNumberFormat="1" applyFont="1" applyBorder="1"/>
    <xf numFmtId="169" fontId="18" fillId="0" borderId="0" xfId="0" applyNumberFormat="1" applyFont="1"/>
    <xf numFmtId="0" fontId="17" fillId="3" borderId="3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167" fontId="18" fillId="0" borderId="0" xfId="0" applyNumberFormat="1" applyFont="1"/>
    <xf numFmtId="169" fontId="18" fillId="4" borderId="0" xfId="0" applyNumberFormat="1" applyFont="1" applyFill="1"/>
    <xf numFmtId="167" fontId="17" fillId="0" borderId="0" xfId="0" applyNumberFormat="1" applyFont="1"/>
    <xf numFmtId="164" fontId="19" fillId="0" borderId="0" xfId="18" applyNumberFormat="1" applyFont="1" applyFill="1" applyBorder="1"/>
    <xf numFmtId="0" fontId="19" fillId="0" borderId="0" xfId="0" applyFont="1"/>
    <xf numFmtId="0" fontId="39" fillId="0" borderId="0" xfId="0" applyFont="1"/>
    <xf numFmtId="0" fontId="17" fillId="0" borderId="3" xfId="0" applyFont="1" applyBorder="1" applyAlignment="1">
      <alignment horizontal="center"/>
    </xf>
    <xf numFmtId="0" fontId="40" fillId="12" borderId="6" xfId="0" applyFont="1" applyFill="1" applyBorder="1" applyAlignment="1">
      <alignment horizontal="center"/>
    </xf>
    <xf numFmtId="0" fontId="40" fillId="12" borderId="7" xfId="0" applyFont="1" applyFill="1" applyBorder="1" applyAlignment="1">
      <alignment horizontal="center"/>
    </xf>
    <xf numFmtId="0" fontId="40" fillId="12" borderId="8" xfId="0" applyFont="1" applyFill="1" applyBorder="1" applyAlignment="1">
      <alignment horizontal="center"/>
    </xf>
    <xf numFmtId="166" fontId="41" fillId="12" borderId="9" xfId="65" applyNumberFormat="1" applyFont="1" applyFill="1" applyBorder="1" applyAlignment="1">
      <alignment horizontal="center"/>
    </xf>
    <xf numFmtId="166" fontId="41" fillId="12" borderId="10" xfId="65" applyNumberFormat="1" applyFont="1" applyFill="1" applyBorder="1" applyAlignment="1">
      <alignment horizontal="center"/>
    </xf>
    <xf numFmtId="168" fontId="41" fillId="12" borderId="11" xfId="0" applyNumberFormat="1" applyFont="1" applyFill="1" applyBorder="1" applyAlignment="1">
      <alignment horizontal="center"/>
    </xf>
    <xf numFmtId="41" fontId="23" fillId="6" borderId="0" xfId="0" applyNumberFormat="1" applyFont="1" applyFill="1"/>
    <xf numFmtId="41" fontId="31" fillId="6" borderId="1" xfId="0" applyNumberFormat="1" applyFont="1" applyFill="1" applyBorder="1"/>
    <xf numFmtId="41" fontId="31" fillId="6" borderId="2" xfId="0" applyNumberFormat="1" applyFont="1" applyFill="1" applyBorder="1"/>
    <xf numFmtId="0" fontId="17" fillId="0" borderId="3" xfId="0" applyFont="1" applyBorder="1" applyAlignment="1">
      <alignment horizontal="left"/>
    </xf>
    <xf numFmtId="4" fontId="18" fillId="0" borderId="0" xfId="0" applyNumberFormat="1" applyFont="1"/>
    <xf numFmtId="166" fontId="23" fillId="0" borderId="0" xfId="0" applyNumberFormat="1" applyFont="1"/>
    <xf numFmtId="166" fontId="19" fillId="0" borderId="0" xfId="0" applyNumberFormat="1" applyFont="1"/>
    <xf numFmtId="0" fontId="14" fillId="0" borderId="0" xfId="0" applyFont="1" applyAlignment="1">
      <alignment horizontal="left"/>
    </xf>
    <xf numFmtId="0" fontId="17" fillId="7" borderId="0" xfId="0" applyFont="1" applyFill="1" applyAlignment="1">
      <alignment horizontal="center" vertical="center"/>
    </xf>
    <xf numFmtId="17" fontId="17" fillId="8" borderId="0" xfId="0" applyNumberFormat="1" applyFont="1" applyFill="1" applyAlignment="1">
      <alignment horizontal="center" vertical="center"/>
    </xf>
    <xf numFmtId="41" fontId="18" fillId="9" borderId="0" xfId="0" applyNumberFormat="1" applyFont="1" applyFill="1" applyAlignment="1">
      <alignment horizontal="right" vertical="top"/>
    </xf>
    <xf numFmtId="17" fontId="18" fillId="9" borderId="0" xfId="0" applyNumberFormat="1" applyFont="1" applyFill="1" applyAlignment="1">
      <alignment vertical="top"/>
    </xf>
    <xf numFmtId="41" fontId="18" fillId="8" borderId="0" xfId="0" applyNumberFormat="1" applyFont="1" applyFill="1" applyAlignment="1">
      <alignment horizontal="right" vertical="top"/>
    </xf>
    <xf numFmtId="9" fontId="0" fillId="0" borderId="0" xfId="0" applyNumberFormat="1"/>
    <xf numFmtId="43" fontId="19" fillId="0" borderId="0" xfId="17" applyFont="1"/>
    <xf numFmtId="10" fontId="19" fillId="0" borderId="0" xfId="18" applyNumberFormat="1" applyFont="1"/>
    <xf numFmtId="164" fontId="23" fillId="0" borderId="0" xfId="18" applyNumberFormat="1" applyFont="1"/>
    <xf numFmtId="43" fontId="23" fillId="0" borderId="0" xfId="17" applyFont="1"/>
    <xf numFmtId="0" fontId="7" fillId="0" borderId="0" xfId="0" applyFont="1" applyAlignment="1">
      <alignment horizontal="right"/>
    </xf>
    <xf numFmtId="42" fontId="0" fillId="0" borderId="0" xfId="0" applyNumberFormat="1"/>
    <xf numFmtId="42" fontId="17" fillId="0" borderId="5" xfId="0" applyNumberFormat="1" applyFont="1" applyBorder="1"/>
    <xf numFmtId="0" fontId="0" fillId="0" borderId="0" xfId="0" applyAlignment="1">
      <alignment horizontal="left"/>
    </xf>
    <xf numFmtId="6" fontId="23" fillId="0" borderId="0" xfId="0" applyNumberFormat="1" applyFont="1"/>
    <xf numFmtId="6" fontId="31" fillId="0" borderId="5" xfId="0" applyNumberFormat="1" applyFont="1" applyBorder="1"/>
    <xf numFmtId="168" fontId="31" fillId="0" borderId="1" xfId="0" applyNumberFormat="1" applyFont="1" applyBorder="1"/>
    <xf numFmtId="166" fontId="41" fillId="12" borderId="11" xfId="65" applyNumberFormat="1" applyFont="1" applyFill="1" applyBorder="1" applyAlignment="1">
      <alignment horizontal="center"/>
    </xf>
    <xf numFmtId="168" fontId="19" fillId="0" borderId="0" xfId="17" applyNumberFormat="1" applyFont="1" applyFill="1" applyBorder="1"/>
    <xf numFmtId="0" fontId="43" fillId="0" borderId="0" xfId="0" applyFont="1"/>
    <xf numFmtId="4" fontId="23" fillId="0" borderId="0" xfId="0" applyNumberFormat="1" applyFont="1"/>
    <xf numFmtId="9" fontId="39" fillId="0" borderId="0" xfId="18" applyFont="1"/>
    <xf numFmtId="43" fontId="18" fillId="0" borderId="0" xfId="17" applyFont="1"/>
    <xf numFmtId="0" fontId="44" fillId="0" borderId="0" xfId="0" applyFont="1"/>
    <xf numFmtId="42" fontId="19" fillId="0" borderId="0" xfId="0" applyNumberFormat="1" applyFont="1"/>
    <xf numFmtId="166" fontId="17" fillId="0" borderId="5" xfId="65" applyNumberFormat="1" applyFont="1" applyBorder="1"/>
    <xf numFmtId="166" fontId="18" fillId="0" borderId="0" xfId="65" applyNumberFormat="1" applyFont="1" applyFill="1"/>
    <xf numFmtId="9" fontId="18" fillId="0" borderId="0" xfId="67" applyFont="1" applyFill="1" applyAlignment="1"/>
    <xf numFmtId="168" fontId="23" fillId="0" borderId="0" xfId="17" applyNumberFormat="1" applyFont="1" applyFill="1" applyBorder="1"/>
    <xf numFmtId="0" fontId="32" fillId="0" borderId="0" xfId="0" applyFont="1"/>
    <xf numFmtId="41" fontId="22" fillId="0" borderId="0" xfId="0" applyNumberFormat="1" applyFont="1"/>
    <xf numFmtId="0" fontId="23" fillId="6" borderId="0" xfId="0" applyFont="1" applyFill="1"/>
    <xf numFmtId="41" fontId="25" fillId="6" borderId="0" xfId="0" applyNumberFormat="1" applyFont="1" applyFill="1"/>
    <xf numFmtId="0" fontId="25" fillId="6" borderId="0" xfId="0" applyFont="1" applyFill="1"/>
    <xf numFmtId="41" fontId="29" fillId="6" borderId="1" xfId="0" applyNumberFormat="1" applyFont="1" applyFill="1" applyBorder="1"/>
    <xf numFmtId="41" fontId="29" fillId="6" borderId="2" xfId="0" applyNumberFormat="1" applyFont="1" applyFill="1" applyBorder="1"/>
    <xf numFmtId="41" fontId="29" fillId="0" borderId="2" xfId="0" applyNumberFormat="1" applyFont="1" applyBorder="1"/>
    <xf numFmtId="41" fontId="23" fillId="0" borderId="2" xfId="0" applyNumberFormat="1" applyFont="1" applyBorder="1"/>
    <xf numFmtId="171" fontId="0" fillId="0" borderId="0" xfId="0" applyNumberFormat="1"/>
    <xf numFmtId="0" fontId="24" fillId="0" borderId="0" xfId="0" applyFont="1" applyAlignment="1">
      <alignment horizontal="center"/>
    </xf>
    <xf numFmtId="0" fontId="24" fillId="0" borderId="0" xfId="0" quotePrefix="1" applyFont="1" applyAlignment="1">
      <alignment horizontal="center"/>
    </xf>
    <xf numFmtId="167" fontId="19" fillId="0" borderId="0" xfId="0" applyNumberFormat="1" applyFont="1" applyAlignment="1">
      <alignment horizontal="center"/>
    </xf>
    <xf numFmtId="167" fontId="45" fillId="0" borderId="0" xfId="0" applyNumberFormat="1" applyFont="1"/>
    <xf numFmtId="41" fontId="45" fillId="0" borderId="0" xfId="0" applyNumberFormat="1" applyFont="1"/>
    <xf numFmtId="0" fontId="19" fillId="0" borderId="0" xfId="0" applyFont="1" applyAlignment="1">
      <alignment horizontal="center"/>
    </xf>
    <xf numFmtId="167" fontId="45" fillId="0" borderId="0" xfId="0" applyNumberFormat="1" applyFont="1" applyAlignment="1">
      <alignment horizontal="center"/>
    </xf>
    <xf numFmtId="10" fontId="19" fillId="0" borderId="0" xfId="0" applyNumberFormat="1" applyFont="1"/>
    <xf numFmtId="169" fontId="19" fillId="0" borderId="0" xfId="0" applyNumberFormat="1" applyFont="1"/>
    <xf numFmtId="170" fontId="19" fillId="0" borderId="0" xfId="0" applyNumberFormat="1" applyFont="1"/>
  </cellXfs>
  <cellStyles count="78">
    <cellStyle name="Comma" xfId="17" builtinId="3"/>
    <cellStyle name="Comma 2" xfId="63" xr:uid="{00000000-0005-0000-0000-000001000000}"/>
    <cellStyle name="Currency" xfId="65" builtinId="4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 customBuiltin="1"/>
    <cellStyle name="Normal 10" xfId="9" xr:uid="{00000000-0005-0000-0000-000038000000}"/>
    <cellStyle name="Normal 11" xfId="10" xr:uid="{00000000-0005-0000-0000-000039000000}"/>
    <cellStyle name="Normal 12" xfId="11" xr:uid="{00000000-0005-0000-0000-00003A000000}"/>
    <cellStyle name="Normal 13" xfId="12" xr:uid="{00000000-0005-0000-0000-00003B000000}"/>
    <cellStyle name="Normal 14" xfId="13" xr:uid="{00000000-0005-0000-0000-00003C000000}"/>
    <cellStyle name="Normal 15" xfId="14" xr:uid="{00000000-0005-0000-0000-00003D000000}"/>
    <cellStyle name="Normal 16" xfId="15" xr:uid="{00000000-0005-0000-0000-00003E000000}"/>
    <cellStyle name="Normal 17" xfId="16" xr:uid="{00000000-0005-0000-0000-00003F000000}"/>
    <cellStyle name="Normal 18" xfId="19" xr:uid="{00000000-0005-0000-0000-000040000000}"/>
    <cellStyle name="Normal 2" xfId="1" xr:uid="{00000000-0005-0000-0000-000041000000}"/>
    <cellStyle name="Normal 2 2" xfId="62" xr:uid="{00000000-0005-0000-0000-000042000000}"/>
    <cellStyle name="Normal 25" xfId="66" xr:uid="{00000000-0005-0000-0000-000043000000}"/>
    <cellStyle name="Normal 3" xfId="2" xr:uid="{00000000-0005-0000-0000-000044000000}"/>
    <cellStyle name="Normal 4" xfId="3" xr:uid="{00000000-0005-0000-0000-000045000000}"/>
    <cellStyle name="Normal 5" xfId="4" xr:uid="{00000000-0005-0000-0000-000046000000}"/>
    <cellStyle name="Normal 6" xfId="5" xr:uid="{00000000-0005-0000-0000-000047000000}"/>
    <cellStyle name="Normal 7" xfId="6" xr:uid="{00000000-0005-0000-0000-000048000000}"/>
    <cellStyle name="Normal 8" xfId="7" xr:uid="{00000000-0005-0000-0000-000049000000}"/>
    <cellStyle name="Normal 9" xfId="8" xr:uid="{00000000-0005-0000-0000-00004A000000}"/>
    <cellStyle name="Percent" xfId="18" builtinId="5"/>
    <cellStyle name="Percent 2" xfId="64" xr:uid="{00000000-0005-0000-0000-00004C000000}"/>
    <cellStyle name="Percent 5" xfId="67" xr:uid="{00000000-0005-0000-0000-00004D000000}"/>
  </cellStyles>
  <dxfs count="12">
    <dxf>
      <font>
        <b/>
        <i val="0"/>
        <color theme="5" tint="-0.499984740745262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colors>
    <mruColors>
      <color rgb="FF0000FF"/>
      <color rgb="FFF3FA98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34925</xdr:rowOff>
    </xdr:to>
    <xdr:sp macro="" textlink="">
      <xdr:nvSpPr>
        <xdr:cNvPr id="17409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014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34925</xdr:rowOff>
    </xdr:to>
    <xdr:sp macro="" textlink="">
      <xdr:nvSpPr>
        <xdr:cNvPr id="17410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024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34925</xdr:rowOff>
    </xdr:to>
    <xdr:sp macro="" textlink="">
      <xdr:nvSpPr>
        <xdr:cNvPr id="17411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034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25400</xdr:rowOff>
    </xdr:to>
    <xdr:pic>
      <xdr:nvPicPr>
        <xdr:cNvPr id="4" name="Control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5381625"/>
          <a:ext cx="685800" cy="2190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25400</xdr:rowOff>
    </xdr:to>
    <xdr:pic>
      <xdr:nvPicPr>
        <xdr:cNvPr id="5" name="Control 2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5381625"/>
          <a:ext cx="685800" cy="2190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25400</xdr:rowOff>
    </xdr:to>
    <xdr:pic>
      <xdr:nvPicPr>
        <xdr:cNvPr id="6" name="Control 3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5381625"/>
          <a:ext cx="685800" cy="2190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34925</xdr:rowOff>
    </xdr:to>
    <xdr:pic>
      <xdr:nvPicPr>
        <xdr:cNvPr id="7" name="Control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00" y="5029200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34925</xdr:rowOff>
    </xdr:to>
    <xdr:pic>
      <xdr:nvPicPr>
        <xdr:cNvPr id="8" name="Control 2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00" y="5029200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34925</xdr:rowOff>
    </xdr:to>
    <xdr:pic>
      <xdr:nvPicPr>
        <xdr:cNvPr id="9" name="Control 3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5029200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34925</xdr:rowOff>
    </xdr:to>
    <xdr:sp macro="" textlink="">
      <xdr:nvSpPr>
        <xdr:cNvPr id="13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09550" y="2524125"/>
          <a:ext cx="914400" cy="2286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34925</xdr:rowOff>
    </xdr:to>
    <xdr:sp macro="" textlink="">
      <xdr:nvSpPr>
        <xdr:cNvPr id="14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09550" y="2524125"/>
          <a:ext cx="914400" cy="228600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34925</xdr:rowOff>
    </xdr:to>
    <xdr:sp macro="" textlink="">
      <xdr:nvSpPr>
        <xdr:cNvPr id="15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1850" y="2524125"/>
          <a:ext cx="914400" cy="2286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25400</xdr:rowOff>
    </xdr:to>
    <xdr:pic>
      <xdr:nvPicPr>
        <xdr:cNvPr id="16" name="Control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524125"/>
          <a:ext cx="685800" cy="2190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25400</xdr:rowOff>
    </xdr:to>
    <xdr:pic>
      <xdr:nvPicPr>
        <xdr:cNvPr id="17" name="Control 2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524125"/>
          <a:ext cx="685800" cy="2190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25400</xdr:rowOff>
    </xdr:to>
    <xdr:pic>
      <xdr:nvPicPr>
        <xdr:cNvPr id="18" name="Control 3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2524125"/>
          <a:ext cx="685800" cy="2190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34925</xdr:rowOff>
    </xdr:to>
    <xdr:pic>
      <xdr:nvPicPr>
        <xdr:cNvPr id="19" name="Control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524125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34925</xdr:rowOff>
    </xdr:to>
    <xdr:pic>
      <xdr:nvPicPr>
        <xdr:cNvPr id="20" name="Control 2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524125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34925</xdr:rowOff>
    </xdr:to>
    <xdr:pic>
      <xdr:nvPicPr>
        <xdr:cNvPr id="21" name="Control 3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" y="2524125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sp macro="" textlink="">
      <xdr:nvSpPr>
        <xdr:cNvPr id="23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209550" y="2419350"/>
          <a:ext cx="914400" cy="2190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sp macro="" textlink="">
      <xdr:nvSpPr>
        <xdr:cNvPr id="24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209550" y="2419350"/>
          <a:ext cx="914400" cy="219075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25400</xdr:rowOff>
    </xdr:to>
    <xdr:sp macro="" textlink="">
      <xdr:nvSpPr>
        <xdr:cNvPr id="25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831850" y="2419350"/>
          <a:ext cx="914400" cy="2190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15875</xdr:rowOff>
    </xdr:to>
    <xdr:pic>
      <xdr:nvPicPr>
        <xdr:cNvPr id="26" name="Control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419350"/>
          <a:ext cx="685800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15875</xdr:rowOff>
    </xdr:to>
    <xdr:pic>
      <xdr:nvPicPr>
        <xdr:cNvPr id="27" name="Control 2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419350"/>
          <a:ext cx="685800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15875</xdr:rowOff>
    </xdr:to>
    <xdr:pic>
      <xdr:nvPicPr>
        <xdr:cNvPr id="28" name="Control 3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2419350"/>
          <a:ext cx="685800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pic>
      <xdr:nvPicPr>
        <xdr:cNvPr id="29" name="Control 1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419350"/>
          <a:ext cx="914400" cy="2190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pic>
      <xdr:nvPicPr>
        <xdr:cNvPr id="30" name="Control 2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419350"/>
          <a:ext cx="914400" cy="2190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25400</xdr:rowOff>
    </xdr:to>
    <xdr:pic>
      <xdr:nvPicPr>
        <xdr:cNvPr id="31" name="Control 3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" y="2419350"/>
          <a:ext cx="914400" cy="2190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sp macro="" textlink="">
      <xdr:nvSpPr>
        <xdr:cNvPr id="32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209550" y="2419350"/>
          <a:ext cx="914400" cy="2190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sp macro="" textlink="">
      <xdr:nvSpPr>
        <xdr:cNvPr id="33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209550" y="2419350"/>
          <a:ext cx="914400" cy="219075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25400</xdr:rowOff>
    </xdr:to>
    <xdr:sp macro="" textlink="">
      <xdr:nvSpPr>
        <xdr:cNvPr id="34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831850" y="2419350"/>
          <a:ext cx="914400" cy="2190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15875</xdr:rowOff>
    </xdr:to>
    <xdr:pic>
      <xdr:nvPicPr>
        <xdr:cNvPr id="35" name="Control 1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419350"/>
          <a:ext cx="685800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15875</xdr:rowOff>
    </xdr:to>
    <xdr:pic>
      <xdr:nvPicPr>
        <xdr:cNvPr id="36" name="Control 2" hidden="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419350"/>
          <a:ext cx="685800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15875</xdr:rowOff>
    </xdr:to>
    <xdr:pic>
      <xdr:nvPicPr>
        <xdr:cNvPr id="37" name="Control 3" hidden="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2419350"/>
          <a:ext cx="685800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pic>
      <xdr:nvPicPr>
        <xdr:cNvPr id="38" name="Control 1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419350"/>
          <a:ext cx="914400" cy="2190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pic>
      <xdr:nvPicPr>
        <xdr:cNvPr id="39" name="Control 2" hidden="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419350"/>
          <a:ext cx="914400" cy="2190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25400</xdr:rowOff>
    </xdr:to>
    <xdr:pic>
      <xdr:nvPicPr>
        <xdr:cNvPr id="40" name="Control 3" hidden="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" y="2419350"/>
          <a:ext cx="914400" cy="2190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31750</xdr:rowOff>
    </xdr:to>
    <xdr:sp macro="" textlink="">
      <xdr:nvSpPr>
        <xdr:cNvPr id="41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361950" y="2514600"/>
          <a:ext cx="914400" cy="2159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31750</xdr:rowOff>
    </xdr:to>
    <xdr:sp macro="" textlink="">
      <xdr:nvSpPr>
        <xdr:cNvPr id="42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361950" y="2514600"/>
          <a:ext cx="914400" cy="215900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31750</xdr:rowOff>
    </xdr:to>
    <xdr:sp macro="" textlink="">
      <xdr:nvSpPr>
        <xdr:cNvPr id="43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84250" y="2514600"/>
          <a:ext cx="914400" cy="2159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22225</xdr:rowOff>
    </xdr:to>
    <xdr:pic>
      <xdr:nvPicPr>
        <xdr:cNvPr id="44" name="Control 1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6858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22225</xdr:rowOff>
    </xdr:to>
    <xdr:pic>
      <xdr:nvPicPr>
        <xdr:cNvPr id="45" name="Control 2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6858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22225</xdr:rowOff>
    </xdr:to>
    <xdr:pic>
      <xdr:nvPicPr>
        <xdr:cNvPr id="46" name="Control 3" hidden="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2514600"/>
          <a:ext cx="6858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31750</xdr:rowOff>
    </xdr:to>
    <xdr:pic>
      <xdr:nvPicPr>
        <xdr:cNvPr id="47" name="Control 1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31750</xdr:rowOff>
    </xdr:to>
    <xdr:pic>
      <xdr:nvPicPr>
        <xdr:cNvPr id="48" name="Control 2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31750</xdr:rowOff>
    </xdr:to>
    <xdr:pic>
      <xdr:nvPicPr>
        <xdr:cNvPr id="49" name="Control 3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50" y="2514600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31750</xdr:rowOff>
    </xdr:to>
    <xdr:sp macro="" textlink="">
      <xdr:nvSpPr>
        <xdr:cNvPr id="50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361950" y="2514600"/>
          <a:ext cx="914400" cy="2159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31750</xdr:rowOff>
    </xdr:to>
    <xdr:sp macro="" textlink="">
      <xdr:nvSpPr>
        <xdr:cNvPr id="51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361950" y="2514600"/>
          <a:ext cx="914400" cy="215900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31750</xdr:rowOff>
    </xdr:to>
    <xdr:sp macro="" textlink="">
      <xdr:nvSpPr>
        <xdr:cNvPr id="52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84250" y="2514600"/>
          <a:ext cx="914400" cy="2159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22225</xdr:rowOff>
    </xdr:to>
    <xdr:pic>
      <xdr:nvPicPr>
        <xdr:cNvPr id="53" name="Control 1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6858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22225</xdr:rowOff>
    </xdr:to>
    <xdr:pic>
      <xdr:nvPicPr>
        <xdr:cNvPr id="54" name="Control 2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6858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22225</xdr:rowOff>
    </xdr:to>
    <xdr:pic>
      <xdr:nvPicPr>
        <xdr:cNvPr id="55" name="Control 3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2514600"/>
          <a:ext cx="6858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31750</xdr:rowOff>
    </xdr:to>
    <xdr:pic>
      <xdr:nvPicPr>
        <xdr:cNvPr id="56" name="Control 1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31750</xdr:rowOff>
    </xdr:to>
    <xdr:pic>
      <xdr:nvPicPr>
        <xdr:cNvPr id="57" name="Control 2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31750</xdr:rowOff>
    </xdr:to>
    <xdr:pic>
      <xdr:nvPicPr>
        <xdr:cNvPr id="58" name="Control 3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50" y="2514600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sp macro="" textlink="">
      <xdr:nvSpPr>
        <xdr:cNvPr id="59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361950" y="2514600"/>
          <a:ext cx="914400" cy="2063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sp macro="" textlink="">
      <xdr:nvSpPr>
        <xdr:cNvPr id="60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361950" y="2514600"/>
          <a:ext cx="914400" cy="206375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22225</xdr:rowOff>
    </xdr:to>
    <xdr:sp macro="" textlink="">
      <xdr:nvSpPr>
        <xdr:cNvPr id="61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984250" y="2514600"/>
          <a:ext cx="914400" cy="2063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12700</xdr:rowOff>
    </xdr:to>
    <xdr:pic>
      <xdr:nvPicPr>
        <xdr:cNvPr id="62" name="Control 1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685800" cy="1968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12700</xdr:rowOff>
    </xdr:to>
    <xdr:pic>
      <xdr:nvPicPr>
        <xdr:cNvPr id="63" name="Control 2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685800" cy="1968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12700</xdr:rowOff>
    </xdr:to>
    <xdr:pic>
      <xdr:nvPicPr>
        <xdr:cNvPr id="64" name="Control 3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2514600"/>
          <a:ext cx="685800" cy="1968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pic>
      <xdr:nvPicPr>
        <xdr:cNvPr id="65" name="Control 1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9144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pic>
      <xdr:nvPicPr>
        <xdr:cNvPr id="66" name="Control 2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9144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22225</xdr:rowOff>
    </xdr:to>
    <xdr:pic>
      <xdr:nvPicPr>
        <xdr:cNvPr id="67" name="Control 3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50" y="2514600"/>
          <a:ext cx="9144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sp macro="" textlink="">
      <xdr:nvSpPr>
        <xdr:cNvPr id="68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361950" y="2514600"/>
          <a:ext cx="914400" cy="2063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sp macro="" textlink="">
      <xdr:nvSpPr>
        <xdr:cNvPr id="69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361950" y="2514600"/>
          <a:ext cx="914400" cy="206375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22225</xdr:rowOff>
    </xdr:to>
    <xdr:sp macro="" textlink="">
      <xdr:nvSpPr>
        <xdr:cNvPr id="70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84250" y="2514600"/>
          <a:ext cx="914400" cy="2063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12700</xdr:rowOff>
    </xdr:to>
    <xdr:pic>
      <xdr:nvPicPr>
        <xdr:cNvPr id="71" name="Control 1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685800" cy="1968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12700</xdr:rowOff>
    </xdr:to>
    <xdr:pic>
      <xdr:nvPicPr>
        <xdr:cNvPr id="72" name="Control 2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685800" cy="1968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12700</xdr:rowOff>
    </xdr:to>
    <xdr:pic>
      <xdr:nvPicPr>
        <xdr:cNvPr id="73" name="Control 3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2514600"/>
          <a:ext cx="685800" cy="1968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pic>
      <xdr:nvPicPr>
        <xdr:cNvPr id="74" name="Control 1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9144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pic>
      <xdr:nvPicPr>
        <xdr:cNvPr id="75" name="Control 2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9144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22225</xdr:rowOff>
    </xdr:to>
    <xdr:pic>
      <xdr:nvPicPr>
        <xdr:cNvPr id="76" name="Control 3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50" y="2514600"/>
          <a:ext cx="9144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sp macro="" textlink="">
      <xdr:nvSpPr>
        <xdr:cNvPr id="77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342900" y="2428875"/>
          <a:ext cx="914400" cy="2159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sp macro="" textlink="">
      <xdr:nvSpPr>
        <xdr:cNvPr id="78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342900" y="2428875"/>
          <a:ext cx="914400" cy="215900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25400</xdr:rowOff>
    </xdr:to>
    <xdr:sp macro="" textlink="">
      <xdr:nvSpPr>
        <xdr:cNvPr id="79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65200" y="2428875"/>
          <a:ext cx="914400" cy="2159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15875</xdr:rowOff>
    </xdr:to>
    <xdr:pic>
      <xdr:nvPicPr>
        <xdr:cNvPr id="80" name="Control 1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15875</xdr:rowOff>
    </xdr:to>
    <xdr:pic>
      <xdr:nvPicPr>
        <xdr:cNvPr id="81" name="Control 2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15875</xdr:rowOff>
    </xdr:to>
    <xdr:pic>
      <xdr:nvPicPr>
        <xdr:cNvPr id="82" name="Control 3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428875"/>
          <a:ext cx="6858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pic>
      <xdr:nvPicPr>
        <xdr:cNvPr id="83" name="Control 1" hidden="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pic>
      <xdr:nvPicPr>
        <xdr:cNvPr id="84" name="Control 2" hidden="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25400</xdr:rowOff>
    </xdr:to>
    <xdr:pic>
      <xdr:nvPicPr>
        <xdr:cNvPr id="85" name="Control 3" hidden="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2428875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sp macro="" textlink="">
      <xdr:nvSpPr>
        <xdr:cNvPr id="86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342900" y="2428875"/>
          <a:ext cx="914400" cy="2159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sp macro="" textlink="">
      <xdr:nvSpPr>
        <xdr:cNvPr id="87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342900" y="2428875"/>
          <a:ext cx="914400" cy="215900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25400</xdr:rowOff>
    </xdr:to>
    <xdr:sp macro="" textlink="">
      <xdr:nvSpPr>
        <xdr:cNvPr id="88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65200" y="2428875"/>
          <a:ext cx="914400" cy="2159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15875</xdr:rowOff>
    </xdr:to>
    <xdr:pic>
      <xdr:nvPicPr>
        <xdr:cNvPr id="89" name="Control 1" hidden="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15875</xdr:rowOff>
    </xdr:to>
    <xdr:pic>
      <xdr:nvPicPr>
        <xdr:cNvPr id="90" name="Control 2" hidden="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15875</xdr:rowOff>
    </xdr:to>
    <xdr:pic>
      <xdr:nvPicPr>
        <xdr:cNvPr id="91" name="Control 3" hidden="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428875"/>
          <a:ext cx="6858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pic>
      <xdr:nvPicPr>
        <xdr:cNvPr id="92" name="Control 1" hidden="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pic>
      <xdr:nvPicPr>
        <xdr:cNvPr id="93" name="Control 2" hidden="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25400</xdr:rowOff>
    </xdr:to>
    <xdr:pic>
      <xdr:nvPicPr>
        <xdr:cNvPr id="94" name="Control 3" hidden="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2428875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15875</xdr:rowOff>
    </xdr:to>
    <xdr:sp macro="" textlink="">
      <xdr:nvSpPr>
        <xdr:cNvPr id="95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342900" y="2428875"/>
          <a:ext cx="914400" cy="2063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15875</xdr:rowOff>
    </xdr:to>
    <xdr:sp macro="" textlink="">
      <xdr:nvSpPr>
        <xdr:cNvPr id="96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342900" y="2428875"/>
          <a:ext cx="914400" cy="206375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15875</xdr:rowOff>
    </xdr:to>
    <xdr:sp macro="" textlink="">
      <xdr:nvSpPr>
        <xdr:cNvPr id="97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65200" y="2428875"/>
          <a:ext cx="914400" cy="2063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6350</xdr:rowOff>
    </xdr:to>
    <xdr:pic>
      <xdr:nvPicPr>
        <xdr:cNvPr id="98" name="Control 1" hidden="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1968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6350</xdr:rowOff>
    </xdr:to>
    <xdr:pic>
      <xdr:nvPicPr>
        <xdr:cNvPr id="99" name="Control 2" hidden="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1968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6350</xdr:rowOff>
    </xdr:to>
    <xdr:pic>
      <xdr:nvPicPr>
        <xdr:cNvPr id="100" name="Control 3" hidden="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428875"/>
          <a:ext cx="685800" cy="1968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15875</xdr:rowOff>
    </xdr:to>
    <xdr:pic>
      <xdr:nvPicPr>
        <xdr:cNvPr id="101" name="Control 1" hidden="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15875</xdr:rowOff>
    </xdr:to>
    <xdr:pic>
      <xdr:nvPicPr>
        <xdr:cNvPr id="102" name="Control 2" hidden="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15875</xdr:rowOff>
    </xdr:to>
    <xdr:pic>
      <xdr:nvPicPr>
        <xdr:cNvPr id="103" name="Control 3" hidden="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2428875"/>
          <a:ext cx="9144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15875</xdr:rowOff>
    </xdr:to>
    <xdr:sp macro="" textlink="">
      <xdr:nvSpPr>
        <xdr:cNvPr id="104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342900" y="2428875"/>
          <a:ext cx="914400" cy="2063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15875</xdr:rowOff>
    </xdr:to>
    <xdr:sp macro="" textlink="">
      <xdr:nvSpPr>
        <xdr:cNvPr id="105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342900" y="2428875"/>
          <a:ext cx="914400" cy="206375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15875</xdr:rowOff>
    </xdr:to>
    <xdr:sp macro="" textlink="">
      <xdr:nvSpPr>
        <xdr:cNvPr id="106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965200" y="2428875"/>
          <a:ext cx="914400" cy="2063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6350</xdr:rowOff>
    </xdr:to>
    <xdr:pic>
      <xdr:nvPicPr>
        <xdr:cNvPr id="107" name="Control 1" hidden="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1968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6350</xdr:rowOff>
    </xdr:to>
    <xdr:pic>
      <xdr:nvPicPr>
        <xdr:cNvPr id="108" name="Control 2" hidden="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1968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6350</xdr:rowOff>
    </xdr:to>
    <xdr:pic>
      <xdr:nvPicPr>
        <xdr:cNvPr id="109" name="Control 3" hidden="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428875"/>
          <a:ext cx="685800" cy="1968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15875</xdr:rowOff>
    </xdr:to>
    <xdr:pic>
      <xdr:nvPicPr>
        <xdr:cNvPr id="110" name="Control 1" hidden="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15875</xdr:rowOff>
    </xdr:to>
    <xdr:pic>
      <xdr:nvPicPr>
        <xdr:cNvPr id="111" name="Control 2" hidden="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15875</xdr:rowOff>
    </xdr:to>
    <xdr:pic>
      <xdr:nvPicPr>
        <xdr:cNvPr id="112" name="Control 3" hidden="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2428875"/>
          <a:ext cx="9144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sp macro="" textlink="">
      <xdr:nvSpPr>
        <xdr:cNvPr id="113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342900" y="2428875"/>
          <a:ext cx="914400" cy="21272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sp macro="" textlink="">
      <xdr:nvSpPr>
        <xdr:cNvPr id="114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342900" y="2428875"/>
          <a:ext cx="914400" cy="212725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22225</xdr:rowOff>
    </xdr:to>
    <xdr:sp macro="" textlink="">
      <xdr:nvSpPr>
        <xdr:cNvPr id="115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65200" y="2428875"/>
          <a:ext cx="914400" cy="21272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12700</xdr:rowOff>
    </xdr:to>
    <xdr:pic>
      <xdr:nvPicPr>
        <xdr:cNvPr id="116" name="Control 1" hidden="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12700</xdr:rowOff>
    </xdr:to>
    <xdr:pic>
      <xdr:nvPicPr>
        <xdr:cNvPr id="117" name="Control 2" hidden="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12700</xdr:rowOff>
    </xdr:to>
    <xdr:pic>
      <xdr:nvPicPr>
        <xdr:cNvPr id="118" name="Control 3" hidden="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428875"/>
          <a:ext cx="6858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pic>
      <xdr:nvPicPr>
        <xdr:cNvPr id="119" name="Control 1" hidden="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127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pic>
      <xdr:nvPicPr>
        <xdr:cNvPr id="120" name="Control 2" hidden="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127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22225</xdr:rowOff>
    </xdr:to>
    <xdr:pic>
      <xdr:nvPicPr>
        <xdr:cNvPr id="121" name="Control 3" hidden="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2428875"/>
          <a:ext cx="914400" cy="2127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sp macro="" textlink="">
      <xdr:nvSpPr>
        <xdr:cNvPr id="122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342900" y="2428875"/>
          <a:ext cx="914400" cy="21272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sp macro="" textlink="">
      <xdr:nvSpPr>
        <xdr:cNvPr id="123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342900" y="2428875"/>
          <a:ext cx="914400" cy="212725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22225</xdr:rowOff>
    </xdr:to>
    <xdr:sp macro="" textlink="">
      <xdr:nvSpPr>
        <xdr:cNvPr id="124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65200" y="2428875"/>
          <a:ext cx="914400" cy="21272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12700</xdr:rowOff>
    </xdr:to>
    <xdr:pic>
      <xdr:nvPicPr>
        <xdr:cNvPr id="125" name="Control 1" hidden="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12700</xdr:rowOff>
    </xdr:to>
    <xdr:pic>
      <xdr:nvPicPr>
        <xdr:cNvPr id="126" name="Control 2" hidden="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12700</xdr:rowOff>
    </xdr:to>
    <xdr:pic>
      <xdr:nvPicPr>
        <xdr:cNvPr id="127" name="Control 3" hidden="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428875"/>
          <a:ext cx="6858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pic>
      <xdr:nvPicPr>
        <xdr:cNvPr id="128" name="Control 1" hidden="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127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pic>
      <xdr:nvPicPr>
        <xdr:cNvPr id="129" name="Control 2" hidden="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127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22225</xdr:rowOff>
    </xdr:to>
    <xdr:pic>
      <xdr:nvPicPr>
        <xdr:cNvPr id="130" name="Control 3" hidden="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2428875"/>
          <a:ext cx="914400" cy="2127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12700</xdr:rowOff>
    </xdr:to>
    <xdr:sp macro="" textlink="">
      <xdr:nvSpPr>
        <xdr:cNvPr id="131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342900" y="2428875"/>
          <a:ext cx="914400" cy="2032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12700</xdr:rowOff>
    </xdr:to>
    <xdr:sp macro="" textlink="">
      <xdr:nvSpPr>
        <xdr:cNvPr id="132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342900" y="2428875"/>
          <a:ext cx="914400" cy="203200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12700</xdr:rowOff>
    </xdr:to>
    <xdr:sp macro="" textlink="">
      <xdr:nvSpPr>
        <xdr:cNvPr id="133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65200" y="2428875"/>
          <a:ext cx="914400" cy="2032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3175</xdr:rowOff>
    </xdr:to>
    <xdr:pic>
      <xdr:nvPicPr>
        <xdr:cNvPr id="134" name="Control 1" hidden="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1936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3175</xdr:rowOff>
    </xdr:to>
    <xdr:pic>
      <xdr:nvPicPr>
        <xdr:cNvPr id="135" name="Control 2" hidden="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1936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3175</xdr:rowOff>
    </xdr:to>
    <xdr:pic>
      <xdr:nvPicPr>
        <xdr:cNvPr id="136" name="Control 3" hidden="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428875"/>
          <a:ext cx="685800" cy="1936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12700</xdr:rowOff>
    </xdr:to>
    <xdr:pic>
      <xdr:nvPicPr>
        <xdr:cNvPr id="137" name="Control 1" hidden="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12700</xdr:rowOff>
    </xdr:to>
    <xdr:pic>
      <xdr:nvPicPr>
        <xdr:cNvPr id="138" name="Control 2" hidden="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12700</xdr:rowOff>
    </xdr:to>
    <xdr:pic>
      <xdr:nvPicPr>
        <xdr:cNvPr id="139" name="Control 3" hidden="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2428875"/>
          <a:ext cx="9144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12700</xdr:rowOff>
    </xdr:to>
    <xdr:sp macro="" textlink="">
      <xdr:nvSpPr>
        <xdr:cNvPr id="140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342900" y="2428875"/>
          <a:ext cx="914400" cy="2032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12700</xdr:rowOff>
    </xdr:to>
    <xdr:sp macro="" textlink="">
      <xdr:nvSpPr>
        <xdr:cNvPr id="141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342900" y="2428875"/>
          <a:ext cx="914400" cy="203200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12700</xdr:rowOff>
    </xdr:to>
    <xdr:sp macro="" textlink="">
      <xdr:nvSpPr>
        <xdr:cNvPr id="142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65200" y="2428875"/>
          <a:ext cx="914400" cy="2032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3175</xdr:rowOff>
    </xdr:to>
    <xdr:pic>
      <xdr:nvPicPr>
        <xdr:cNvPr id="143" name="Control 1" hidden="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1936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3175</xdr:rowOff>
    </xdr:to>
    <xdr:pic>
      <xdr:nvPicPr>
        <xdr:cNvPr id="144" name="Control 2" hidden="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1936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3175</xdr:rowOff>
    </xdr:to>
    <xdr:pic>
      <xdr:nvPicPr>
        <xdr:cNvPr id="145" name="Control 3" hidden="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428875"/>
          <a:ext cx="685800" cy="1936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12700</xdr:rowOff>
    </xdr:to>
    <xdr:pic>
      <xdr:nvPicPr>
        <xdr:cNvPr id="146" name="Control 1" hidden="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12700</xdr:rowOff>
    </xdr:to>
    <xdr:pic>
      <xdr:nvPicPr>
        <xdr:cNvPr id="147" name="Control 2" hidden="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12700</xdr:rowOff>
    </xdr:to>
    <xdr:pic>
      <xdr:nvPicPr>
        <xdr:cNvPr id="148" name="Control 3" hidden="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2428875"/>
          <a:ext cx="9144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N57"/>
  <sheetViews>
    <sheetView zoomScaleNormal="100" workbookViewId="0">
      <pane ySplit="4" topLeftCell="A5" activePane="bottomLeft" state="frozen"/>
      <selection pane="bottomLeft" activeCell="P2" sqref="P2"/>
    </sheetView>
  </sheetViews>
  <sheetFormatPr baseColWidth="10" defaultColWidth="8.83203125" defaultRowHeight="15" outlineLevelCol="1" x14ac:dyDescent="0.2"/>
  <cols>
    <col min="1" max="1" width="3.1640625" bestFit="1" customWidth="1"/>
    <col min="2" max="2" width="30.5" bestFit="1" customWidth="1"/>
    <col min="3" max="3" width="6" hidden="1" customWidth="1" outlineLevel="1"/>
    <col min="4" max="4" width="6.5" hidden="1" customWidth="1" outlineLevel="1"/>
    <col min="5" max="5" width="6.6640625" hidden="1" customWidth="1" outlineLevel="1"/>
    <col min="6" max="6" width="6.5" hidden="1" customWidth="1" outlineLevel="1"/>
    <col min="7" max="7" width="6.83203125" hidden="1" customWidth="1" outlineLevel="1"/>
    <col min="8" max="8" width="6.1640625" hidden="1" customWidth="1" outlineLevel="1"/>
    <col min="9" max="9" width="5.5" hidden="1" customWidth="1" outlineLevel="1"/>
    <col min="10" max="11" width="6.5" hidden="1" customWidth="1" outlineLevel="1"/>
    <col min="12" max="12" width="6.33203125" hidden="1" customWidth="1" outlineLevel="1"/>
    <col min="13" max="13" width="6.6640625" hidden="1" customWidth="1" outlineLevel="1"/>
    <col min="14" max="14" width="6.5" hidden="1" customWidth="1" outlineLevel="1"/>
    <col min="15" max="15" width="6.5" bestFit="1" customWidth="1" collapsed="1"/>
    <col min="16" max="16" width="6.5" bestFit="1" customWidth="1"/>
    <col min="17" max="17" width="6.6640625" bestFit="1" customWidth="1"/>
    <col min="18" max="18" width="6.5" bestFit="1" customWidth="1"/>
    <col min="19" max="19" width="6.83203125" bestFit="1" customWidth="1"/>
    <col min="20" max="24" width="6.5" bestFit="1" customWidth="1"/>
    <col min="25" max="25" width="6.6640625" bestFit="1" customWidth="1"/>
    <col min="26" max="28" width="6.5" bestFit="1" customWidth="1"/>
    <col min="29" max="29" width="6.6640625" bestFit="1" customWidth="1"/>
    <col min="30" max="30" width="6.5" bestFit="1" customWidth="1"/>
    <col min="31" max="31" width="6.83203125" bestFit="1" customWidth="1"/>
    <col min="32" max="36" width="6.5" bestFit="1" customWidth="1"/>
    <col min="37" max="37" width="6.6640625" bestFit="1" customWidth="1"/>
    <col min="38" max="38" width="6.5" bestFit="1" customWidth="1"/>
  </cols>
  <sheetData>
    <row r="1" spans="1:40" ht="19" x14ac:dyDescent="0.25">
      <c r="A1" s="105"/>
      <c r="B1" s="16" t="s">
        <v>173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P1" s="121" t="s">
        <v>226</v>
      </c>
      <c r="Q1" s="122" t="s">
        <v>122</v>
      </c>
      <c r="R1" s="122" t="s">
        <v>13</v>
      </c>
      <c r="S1" s="123" t="s">
        <v>192</v>
      </c>
    </row>
    <row r="2" spans="1:40" x14ac:dyDescent="0.2">
      <c r="P2" s="124">
        <f ca="1">PL!AD5/1000</f>
        <v>387.84337999999997</v>
      </c>
      <c r="Q2" s="125">
        <f ca="1">PL!AD7/1000</f>
        <v>312.13275327999997</v>
      </c>
      <c r="R2" s="125">
        <f ca="1">PL!AD35/1000</f>
        <v>127.69275327999995</v>
      </c>
      <c r="S2" s="126">
        <f ca="1">MIN(CF!O30:Z30)/1000</f>
        <v>142.00622451808457</v>
      </c>
      <c r="AL2" s="1"/>
    </row>
    <row r="3" spans="1:40" x14ac:dyDescent="0.2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U3" s="140"/>
    </row>
    <row r="4" spans="1:40" x14ac:dyDescent="0.2">
      <c r="B4" s="7" t="s">
        <v>177</v>
      </c>
      <c r="C4" s="23">
        <v>41275</v>
      </c>
      <c r="D4" s="23">
        <v>41306</v>
      </c>
      <c r="E4" s="23">
        <v>41334</v>
      </c>
      <c r="F4" s="23">
        <v>41365</v>
      </c>
      <c r="G4" s="23">
        <v>41395</v>
      </c>
      <c r="H4" s="23">
        <v>41426</v>
      </c>
      <c r="I4" s="23">
        <v>41456</v>
      </c>
      <c r="J4" s="23">
        <v>41487</v>
      </c>
      <c r="K4" s="23">
        <v>41518</v>
      </c>
      <c r="L4" s="23">
        <v>41548</v>
      </c>
      <c r="M4" s="23">
        <v>41579</v>
      </c>
      <c r="N4" s="23">
        <v>41609</v>
      </c>
      <c r="O4" s="23">
        <v>41640</v>
      </c>
      <c r="P4" s="23">
        <v>41671</v>
      </c>
      <c r="Q4" s="23">
        <v>41699</v>
      </c>
      <c r="R4" s="23">
        <v>41730</v>
      </c>
      <c r="S4" s="23">
        <v>41760</v>
      </c>
      <c r="T4" s="23">
        <v>41791</v>
      </c>
      <c r="U4" s="23">
        <v>41821</v>
      </c>
      <c r="V4" s="23">
        <v>41852</v>
      </c>
      <c r="W4" s="23">
        <v>41883</v>
      </c>
      <c r="X4" s="23">
        <v>41913</v>
      </c>
      <c r="Y4" s="23">
        <v>41944</v>
      </c>
      <c r="Z4" s="23">
        <v>41974</v>
      </c>
      <c r="AA4" s="23">
        <v>42005</v>
      </c>
      <c r="AB4" s="23">
        <v>42036</v>
      </c>
      <c r="AC4" s="23">
        <v>42064</v>
      </c>
      <c r="AD4" s="23">
        <v>42095</v>
      </c>
      <c r="AE4" s="23">
        <v>42125</v>
      </c>
      <c r="AF4" s="23">
        <v>42156</v>
      </c>
      <c r="AG4" s="23">
        <v>42186</v>
      </c>
      <c r="AH4" s="23">
        <v>42217</v>
      </c>
      <c r="AI4" s="23">
        <v>42248</v>
      </c>
      <c r="AJ4" s="23">
        <v>42278</v>
      </c>
      <c r="AK4" s="23">
        <v>42309</v>
      </c>
      <c r="AL4" s="23">
        <v>42339</v>
      </c>
    </row>
    <row r="5" spans="1:40" x14ac:dyDescent="0.2">
      <c r="B5" s="24" t="s">
        <v>256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104">
        <v>0.01</v>
      </c>
      <c r="P5" s="104">
        <v>0.01</v>
      </c>
      <c r="Q5" s="104">
        <v>0.01</v>
      </c>
      <c r="R5" s="104">
        <v>0.01</v>
      </c>
      <c r="S5" s="104">
        <v>0.01</v>
      </c>
      <c r="T5" s="104">
        <v>0.01</v>
      </c>
      <c r="U5" s="104">
        <v>0.01</v>
      </c>
      <c r="V5" s="104">
        <v>0.01</v>
      </c>
      <c r="W5" s="104">
        <v>0.01</v>
      </c>
      <c r="X5" s="104">
        <v>0.01</v>
      </c>
      <c r="Y5" s="104">
        <v>0.01</v>
      </c>
      <c r="Z5" s="104">
        <v>0.01</v>
      </c>
      <c r="AA5" s="26">
        <v>0.01</v>
      </c>
      <c r="AB5" s="26">
        <v>0.01</v>
      </c>
      <c r="AC5" s="26">
        <v>0.01</v>
      </c>
      <c r="AD5" s="26">
        <v>0.01</v>
      </c>
      <c r="AE5" s="26">
        <v>0.01</v>
      </c>
      <c r="AF5" s="26">
        <v>0.01</v>
      </c>
      <c r="AG5" s="26">
        <v>0.01</v>
      </c>
      <c r="AH5" s="26">
        <v>0.01</v>
      </c>
      <c r="AI5" s="26">
        <v>0.01</v>
      </c>
      <c r="AJ5" s="26">
        <v>0.01</v>
      </c>
      <c r="AK5" s="26">
        <v>0.01</v>
      </c>
      <c r="AL5" s="26">
        <v>0.01</v>
      </c>
    </row>
    <row r="6" spans="1:40" x14ac:dyDescent="0.2">
      <c r="A6" s="26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40" s="24" customFormat="1" x14ac:dyDescent="0.2">
      <c r="A7"/>
      <c r="B7" s="7" t="s">
        <v>178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P7" s="24" t="s">
        <v>77</v>
      </c>
    </row>
    <row r="8" spans="1:40" x14ac:dyDescent="0.2">
      <c r="B8" s="24" t="s">
        <v>255</v>
      </c>
      <c r="C8" s="37">
        <v>100</v>
      </c>
      <c r="D8" s="37">
        <v>100</v>
      </c>
      <c r="E8" s="37">
        <v>100</v>
      </c>
      <c r="F8" s="37">
        <v>100</v>
      </c>
      <c r="G8" s="37">
        <v>100</v>
      </c>
      <c r="H8" s="37">
        <v>100</v>
      </c>
      <c r="I8" s="37">
        <v>100</v>
      </c>
      <c r="J8" s="37">
        <v>100</v>
      </c>
      <c r="K8" s="37">
        <v>100</v>
      </c>
      <c r="L8" s="37">
        <v>100</v>
      </c>
      <c r="M8" s="37">
        <v>100</v>
      </c>
      <c r="N8" s="37">
        <v>100</v>
      </c>
      <c r="O8" s="37">
        <v>100</v>
      </c>
      <c r="P8" s="37">
        <v>100</v>
      </c>
      <c r="Q8" s="37">
        <v>100</v>
      </c>
      <c r="R8" s="37">
        <v>100</v>
      </c>
      <c r="S8" s="37">
        <v>100</v>
      </c>
      <c r="T8" s="37">
        <v>100</v>
      </c>
      <c r="U8" s="37">
        <v>100</v>
      </c>
      <c r="V8" s="37">
        <v>100</v>
      </c>
      <c r="W8" s="37">
        <v>100</v>
      </c>
      <c r="X8" s="37">
        <v>100</v>
      </c>
      <c r="Y8" s="37">
        <v>100</v>
      </c>
      <c r="Z8" s="37">
        <v>100</v>
      </c>
      <c r="AA8" s="41">
        <f>O8*(1+AA5)</f>
        <v>101</v>
      </c>
      <c r="AB8" s="41">
        <f>P8*(1+AB5)</f>
        <v>101</v>
      </c>
      <c r="AC8" s="41">
        <f t="shared" ref="AC8:AK8" si="0">Q8*(1+AC5)</f>
        <v>101</v>
      </c>
      <c r="AD8" s="41">
        <f t="shared" si="0"/>
        <v>101</v>
      </c>
      <c r="AE8" s="41">
        <f>S8*(1+AE5)</f>
        <v>101</v>
      </c>
      <c r="AF8" s="41">
        <f t="shared" si="0"/>
        <v>101</v>
      </c>
      <c r="AG8" s="41">
        <f t="shared" si="0"/>
        <v>101</v>
      </c>
      <c r="AH8" s="41">
        <f t="shared" si="0"/>
        <v>101</v>
      </c>
      <c r="AI8" s="41">
        <f t="shared" si="0"/>
        <v>101</v>
      </c>
      <c r="AJ8" s="41">
        <f t="shared" si="0"/>
        <v>101</v>
      </c>
      <c r="AK8" s="41">
        <f t="shared" si="0"/>
        <v>101</v>
      </c>
      <c r="AL8" s="41">
        <f t="shared" ref="AL8" si="1">Z8*(1+AL5)</f>
        <v>101</v>
      </c>
    </row>
    <row r="9" spans="1:40" s="24" customFormat="1" x14ac:dyDescent="0.2">
      <c r="A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40" s="24" customFormat="1" x14ac:dyDescent="0.2">
      <c r="A10"/>
      <c r="B10" s="25" t="s">
        <v>122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</row>
    <row r="11" spans="1:40" x14ac:dyDescent="0.2">
      <c r="A11" s="31">
        <v>-11</v>
      </c>
      <c r="B11" s="24" t="s">
        <v>179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100">
        <v>313.81</v>
      </c>
      <c r="P11" s="100">
        <v>313.81</v>
      </c>
      <c r="Q11" s="100">
        <v>313.81</v>
      </c>
      <c r="R11" s="100">
        <v>313.81</v>
      </c>
      <c r="S11" s="100">
        <v>313.81</v>
      </c>
      <c r="T11" s="100">
        <v>313.81</v>
      </c>
      <c r="U11" s="100">
        <v>313.81</v>
      </c>
      <c r="V11" s="100">
        <v>313.81</v>
      </c>
      <c r="W11" s="100">
        <v>313.81</v>
      </c>
      <c r="X11" s="100">
        <v>313.81</v>
      </c>
      <c r="Y11" s="100">
        <v>313.81</v>
      </c>
      <c r="Z11" s="100">
        <v>313.81</v>
      </c>
      <c r="AA11" s="98">
        <f ca="1">O11/OFFSET(O$8,,$A11)*OFFSET(AA$8,,$A11)</f>
        <v>313.81</v>
      </c>
      <c r="AB11" s="98">
        <f t="shared" ref="AA11:AL22" ca="1" si="2">P11/OFFSET(P$8,,$A11)*OFFSET(AB$8,,$A11)</f>
        <v>313.81</v>
      </c>
      <c r="AC11" s="98">
        <f t="shared" ca="1" si="2"/>
        <v>313.81</v>
      </c>
      <c r="AD11" s="98">
        <f t="shared" ca="1" si="2"/>
        <v>313.81</v>
      </c>
      <c r="AE11" s="98">
        <f t="shared" ca="1" si="2"/>
        <v>313.81</v>
      </c>
      <c r="AF11" s="98">
        <f t="shared" ca="1" si="2"/>
        <v>313.81</v>
      </c>
      <c r="AG11" s="98">
        <f t="shared" ca="1" si="2"/>
        <v>313.81</v>
      </c>
      <c r="AH11" s="98">
        <f t="shared" ca="1" si="2"/>
        <v>313.81</v>
      </c>
      <c r="AI11" s="98">
        <f t="shared" ca="1" si="2"/>
        <v>313.81</v>
      </c>
      <c r="AJ11" s="98">
        <f t="shared" ca="1" si="2"/>
        <v>313.81</v>
      </c>
      <c r="AK11" s="98">
        <f t="shared" ca="1" si="2"/>
        <v>313.81</v>
      </c>
      <c r="AL11" s="98">
        <f t="shared" ca="1" si="2"/>
        <v>316.94810000000001</v>
      </c>
      <c r="AN11" s="173"/>
    </row>
    <row r="12" spans="1:40" x14ac:dyDescent="0.2">
      <c r="A12" s="31">
        <v>-10</v>
      </c>
      <c r="B12" s="24" t="s">
        <v>180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100">
        <v>348.68</v>
      </c>
      <c r="P12" s="100">
        <v>348.68</v>
      </c>
      <c r="Q12" s="100">
        <v>348.68</v>
      </c>
      <c r="R12" s="100">
        <v>348.68</v>
      </c>
      <c r="S12" s="100">
        <v>348.68</v>
      </c>
      <c r="T12" s="100">
        <v>348.68</v>
      </c>
      <c r="U12" s="100">
        <v>348.68</v>
      </c>
      <c r="V12" s="100">
        <v>348.68</v>
      </c>
      <c r="W12" s="100">
        <v>348.68</v>
      </c>
      <c r="X12" s="100">
        <v>348.68</v>
      </c>
      <c r="Y12" s="100">
        <v>348.68</v>
      </c>
      <c r="Z12" s="100">
        <v>348.68</v>
      </c>
      <c r="AA12" s="98">
        <f t="shared" ca="1" si="2"/>
        <v>348.68</v>
      </c>
      <c r="AB12" s="98">
        <f t="shared" ca="1" si="2"/>
        <v>348.68</v>
      </c>
      <c r="AC12" s="98">
        <f t="shared" ca="1" si="2"/>
        <v>348.68</v>
      </c>
      <c r="AD12" s="98">
        <f t="shared" ca="1" si="2"/>
        <v>348.68</v>
      </c>
      <c r="AE12" s="98">
        <f t="shared" ca="1" si="2"/>
        <v>348.68</v>
      </c>
      <c r="AF12" s="98">
        <f t="shared" ca="1" si="2"/>
        <v>348.68</v>
      </c>
      <c r="AG12" s="98">
        <f t="shared" ca="1" si="2"/>
        <v>348.68</v>
      </c>
      <c r="AH12" s="98">
        <f t="shared" ca="1" si="2"/>
        <v>348.68</v>
      </c>
      <c r="AI12" s="98">
        <f t="shared" ca="1" si="2"/>
        <v>348.68</v>
      </c>
      <c r="AJ12" s="98">
        <f t="shared" ca="1" si="2"/>
        <v>348.68</v>
      </c>
      <c r="AK12" s="98">
        <f t="shared" ca="1" si="2"/>
        <v>352.16680000000002</v>
      </c>
      <c r="AL12" s="98">
        <f t="shared" ca="1" si="2"/>
        <v>352.16680000000002</v>
      </c>
      <c r="AN12" s="173"/>
    </row>
    <row r="13" spans="1:40" x14ac:dyDescent="0.2">
      <c r="A13" s="31">
        <v>-9</v>
      </c>
      <c r="B13" s="24" t="s">
        <v>181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100">
        <v>387.42</v>
      </c>
      <c r="P13" s="100">
        <v>387.42</v>
      </c>
      <c r="Q13" s="100">
        <v>387.42</v>
      </c>
      <c r="R13" s="100">
        <v>387.42</v>
      </c>
      <c r="S13" s="100">
        <v>387.42</v>
      </c>
      <c r="T13" s="100">
        <v>387.42</v>
      </c>
      <c r="U13" s="100">
        <v>387.42</v>
      </c>
      <c r="V13" s="100">
        <v>387.42</v>
      </c>
      <c r="W13" s="100">
        <v>387.42</v>
      </c>
      <c r="X13" s="100">
        <v>387.42</v>
      </c>
      <c r="Y13" s="100">
        <v>387.42</v>
      </c>
      <c r="Z13" s="100">
        <v>387.42</v>
      </c>
      <c r="AA13" s="98">
        <f t="shared" ca="1" si="2"/>
        <v>387.42</v>
      </c>
      <c r="AB13" s="98">
        <f t="shared" ca="1" si="2"/>
        <v>387.42</v>
      </c>
      <c r="AC13" s="98">
        <f t="shared" ca="1" si="2"/>
        <v>387.42</v>
      </c>
      <c r="AD13" s="98">
        <f t="shared" ca="1" si="2"/>
        <v>387.42</v>
      </c>
      <c r="AE13" s="98">
        <f t="shared" ca="1" si="2"/>
        <v>387.42</v>
      </c>
      <c r="AF13" s="98">
        <f t="shared" ca="1" si="2"/>
        <v>387.42</v>
      </c>
      <c r="AG13" s="98">
        <f t="shared" ca="1" si="2"/>
        <v>387.42</v>
      </c>
      <c r="AH13" s="98">
        <f t="shared" ca="1" si="2"/>
        <v>387.42</v>
      </c>
      <c r="AI13" s="98">
        <f t="shared" ca="1" si="2"/>
        <v>387.42</v>
      </c>
      <c r="AJ13" s="98">
        <f t="shared" ca="1" si="2"/>
        <v>391.29419999999999</v>
      </c>
      <c r="AK13" s="98">
        <f t="shared" ca="1" si="2"/>
        <v>391.29419999999999</v>
      </c>
      <c r="AL13" s="98">
        <f t="shared" ca="1" si="2"/>
        <v>391.29419999999999</v>
      </c>
      <c r="AN13" s="173"/>
    </row>
    <row r="14" spans="1:40" x14ac:dyDescent="0.2">
      <c r="A14" s="31">
        <v>-8</v>
      </c>
      <c r="B14" s="24" t="s">
        <v>182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100">
        <v>430.47</v>
      </c>
      <c r="P14" s="100">
        <v>430.47</v>
      </c>
      <c r="Q14" s="100">
        <v>430.47</v>
      </c>
      <c r="R14" s="100">
        <v>430.47</v>
      </c>
      <c r="S14" s="100">
        <v>430.47</v>
      </c>
      <c r="T14" s="100">
        <v>430.47</v>
      </c>
      <c r="U14" s="100">
        <v>430.47</v>
      </c>
      <c r="V14" s="100">
        <v>430.47</v>
      </c>
      <c r="W14" s="100">
        <v>430.47</v>
      </c>
      <c r="X14" s="100">
        <v>430.47</v>
      </c>
      <c r="Y14" s="100">
        <v>430.47</v>
      </c>
      <c r="Z14" s="100">
        <v>430.47</v>
      </c>
      <c r="AA14" s="98">
        <f t="shared" ca="1" si="2"/>
        <v>430.47</v>
      </c>
      <c r="AB14" s="98">
        <f t="shared" ca="1" si="2"/>
        <v>430.47</v>
      </c>
      <c r="AC14" s="98">
        <f t="shared" ca="1" si="2"/>
        <v>430.47</v>
      </c>
      <c r="AD14" s="98">
        <f t="shared" ca="1" si="2"/>
        <v>430.47</v>
      </c>
      <c r="AE14" s="98">
        <f t="shared" ca="1" si="2"/>
        <v>430.47</v>
      </c>
      <c r="AF14" s="98">
        <f t="shared" ca="1" si="2"/>
        <v>430.47</v>
      </c>
      <c r="AG14" s="98">
        <f t="shared" ca="1" si="2"/>
        <v>430.47</v>
      </c>
      <c r="AH14" s="98">
        <f t="shared" ca="1" si="2"/>
        <v>430.47</v>
      </c>
      <c r="AI14" s="98">
        <f t="shared" ca="1" si="2"/>
        <v>434.77470000000005</v>
      </c>
      <c r="AJ14" s="98">
        <f t="shared" ca="1" si="2"/>
        <v>434.77470000000005</v>
      </c>
      <c r="AK14" s="98">
        <f t="shared" ca="1" si="2"/>
        <v>434.77470000000005</v>
      </c>
      <c r="AL14" s="98">
        <f t="shared" ca="1" si="2"/>
        <v>434.77470000000005</v>
      </c>
      <c r="AN14" s="173"/>
    </row>
    <row r="15" spans="1:40" x14ac:dyDescent="0.2">
      <c r="A15" s="31">
        <v>-7</v>
      </c>
      <c r="B15" s="24" t="s">
        <v>183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100">
        <v>478.3</v>
      </c>
      <c r="P15" s="100">
        <v>478.3</v>
      </c>
      <c r="Q15" s="100">
        <v>478.3</v>
      </c>
      <c r="R15" s="100">
        <v>478.3</v>
      </c>
      <c r="S15" s="100">
        <v>478.3</v>
      </c>
      <c r="T15" s="100">
        <v>478.3</v>
      </c>
      <c r="U15" s="100">
        <v>478.3</v>
      </c>
      <c r="V15" s="100">
        <v>478.3</v>
      </c>
      <c r="W15" s="100">
        <v>478.3</v>
      </c>
      <c r="X15" s="100">
        <v>478.3</v>
      </c>
      <c r="Y15" s="100">
        <v>478.3</v>
      </c>
      <c r="Z15" s="100">
        <v>478.3</v>
      </c>
      <c r="AA15" s="98">
        <f t="shared" ca="1" si="2"/>
        <v>478.3</v>
      </c>
      <c r="AB15" s="98">
        <f t="shared" ca="1" si="2"/>
        <v>478.3</v>
      </c>
      <c r="AC15" s="98">
        <f t="shared" ca="1" si="2"/>
        <v>478.3</v>
      </c>
      <c r="AD15" s="98">
        <f t="shared" ca="1" si="2"/>
        <v>478.3</v>
      </c>
      <c r="AE15" s="98">
        <f t="shared" ca="1" si="2"/>
        <v>478.3</v>
      </c>
      <c r="AF15" s="98">
        <f t="shared" ca="1" si="2"/>
        <v>478.3</v>
      </c>
      <c r="AG15" s="98">
        <f t="shared" ca="1" si="2"/>
        <v>478.3</v>
      </c>
      <c r="AH15" s="98">
        <f t="shared" ca="1" si="2"/>
        <v>483.08300000000003</v>
      </c>
      <c r="AI15" s="98">
        <f t="shared" ca="1" si="2"/>
        <v>483.08300000000003</v>
      </c>
      <c r="AJ15" s="98">
        <f t="shared" ca="1" si="2"/>
        <v>483.08300000000003</v>
      </c>
      <c r="AK15" s="98">
        <f t="shared" ca="1" si="2"/>
        <v>483.08300000000003</v>
      </c>
      <c r="AL15" s="98">
        <f t="shared" ca="1" si="2"/>
        <v>483.08300000000003</v>
      </c>
      <c r="AN15" s="173"/>
    </row>
    <row r="16" spans="1:40" x14ac:dyDescent="0.2">
      <c r="A16" s="31">
        <v>-6</v>
      </c>
      <c r="B16" s="24" t="s">
        <v>184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100">
        <v>531.44000000000005</v>
      </c>
      <c r="P16" s="100">
        <v>531.44000000000005</v>
      </c>
      <c r="Q16" s="100">
        <v>531.44000000000005</v>
      </c>
      <c r="R16" s="100">
        <v>531.44000000000005</v>
      </c>
      <c r="S16" s="100">
        <v>531.44000000000005</v>
      </c>
      <c r="T16" s="100">
        <v>531.44000000000005</v>
      </c>
      <c r="U16" s="100">
        <v>531.44000000000005</v>
      </c>
      <c r="V16" s="100">
        <v>531.44000000000005</v>
      </c>
      <c r="W16" s="100">
        <v>531.44000000000005</v>
      </c>
      <c r="X16" s="100">
        <v>531.44000000000005</v>
      </c>
      <c r="Y16" s="100">
        <v>531.44000000000005</v>
      </c>
      <c r="Z16" s="100">
        <v>531.44000000000005</v>
      </c>
      <c r="AA16" s="98">
        <f t="shared" ca="1" si="2"/>
        <v>531.44000000000005</v>
      </c>
      <c r="AB16" s="98">
        <f t="shared" ca="1" si="2"/>
        <v>531.44000000000005</v>
      </c>
      <c r="AC16" s="98">
        <f t="shared" ca="1" si="2"/>
        <v>531.44000000000005</v>
      </c>
      <c r="AD16" s="98">
        <f t="shared" ca="1" si="2"/>
        <v>531.44000000000005</v>
      </c>
      <c r="AE16" s="98">
        <f t="shared" ca="1" si="2"/>
        <v>531.44000000000005</v>
      </c>
      <c r="AF16" s="98">
        <f t="shared" ca="1" si="2"/>
        <v>531.44000000000005</v>
      </c>
      <c r="AG16" s="98">
        <f t="shared" ca="1" si="2"/>
        <v>536.75440000000015</v>
      </c>
      <c r="AH16" s="98">
        <f t="shared" ca="1" si="2"/>
        <v>536.75440000000015</v>
      </c>
      <c r="AI16" s="98">
        <f t="shared" ca="1" si="2"/>
        <v>536.75440000000015</v>
      </c>
      <c r="AJ16" s="98">
        <f t="shared" ca="1" si="2"/>
        <v>536.75440000000015</v>
      </c>
      <c r="AK16" s="98">
        <f t="shared" ca="1" si="2"/>
        <v>536.75440000000015</v>
      </c>
      <c r="AL16" s="98">
        <f t="shared" ca="1" si="2"/>
        <v>536.75440000000015</v>
      </c>
      <c r="AN16" s="173"/>
    </row>
    <row r="17" spans="1:40" x14ac:dyDescent="0.2">
      <c r="A17" s="31">
        <v>-5</v>
      </c>
      <c r="B17" s="24" t="s">
        <v>185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100">
        <v>590.49</v>
      </c>
      <c r="P17" s="100">
        <v>590.49</v>
      </c>
      <c r="Q17" s="100">
        <v>590.49</v>
      </c>
      <c r="R17" s="100">
        <v>590.49</v>
      </c>
      <c r="S17" s="100">
        <v>590.49</v>
      </c>
      <c r="T17" s="100">
        <v>590.49</v>
      </c>
      <c r="U17" s="100">
        <v>590.49</v>
      </c>
      <c r="V17" s="100">
        <v>590.49</v>
      </c>
      <c r="W17" s="100">
        <v>590.49</v>
      </c>
      <c r="X17" s="100">
        <v>590.49</v>
      </c>
      <c r="Y17" s="100">
        <v>590.49</v>
      </c>
      <c r="Z17" s="100">
        <v>590.49</v>
      </c>
      <c r="AA17" s="98">
        <f t="shared" ca="1" si="2"/>
        <v>590.49</v>
      </c>
      <c r="AB17" s="98">
        <f t="shared" ca="1" si="2"/>
        <v>590.49</v>
      </c>
      <c r="AC17" s="98">
        <f t="shared" ca="1" si="2"/>
        <v>590.49</v>
      </c>
      <c r="AD17" s="98">
        <f t="shared" ca="1" si="2"/>
        <v>590.49</v>
      </c>
      <c r="AE17" s="98">
        <f t="shared" ca="1" si="2"/>
        <v>590.49</v>
      </c>
      <c r="AF17" s="98">
        <f t="shared" ca="1" si="2"/>
        <v>596.39490000000001</v>
      </c>
      <c r="AG17" s="98">
        <f t="shared" ca="1" si="2"/>
        <v>596.39490000000001</v>
      </c>
      <c r="AH17" s="98">
        <f t="shared" ca="1" si="2"/>
        <v>596.39490000000001</v>
      </c>
      <c r="AI17" s="98">
        <f t="shared" ca="1" si="2"/>
        <v>596.39490000000001</v>
      </c>
      <c r="AJ17" s="98">
        <f t="shared" ca="1" si="2"/>
        <v>596.39490000000001</v>
      </c>
      <c r="AK17" s="98">
        <f t="shared" ca="1" si="2"/>
        <v>596.39490000000001</v>
      </c>
      <c r="AL17" s="98">
        <f t="shared" ca="1" si="2"/>
        <v>596.39490000000001</v>
      </c>
      <c r="AN17" s="173"/>
    </row>
    <row r="18" spans="1:40" x14ac:dyDescent="0.2">
      <c r="A18" s="31">
        <v>-4</v>
      </c>
      <c r="B18" s="24" t="s">
        <v>186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100">
        <v>656.1</v>
      </c>
      <c r="P18" s="100">
        <v>656.1</v>
      </c>
      <c r="Q18" s="100">
        <v>656.1</v>
      </c>
      <c r="R18" s="100">
        <v>656.1</v>
      </c>
      <c r="S18" s="100">
        <v>656.1</v>
      </c>
      <c r="T18" s="100">
        <v>656.1</v>
      </c>
      <c r="U18" s="100">
        <v>656.1</v>
      </c>
      <c r="V18" s="100">
        <v>656.1</v>
      </c>
      <c r="W18" s="100">
        <v>656.1</v>
      </c>
      <c r="X18" s="100">
        <v>656.1</v>
      </c>
      <c r="Y18" s="100">
        <v>656.1</v>
      </c>
      <c r="Z18" s="100">
        <v>656.1</v>
      </c>
      <c r="AA18" s="98">
        <f t="shared" ca="1" si="2"/>
        <v>656.1</v>
      </c>
      <c r="AB18" s="98">
        <f t="shared" ca="1" si="2"/>
        <v>656.1</v>
      </c>
      <c r="AC18" s="98">
        <f t="shared" ca="1" si="2"/>
        <v>656.1</v>
      </c>
      <c r="AD18" s="98">
        <f t="shared" ca="1" si="2"/>
        <v>656.1</v>
      </c>
      <c r="AE18" s="98">
        <f t="shared" ca="1" si="2"/>
        <v>662.66099999999994</v>
      </c>
      <c r="AF18" s="98">
        <f t="shared" ca="1" si="2"/>
        <v>662.66099999999994</v>
      </c>
      <c r="AG18" s="98">
        <f t="shared" ca="1" si="2"/>
        <v>662.66099999999994</v>
      </c>
      <c r="AH18" s="98">
        <f t="shared" ca="1" si="2"/>
        <v>662.66099999999994</v>
      </c>
      <c r="AI18" s="98">
        <f t="shared" ca="1" si="2"/>
        <v>662.66099999999994</v>
      </c>
      <c r="AJ18" s="98">
        <f t="shared" ca="1" si="2"/>
        <v>662.66099999999994</v>
      </c>
      <c r="AK18" s="98">
        <f t="shared" ca="1" si="2"/>
        <v>662.66099999999994</v>
      </c>
      <c r="AL18" s="98">
        <f t="shared" ca="1" si="2"/>
        <v>662.66099999999994</v>
      </c>
      <c r="AN18" s="173"/>
    </row>
    <row r="19" spans="1:40" x14ac:dyDescent="0.2">
      <c r="A19" s="31">
        <v>-3</v>
      </c>
      <c r="B19" s="24" t="s">
        <v>187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100">
        <v>729</v>
      </c>
      <c r="P19" s="100">
        <v>729</v>
      </c>
      <c r="Q19" s="100">
        <v>729</v>
      </c>
      <c r="R19" s="100">
        <v>729</v>
      </c>
      <c r="S19" s="100">
        <v>729</v>
      </c>
      <c r="T19" s="100">
        <v>729</v>
      </c>
      <c r="U19" s="100">
        <v>729</v>
      </c>
      <c r="V19" s="100">
        <v>729</v>
      </c>
      <c r="W19" s="100">
        <v>729</v>
      </c>
      <c r="X19" s="100">
        <v>729</v>
      </c>
      <c r="Y19" s="100">
        <v>729</v>
      </c>
      <c r="Z19" s="100">
        <v>729</v>
      </c>
      <c r="AA19" s="98">
        <f t="shared" ca="1" si="2"/>
        <v>729</v>
      </c>
      <c r="AB19" s="98">
        <f t="shared" ca="1" si="2"/>
        <v>729</v>
      </c>
      <c r="AC19" s="98">
        <f t="shared" ca="1" si="2"/>
        <v>729</v>
      </c>
      <c r="AD19" s="98">
        <f t="shared" ca="1" si="2"/>
        <v>736.29</v>
      </c>
      <c r="AE19" s="98">
        <f t="shared" ca="1" si="2"/>
        <v>736.29</v>
      </c>
      <c r="AF19" s="98">
        <f t="shared" ca="1" si="2"/>
        <v>736.29</v>
      </c>
      <c r="AG19" s="98">
        <f t="shared" ca="1" si="2"/>
        <v>736.29</v>
      </c>
      <c r="AH19" s="98">
        <f t="shared" ca="1" si="2"/>
        <v>736.29</v>
      </c>
      <c r="AI19" s="98">
        <f t="shared" ca="1" si="2"/>
        <v>736.29</v>
      </c>
      <c r="AJ19" s="98">
        <f t="shared" ca="1" si="2"/>
        <v>736.29</v>
      </c>
      <c r="AK19" s="98">
        <f t="shared" ca="1" si="2"/>
        <v>736.29</v>
      </c>
      <c r="AL19" s="98">
        <f t="shared" ca="1" si="2"/>
        <v>736.29</v>
      </c>
      <c r="AN19" s="173"/>
    </row>
    <row r="20" spans="1:40" x14ac:dyDescent="0.2">
      <c r="A20" s="31">
        <v>-2</v>
      </c>
      <c r="B20" s="24" t="s">
        <v>188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100">
        <v>810</v>
      </c>
      <c r="P20" s="100">
        <v>810</v>
      </c>
      <c r="Q20" s="100">
        <v>810</v>
      </c>
      <c r="R20" s="100">
        <v>810</v>
      </c>
      <c r="S20" s="100">
        <v>810</v>
      </c>
      <c r="T20" s="100">
        <v>810</v>
      </c>
      <c r="U20" s="100">
        <v>810</v>
      </c>
      <c r="V20" s="100">
        <v>810</v>
      </c>
      <c r="W20" s="100">
        <v>810</v>
      </c>
      <c r="X20" s="100">
        <v>810</v>
      </c>
      <c r="Y20" s="100">
        <v>810</v>
      </c>
      <c r="Z20" s="100">
        <v>810</v>
      </c>
      <c r="AA20" s="98">
        <f t="shared" ca="1" si="2"/>
        <v>810</v>
      </c>
      <c r="AB20" s="98">
        <f t="shared" ca="1" si="2"/>
        <v>810</v>
      </c>
      <c r="AC20" s="98">
        <f t="shared" ca="1" si="2"/>
        <v>818.09999999999991</v>
      </c>
      <c r="AD20" s="98">
        <f t="shared" ca="1" si="2"/>
        <v>818.09999999999991</v>
      </c>
      <c r="AE20" s="98">
        <f t="shared" ca="1" si="2"/>
        <v>818.09999999999991</v>
      </c>
      <c r="AF20" s="98">
        <f t="shared" ca="1" si="2"/>
        <v>818.09999999999991</v>
      </c>
      <c r="AG20" s="98">
        <f t="shared" ca="1" si="2"/>
        <v>818.09999999999991</v>
      </c>
      <c r="AH20" s="98">
        <f t="shared" ca="1" si="2"/>
        <v>818.09999999999991</v>
      </c>
      <c r="AI20" s="98">
        <f t="shared" ca="1" si="2"/>
        <v>818.09999999999991</v>
      </c>
      <c r="AJ20" s="98">
        <f t="shared" ca="1" si="2"/>
        <v>818.09999999999991</v>
      </c>
      <c r="AK20" s="98">
        <f t="shared" ca="1" si="2"/>
        <v>818.09999999999991</v>
      </c>
      <c r="AL20" s="98">
        <f t="shared" ca="1" si="2"/>
        <v>818.09999999999991</v>
      </c>
      <c r="AN20" s="173"/>
    </row>
    <row r="21" spans="1:40" x14ac:dyDescent="0.2">
      <c r="A21" s="31">
        <v>-1</v>
      </c>
      <c r="B21" s="24" t="s">
        <v>189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100">
        <v>900</v>
      </c>
      <c r="P21" s="100">
        <v>900</v>
      </c>
      <c r="Q21" s="100">
        <v>900</v>
      </c>
      <c r="R21" s="100">
        <v>900</v>
      </c>
      <c r="S21" s="100">
        <v>900</v>
      </c>
      <c r="T21" s="100">
        <v>900</v>
      </c>
      <c r="U21" s="100">
        <v>900</v>
      </c>
      <c r="V21" s="100">
        <v>900</v>
      </c>
      <c r="W21" s="100">
        <v>900</v>
      </c>
      <c r="X21" s="100">
        <v>900</v>
      </c>
      <c r="Y21" s="100">
        <v>900</v>
      </c>
      <c r="Z21" s="100">
        <v>900</v>
      </c>
      <c r="AA21" s="98">
        <f t="shared" ca="1" si="2"/>
        <v>900</v>
      </c>
      <c r="AB21" s="98">
        <f t="shared" ca="1" si="2"/>
        <v>909</v>
      </c>
      <c r="AC21" s="98">
        <f t="shared" ca="1" si="2"/>
        <v>909</v>
      </c>
      <c r="AD21" s="98">
        <f t="shared" ca="1" si="2"/>
        <v>909</v>
      </c>
      <c r="AE21" s="98">
        <f t="shared" ca="1" si="2"/>
        <v>909</v>
      </c>
      <c r="AF21" s="98">
        <f t="shared" ca="1" si="2"/>
        <v>909</v>
      </c>
      <c r="AG21" s="98">
        <f t="shared" ca="1" si="2"/>
        <v>909</v>
      </c>
      <c r="AH21" s="98">
        <f t="shared" ca="1" si="2"/>
        <v>909</v>
      </c>
      <c r="AI21" s="98">
        <f t="shared" ca="1" si="2"/>
        <v>909</v>
      </c>
      <c r="AJ21" s="98">
        <f t="shared" ca="1" si="2"/>
        <v>909</v>
      </c>
      <c r="AK21" s="98">
        <f t="shared" ca="1" si="2"/>
        <v>909</v>
      </c>
      <c r="AL21" s="98">
        <f t="shared" ca="1" si="2"/>
        <v>909</v>
      </c>
      <c r="AN21" s="173"/>
    </row>
    <row r="22" spans="1:40" x14ac:dyDescent="0.2">
      <c r="A22" s="31">
        <v>0</v>
      </c>
      <c r="B22" s="24" t="s">
        <v>190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100">
        <v>1000</v>
      </c>
      <c r="P22" s="100">
        <v>1000</v>
      </c>
      <c r="Q22" s="100">
        <v>1000</v>
      </c>
      <c r="R22" s="100">
        <v>1000</v>
      </c>
      <c r="S22" s="100">
        <v>1000</v>
      </c>
      <c r="T22" s="100">
        <v>1000</v>
      </c>
      <c r="U22" s="100">
        <v>1000</v>
      </c>
      <c r="V22" s="100">
        <v>1000</v>
      </c>
      <c r="W22" s="100">
        <v>1000</v>
      </c>
      <c r="X22" s="100">
        <v>1000</v>
      </c>
      <c r="Y22" s="100">
        <v>1000</v>
      </c>
      <c r="Z22" s="100">
        <v>1000</v>
      </c>
      <c r="AA22" s="98">
        <f ca="1">O22/OFFSET(O$8,,$A22)*OFFSET(AA$8,,$A22)</f>
        <v>1010</v>
      </c>
      <c r="AB22" s="98">
        <f t="shared" ca="1" si="2"/>
        <v>1010</v>
      </c>
      <c r="AC22" s="98">
        <f t="shared" ca="1" si="2"/>
        <v>1010</v>
      </c>
      <c r="AD22" s="98">
        <f t="shared" ca="1" si="2"/>
        <v>1010</v>
      </c>
      <c r="AE22" s="98">
        <f t="shared" ca="1" si="2"/>
        <v>1010</v>
      </c>
      <c r="AF22" s="98">
        <f t="shared" ca="1" si="2"/>
        <v>1010</v>
      </c>
      <c r="AG22" s="98">
        <f t="shared" ca="1" si="2"/>
        <v>1010</v>
      </c>
      <c r="AH22" s="98">
        <f t="shared" ca="1" si="2"/>
        <v>1010</v>
      </c>
      <c r="AI22" s="98">
        <f t="shared" ca="1" si="2"/>
        <v>1010</v>
      </c>
      <c r="AJ22" s="98">
        <f t="shared" ca="1" si="2"/>
        <v>1010</v>
      </c>
      <c r="AK22" s="98">
        <f t="shared" ca="1" si="2"/>
        <v>1010</v>
      </c>
      <c r="AL22" s="98">
        <f t="shared" ca="1" si="2"/>
        <v>1010</v>
      </c>
      <c r="AN22" s="173"/>
    </row>
    <row r="23" spans="1:40" x14ac:dyDescent="0.2">
      <c r="B23" s="29" t="s">
        <v>191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30">
        <f t="shared" ref="O23:AL23" si="3">SUM(O11:O22)</f>
        <v>7175.7099999999991</v>
      </c>
      <c r="P23" s="30">
        <f t="shared" si="3"/>
        <v>7175.7099999999991</v>
      </c>
      <c r="Q23" s="30">
        <f t="shared" si="3"/>
        <v>7175.7099999999991</v>
      </c>
      <c r="R23" s="30">
        <f t="shared" si="3"/>
        <v>7175.7099999999991</v>
      </c>
      <c r="S23" s="30">
        <f t="shared" si="3"/>
        <v>7175.7099999999991</v>
      </c>
      <c r="T23" s="30">
        <f t="shared" si="3"/>
        <v>7175.7099999999991</v>
      </c>
      <c r="U23" s="30">
        <f t="shared" si="3"/>
        <v>7175.7099999999991</v>
      </c>
      <c r="V23" s="30">
        <f t="shared" si="3"/>
        <v>7175.7099999999991</v>
      </c>
      <c r="W23" s="30">
        <f t="shared" si="3"/>
        <v>7175.7099999999991</v>
      </c>
      <c r="X23" s="30">
        <f t="shared" si="3"/>
        <v>7175.7099999999991</v>
      </c>
      <c r="Y23" s="30">
        <f t="shared" si="3"/>
        <v>7175.7099999999991</v>
      </c>
      <c r="Z23" s="30">
        <f t="shared" si="3"/>
        <v>7175.7099999999991</v>
      </c>
      <c r="AA23" s="30">
        <f t="shared" ca="1" si="3"/>
        <v>7185.7099999999991</v>
      </c>
      <c r="AB23" s="30">
        <f t="shared" ca="1" si="3"/>
        <v>7194.7099999999991</v>
      </c>
      <c r="AC23" s="30">
        <f t="shared" ca="1" si="3"/>
        <v>7202.8099999999995</v>
      </c>
      <c r="AD23" s="30">
        <f t="shared" ca="1" si="3"/>
        <v>7210.1</v>
      </c>
      <c r="AE23" s="30">
        <f t="shared" ca="1" si="3"/>
        <v>7216.6610000000001</v>
      </c>
      <c r="AF23" s="30">
        <f t="shared" ca="1" si="3"/>
        <v>7222.5658999999996</v>
      </c>
      <c r="AG23" s="30">
        <f t="shared" ca="1" si="3"/>
        <v>7227.8803000000007</v>
      </c>
      <c r="AH23" s="30">
        <f t="shared" ca="1" si="3"/>
        <v>7232.6633000000002</v>
      </c>
      <c r="AI23" s="30">
        <f t="shared" ca="1" si="3"/>
        <v>7236.9680000000008</v>
      </c>
      <c r="AJ23" s="30">
        <f t="shared" ca="1" si="3"/>
        <v>7240.842200000001</v>
      </c>
      <c r="AK23" s="30">
        <f t="shared" ca="1" si="3"/>
        <v>7244.3289999999997</v>
      </c>
      <c r="AL23" s="30">
        <f t="shared" ca="1" si="3"/>
        <v>7247.4670999999998</v>
      </c>
    </row>
    <row r="25" spans="1:40" x14ac:dyDescent="0.2">
      <c r="B25" s="7" t="s">
        <v>257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40" x14ac:dyDescent="0.2">
      <c r="B26" s="135" t="s">
        <v>244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6">
        <v>41640</v>
      </c>
      <c r="P26" s="136">
        <v>41671</v>
      </c>
      <c r="Q26" s="136">
        <v>41699</v>
      </c>
      <c r="R26" s="136">
        <v>41730</v>
      </c>
      <c r="S26" s="136">
        <v>41760</v>
      </c>
      <c r="T26" s="136">
        <v>41791</v>
      </c>
      <c r="U26" s="136">
        <v>41821</v>
      </c>
      <c r="V26" s="136">
        <v>41852</v>
      </c>
      <c r="W26" s="136">
        <v>41883</v>
      </c>
      <c r="X26" s="136">
        <v>41913</v>
      </c>
      <c r="Y26" s="136">
        <v>41944</v>
      </c>
      <c r="Z26" s="136">
        <v>41974</v>
      </c>
      <c r="AA26" s="136">
        <v>42005</v>
      </c>
      <c r="AB26" s="136">
        <v>42036</v>
      </c>
      <c r="AC26" s="136">
        <v>42064</v>
      </c>
      <c r="AD26" s="136">
        <v>42095</v>
      </c>
      <c r="AE26" s="136">
        <v>42125</v>
      </c>
      <c r="AF26" s="136">
        <v>42156</v>
      </c>
      <c r="AG26" s="136">
        <v>42186</v>
      </c>
      <c r="AH26" s="136">
        <v>42217</v>
      </c>
      <c r="AI26" s="136">
        <v>42248</v>
      </c>
      <c r="AJ26" s="136">
        <v>42278</v>
      </c>
      <c r="AK26" s="136">
        <v>42309</v>
      </c>
      <c r="AL26" s="136">
        <v>42339</v>
      </c>
    </row>
    <row r="27" spans="1:40" x14ac:dyDescent="0.2">
      <c r="A27" s="1"/>
      <c r="B27" s="138">
        <v>41456</v>
      </c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7">
        <v>1</v>
      </c>
      <c r="P27" s="137">
        <v>0</v>
      </c>
      <c r="Q27" s="137">
        <v>0</v>
      </c>
      <c r="R27" s="137">
        <v>0</v>
      </c>
      <c r="S27" s="137">
        <v>0</v>
      </c>
      <c r="T27" s="137">
        <v>0</v>
      </c>
      <c r="U27" s="137">
        <v>0</v>
      </c>
      <c r="V27" s="137">
        <v>0</v>
      </c>
      <c r="W27" s="137">
        <v>0</v>
      </c>
      <c r="X27" s="137">
        <v>0</v>
      </c>
      <c r="Y27" s="137">
        <v>0</v>
      </c>
      <c r="Z27" s="137">
        <v>0</v>
      </c>
      <c r="AA27" s="137">
        <v>0</v>
      </c>
      <c r="AB27" s="137">
        <v>0</v>
      </c>
      <c r="AC27" s="137">
        <v>0</v>
      </c>
      <c r="AD27" s="137">
        <v>0</v>
      </c>
      <c r="AE27" s="137">
        <v>0</v>
      </c>
      <c r="AF27" s="137">
        <v>0</v>
      </c>
      <c r="AG27" s="137">
        <v>0</v>
      </c>
      <c r="AH27" s="137">
        <v>0</v>
      </c>
      <c r="AI27" s="137">
        <v>0</v>
      </c>
      <c r="AJ27" s="137">
        <v>0</v>
      </c>
      <c r="AK27" s="137">
        <v>0</v>
      </c>
      <c r="AL27" s="137">
        <v>0</v>
      </c>
    </row>
    <row r="28" spans="1:40" x14ac:dyDescent="0.2">
      <c r="A28" s="1"/>
      <c r="B28" s="138">
        <v>41487</v>
      </c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7">
        <v>2</v>
      </c>
      <c r="P28" s="137">
        <v>1</v>
      </c>
      <c r="Q28" s="137">
        <v>0</v>
      </c>
      <c r="R28" s="137">
        <v>0</v>
      </c>
      <c r="S28" s="137">
        <v>0</v>
      </c>
      <c r="T28" s="137">
        <v>0</v>
      </c>
      <c r="U28" s="137">
        <v>0</v>
      </c>
      <c r="V28" s="137">
        <v>0</v>
      </c>
      <c r="W28" s="137">
        <v>0</v>
      </c>
      <c r="X28" s="137">
        <v>0</v>
      </c>
      <c r="Y28" s="137">
        <v>0</v>
      </c>
      <c r="Z28" s="137">
        <v>0</v>
      </c>
      <c r="AA28" s="137">
        <v>0</v>
      </c>
      <c r="AB28" s="137">
        <v>0</v>
      </c>
      <c r="AC28" s="137">
        <v>0</v>
      </c>
      <c r="AD28" s="137">
        <v>0</v>
      </c>
      <c r="AE28" s="137">
        <v>0</v>
      </c>
      <c r="AF28" s="137">
        <v>0</v>
      </c>
      <c r="AG28" s="137">
        <v>0</v>
      </c>
      <c r="AH28" s="137">
        <v>0</v>
      </c>
      <c r="AI28" s="137">
        <v>0</v>
      </c>
      <c r="AJ28" s="137">
        <v>0</v>
      </c>
      <c r="AK28" s="137">
        <v>0</v>
      </c>
      <c r="AL28" s="137">
        <v>0</v>
      </c>
    </row>
    <row r="29" spans="1:40" x14ac:dyDescent="0.2">
      <c r="A29" s="1"/>
      <c r="B29" s="138">
        <v>41518</v>
      </c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7">
        <v>3</v>
      </c>
      <c r="P29" s="137">
        <v>2</v>
      </c>
      <c r="Q29" s="137">
        <v>1</v>
      </c>
      <c r="R29" s="137">
        <v>0</v>
      </c>
      <c r="S29" s="137">
        <v>0</v>
      </c>
      <c r="T29" s="137">
        <v>0</v>
      </c>
      <c r="U29" s="137">
        <v>0</v>
      </c>
      <c r="V29" s="137">
        <v>0</v>
      </c>
      <c r="W29" s="137">
        <v>0</v>
      </c>
      <c r="X29" s="137">
        <v>0</v>
      </c>
      <c r="Y29" s="137">
        <v>0</v>
      </c>
      <c r="Z29" s="137">
        <v>0</v>
      </c>
      <c r="AA29" s="137">
        <v>0</v>
      </c>
      <c r="AB29" s="137">
        <v>0</v>
      </c>
      <c r="AC29" s="137">
        <v>0</v>
      </c>
      <c r="AD29" s="137">
        <v>0</v>
      </c>
      <c r="AE29" s="137">
        <v>0</v>
      </c>
      <c r="AF29" s="137">
        <v>0</v>
      </c>
      <c r="AG29" s="137">
        <v>0</v>
      </c>
      <c r="AH29" s="137">
        <v>0</v>
      </c>
      <c r="AI29" s="137">
        <v>0</v>
      </c>
      <c r="AJ29" s="137">
        <v>0</v>
      </c>
      <c r="AK29" s="137">
        <v>0</v>
      </c>
      <c r="AL29" s="137">
        <v>0</v>
      </c>
    </row>
    <row r="30" spans="1:40" x14ac:dyDescent="0.2">
      <c r="A30" s="1"/>
      <c r="B30" s="138">
        <v>41548</v>
      </c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7">
        <v>6</v>
      </c>
      <c r="P30" s="137">
        <v>3</v>
      </c>
      <c r="Q30" s="137">
        <v>2</v>
      </c>
      <c r="R30" s="137">
        <v>1</v>
      </c>
      <c r="S30" s="137">
        <v>0</v>
      </c>
      <c r="T30" s="137">
        <v>0</v>
      </c>
      <c r="U30" s="137">
        <v>0</v>
      </c>
      <c r="V30" s="137">
        <v>0</v>
      </c>
      <c r="W30" s="137">
        <v>0</v>
      </c>
      <c r="X30" s="137">
        <v>0</v>
      </c>
      <c r="Y30" s="137">
        <v>0</v>
      </c>
      <c r="Z30" s="137">
        <v>0</v>
      </c>
      <c r="AA30" s="137">
        <v>0</v>
      </c>
      <c r="AB30" s="137">
        <v>0</v>
      </c>
      <c r="AC30" s="137">
        <v>0</v>
      </c>
      <c r="AD30" s="137">
        <v>0</v>
      </c>
      <c r="AE30" s="137">
        <v>0</v>
      </c>
      <c r="AF30" s="137">
        <v>0</v>
      </c>
      <c r="AG30" s="137">
        <v>0</v>
      </c>
      <c r="AH30" s="137">
        <v>0</v>
      </c>
      <c r="AI30" s="137">
        <v>0</v>
      </c>
      <c r="AJ30" s="137">
        <v>0</v>
      </c>
      <c r="AK30" s="137">
        <v>0</v>
      </c>
      <c r="AL30" s="137">
        <v>0</v>
      </c>
    </row>
    <row r="31" spans="1:40" x14ac:dyDescent="0.2">
      <c r="A31" s="1"/>
      <c r="B31" s="138">
        <v>41579</v>
      </c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7">
        <v>13</v>
      </c>
      <c r="P31" s="137">
        <v>6</v>
      </c>
      <c r="Q31" s="137">
        <v>3</v>
      </c>
      <c r="R31" s="137">
        <v>2</v>
      </c>
      <c r="S31" s="137">
        <v>1</v>
      </c>
      <c r="T31" s="137">
        <v>0</v>
      </c>
      <c r="U31" s="137">
        <v>0</v>
      </c>
      <c r="V31" s="137">
        <v>0</v>
      </c>
      <c r="W31" s="137">
        <v>0</v>
      </c>
      <c r="X31" s="137">
        <v>0</v>
      </c>
      <c r="Y31" s="137">
        <v>0</v>
      </c>
      <c r="Z31" s="137">
        <v>0</v>
      </c>
      <c r="AA31" s="137">
        <v>0</v>
      </c>
      <c r="AB31" s="137">
        <v>0</v>
      </c>
      <c r="AC31" s="137">
        <v>0</v>
      </c>
      <c r="AD31" s="137">
        <v>0</v>
      </c>
      <c r="AE31" s="137">
        <v>0</v>
      </c>
      <c r="AF31" s="137">
        <v>0</v>
      </c>
      <c r="AG31" s="137">
        <v>0</v>
      </c>
      <c r="AH31" s="137">
        <v>0</v>
      </c>
      <c r="AI31" s="137">
        <v>0</v>
      </c>
      <c r="AJ31" s="137">
        <v>0</v>
      </c>
      <c r="AK31" s="137">
        <v>0</v>
      </c>
      <c r="AL31" s="137">
        <v>0</v>
      </c>
    </row>
    <row r="32" spans="1:40" x14ac:dyDescent="0.2">
      <c r="A32" s="1"/>
      <c r="B32" s="138">
        <v>41609</v>
      </c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7">
        <v>25</v>
      </c>
      <c r="P32" s="137">
        <v>13</v>
      </c>
      <c r="Q32" s="137">
        <v>6</v>
      </c>
      <c r="R32" s="137">
        <v>3</v>
      </c>
      <c r="S32" s="137">
        <v>2</v>
      </c>
      <c r="T32" s="137">
        <v>1</v>
      </c>
      <c r="U32" s="137">
        <v>0</v>
      </c>
      <c r="V32" s="137">
        <v>0</v>
      </c>
      <c r="W32" s="137">
        <v>0</v>
      </c>
      <c r="X32" s="137">
        <v>0</v>
      </c>
      <c r="Y32" s="137">
        <v>0</v>
      </c>
      <c r="Z32" s="137">
        <v>0</v>
      </c>
      <c r="AA32" s="137">
        <v>0</v>
      </c>
      <c r="AB32" s="137">
        <v>0</v>
      </c>
      <c r="AC32" s="137">
        <v>0</v>
      </c>
      <c r="AD32" s="137">
        <v>0</v>
      </c>
      <c r="AE32" s="137">
        <v>0</v>
      </c>
      <c r="AF32" s="137">
        <v>0</v>
      </c>
      <c r="AG32" s="137">
        <v>0</v>
      </c>
      <c r="AH32" s="137">
        <v>0</v>
      </c>
      <c r="AI32" s="137">
        <v>0</v>
      </c>
      <c r="AJ32" s="137">
        <v>0</v>
      </c>
      <c r="AK32" s="137">
        <v>0</v>
      </c>
      <c r="AL32" s="137">
        <v>0</v>
      </c>
    </row>
    <row r="33" spans="1:38" x14ac:dyDescent="0.2">
      <c r="A33" s="1"/>
      <c r="B33" s="138">
        <v>41640</v>
      </c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7">
        <v>50</v>
      </c>
      <c r="P33" s="137">
        <v>25</v>
      </c>
      <c r="Q33" s="137">
        <v>13</v>
      </c>
      <c r="R33" s="137">
        <v>6</v>
      </c>
      <c r="S33" s="137">
        <v>3</v>
      </c>
      <c r="T33" s="137">
        <v>2</v>
      </c>
      <c r="U33" s="137">
        <v>1</v>
      </c>
      <c r="V33" s="137">
        <v>0</v>
      </c>
      <c r="W33" s="137">
        <v>0</v>
      </c>
      <c r="X33" s="137">
        <v>0</v>
      </c>
      <c r="Y33" s="137">
        <v>0</v>
      </c>
      <c r="Z33" s="137">
        <v>0</v>
      </c>
      <c r="AA33" s="137">
        <v>0</v>
      </c>
      <c r="AB33" s="137">
        <v>0</v>
      </c>
      <c r="AC33" s="137">
        <v>0</v>
      </c>
      <c r="AD33" s="137">
        <v>0</v>
      </c>
      <c r="AE33" s="137">
        <v>0</v>
      </c>
      <c r="AF33" s="137">
        <v>0</v>
      </c>
      <c r="AG33" s="137">
        <v>0</v>
      </c>
      <c r="AH33" s="137">
        <v>0</v>
      </c>
      <c r="AI33" s="137">
        <v>0</v>
      </c>
      <c r="AJ33" s="137">
        <v>0</v>
      </c>
      <c r="AK33" s="137">
        <v>0</v>
      </c>
      <c r="AL33" s="137">
        <v>0</v>
      </c>
    </row>
    <row r="34" spans="1:38" x14ac:dyDescent="0.2">
      <c r="A34" s="1"/>
      <c r="B34" s="138">
        <v>41671</v>
      </c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7">
        <v>0</v>
      </c>
      <c r="P34" s="137">
        <v>50</v>
      </c>
      <c r="Q34" s="137">
        <v>25</v>
      </c>
      <c r="R34" s="137">
        <v>13</v>
      </c>
      <c r="S34" s="137">
        <v>6</v>
      </c>
      <c r="T34" s="137">
        <v>3</v>
      </c>
      <c r="U34" s="137">
        <v>2</v>
      </c>
      <c r="V34" s="137">
        <v>1</v>
      </c>
      <c r="W34" s="137">
        <v>0</v>
      </c>
      <c r="X34" s="137">
        <v>0</v>
      </c>
      <c r="Y34" s="137">
        <v>0</v>
      </c>
      <c r="Z34" s="137">
        <v>0</v>
      </c>
      <c r="AA34" s="137">
        <v>0</v>
      </c>
      <c r="AB34" s="137">
        <v>0</v>
      </c>
      <c r="AC34" s="137">
        <v>0</v>
      </c>
      <c r="AD34" s="137">
        <v>0</v>
      </c>
      <c r="AE34" s="137">
        <v>0</v>
      </c>
      <c r="AF34" s="137">
        <v>0</v>
      </c>
      <c r="AG34" s="137">
        <v>0</v>
      </c>
      <c r="AH34" s="137">
        <v>0</v>
      </c>
      <c r="AI34" s="137">
        <v>0</v>
      </c>
      <c r="AJ34" s="137">
        <v>0</v>
      </c>
      <c r="AK34" s="137">
        <v>0</v>
      </c>
      <c r="AL34" s="137">
        <v>0</v>
      </c>
    </row>
    <row r="35" spans="1:38" x14ac:dyDescent="0.2">
      <c r="A35" s="1"/>
      <c r="B35" s="138">
        <v>41699</v>
      </c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7">
        <v>0</v>
      </c>
      <c r="P35" s="137">
        <v>0</v>
      </c>
      <c r="Q35" s="137">
        <v>50</v>
      </c>
      <c r="R35" s="137">
        <v>25</v>
      </c>
      <c r="S35" s="137">
        <v>13</v>
      </c>
      <c r="T35" s="137">
        <v>6</v>
      </c>
      <c r="U35" s="137">
        <v>3</v>
      </c>
      <c r="V35" s="137">
        <v>2</v>
      </c>
      <c r="W35" s="137">
        <v>1</v>
      </c>
      <c r="X35" s="137">
        <v>0</v>
      </c>
      <c r="Y35" s="137">
        <v>0</v>
      </c>
      <c r="Z35" s="137">
        <v>0</v>
      </c>
      <c r="AA35" s="137">
        <v>0</v>
      </c>
      <c r="AB35" s="137">
        <v>0</v>
      </c>
      <c r="AC35" s="137">
        <v>0</v>
      </c>
      <c r="AD35" s="137">
        <v>0</v>
      </c>
      <c r="AE35" s="137">
        <v>0</v>
      </c>
      <c r="AF35" s="137">
        <v>0</v>
      </c>
      <c r="AG35" s="137">
        <v>0</v>
      </c>
      <c r="AH35" s="137">
        <v>0</v>
      </c>
      <c r="AI35" s="137">
        <v>0</v>
      </c>
      <c r="AJ35" s="137">
        <v>0</v>
      </c>
      <c r="AK35" s="137">
        <v>0</v>
      </c>
      <c r="AL35" s="137">
        <v>0</v>
      </c>
    </row>
    <row r="36" spans="1:38" x14ac:dyDescent="0.2">
      <c r="A36" s="1"/>
      <c r="B36" s="138">
        <v>41730</v>
      </c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7">
        <v>0</v>
      </c>
      <c r="P36" s="137">
        <v>0</v>
      </c>
      <c r="Q36" s="137">
        <v>0</v>
      </c>
      <c r="R36" s="137">
        <v>50</v>
      </c>
      <c r="S36" s="137">
        <v>25</v>
      </c>
      <c r="T36" s="137">
        <v>13</v>
      </c>
      <c r="U36" s="137">
        <v>6</v>
      </c>
      <c r="V36" s="137">
        <v>3</v>
      </c>
      <c r="W36" s="137">
        <v>2</v>
      </c>
      <c r="X36" s="137">
        <v>1</v>
      </c>
      <c r="Y36" s="137">
        <v>0</v>
      </c>
      <c r="Z36" s="137">
        <v>0</v>
      </c>
      <c r="AA36" s="137">
        <v>0</v>
      </c>
      <c r="AB36" s="137">
        <v>0</v>
      </c>
      <c r="AC36" s="137">
        <v>0</v>
      </c>
      <c r="AD36" s="137">
        <v>0</v>
      </c>
      <c r="AE36" s="137">
        <v>0</v>
      </c>
      <c r="AF36" s="137">
        <v>0</v>
      </c>
      <c r="AG36" s="137">
        <v>0</v>
      </c>
      <c r="AH36" s="137">
        <v>0</v>
      </c>
      <c r="AI36" s="137">
        <v>0</v>
      </c>
      <c r="AJ36" s="137">
        <v>0</v>
      </c>
      <c r="AK36" s="137">
        <v>0</v>
      </c>
      <c r="AL36" s="137">
        <v>0</v>
      </c>
    </row>
    <row r="37" spans="1:38" x14ac:dyDescent="0.2">
      <c r="A37" s="1"/>
      <c r="B37" s="138">
        <v>41760</v>
      </c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7">
        <v>0</v>
      </c>
      <c r="P37" s="137">
        <v>0</v>
      </c>
      <c r="Q37" s="137">
        <v>0</v>
      </c>
      <c r="R37" s="137">
        <v>0</v>
      </c>
      <c r="S37" s="137">
        <v>50</v>
      </c>
      <c r="T37" s="137">
        <v>25</v>
      </c>
      <c r="U37" s="137">
        <v>13</v>
      </c>
      <c r="V37" s="137">
        <v>6</v>
      </c>
      <c r="W37" s="137">
        <v>3</v>
      </c>
      <c r="X37" s="137">
        <v>2</v>
      </c>
      <c r="Y37" s="137">
        <v>1</v>
      </c>
      <c r="Z37" s="137">
        <v>0</v>
      </c>
      <c r="AA37" s="137">
        <v>0</v>
      </c>
      <c r="AB37" s="137">
        <v>0</v>
      </c>
      <c r="AC37" s="137">
        <v>0</v>
      </c>
      <c r="AD37" s="137">
        <v>0</v>
      </c>
      <c r="AE37" s="137">
        <v>0</v>
      </c>
      <c r="AF37" s="137">
        <v>0</v>
      </c>
      <c r="AG37" s="137">
        <v>0</v>
      </c>
      <c r="AH37" s="137">
        <v>0</v>
      </c>
      <c r="AI37" s="137">
        <v>0</v>
      </c>
      <c r="AJ37" s="137">
        <v>0</v>
      </c>
      <c r="AK37" s="137">
        <v>0</v>
      </c>
      <c r="AL37" s="137">
        <v>0</v>
      </c>
    </row>
    <row r="38" spans="1:38" x14ac:dyDescent="0.2">
      <c r="A38" s="1"/>
      <c r="B38" s="138">
        <v>41791</v>
      </c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7">
        <v>0</v>
      </c>
      <c r="P38" s="137">
        <v>0</v>
      </c>
      <c r="Q38" s="137">
        <v>0</v>
      </c>
      <c r="R38" s="137">
        <v>0</v>
      </c>
      <c r="S38" s="137">
        <v>0</v>
      </c>
      <c r="T38" s="137">
        <v>50</v>
      </c>
      <c r="U38" s="137">
        <v>25</v>
      </c>
      <c r="V38" s="137">
        <v>13</v>
      </c>
      <c r="W38" s="137">
        <v>6</v>
      </c>
      <c r="X38" s="137">
        <v>3</v>
      </c>
      <c r="Y38" s="137">
        <v>2</v>
      </c>
      <c r="Z38" s="137">
        <v>1</v>
      </c>
      <c r="AA38" s="137">
        <v>0</v>
      </c>
      <c r="AB38" s="137">
        <v>0</v>
      </c>
      <c r="AC38" s="137">
        <v>0</v>
      </c>
      <c r="AD38" s="137">
        <v>0</v>
      </c>
      <c r="AE38" s="137">
        <v>0</v>
      </c>
      <c r="AF38" s="137">
        <v>0</v>
      </c>
      <c r="AG38" s="137">
        <v>0</v>
      </c>
      <c r="AH38" s="137">
        <v>0</v>
      </c>
      <c r="AI38" s="137">
        <v>0</v>
      </c>
      <c r="AJ38" s="137">
        <v>0</v>
      </c>
      <c r="AK38" s="137">
        <v>0</v>
      </c>
      <c r="AL38" s="137">
        <v>0</v>
      </c>
    </row>
    <row r="39" spans="1:38" x14ac:dyDescent="0.2">
      <c r="A39" s="1"/>
      <c r="B39" s="138">
        <v>41821</v>
      </c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7">
        <v>0</v>
      </c>
      <c r="P39" s="137">
        <v>0</v>
      </c>
      <c r="Q39" s="137">
        <v>0</v>
      </c>
      <c r="R39" s="137">
        <v>0</v>
      </c>
      <c r="S39" s="137">
        <v>0</v>
      </c>
      <c r="T39" s="137">
        <v>0</v>
      </c>
      <c r="U39" s="137">
        <v>50</v>
      </c>
      <c r="V39" s="137">
        <v>25</v>
      </c>
      <c r="W39" s="137">
        <v>13</v>
      </c>
      <c r="X39" s="137">
        <v>6</v>
      </c>
      <c r="Y39" s="137">
        <v>3</v>
      </c>
      <c r="Z39" s="137">
        <v>2</v>
      </c>
      <c r="AA39" s="137">
        <v>0</v>
      </c>
      <c r="AB39" s="137">
        <v>0</v>
      </c>
      <c r="AC39" s="137">
        <v>0</v>
      </c>
      <c r="AD39" s="137">
        <v>0</v>
      </c>
      <c r="AE39" s="137">
        <v>0</v>
      </c>
      <c r="AF39" s="137">
        <v>0</v>
      </c>
      <c r="AG39" s="137">
        <v>0</v>
      </c>
      <c r="AH39" s="137">
        <v>0</v>
      </c>
      <c r="AI39" s="137">
        <v>0</v>
      </c>
      <c r="AJ39" s="137">
        <v>0</v>
      </c>
      <c r="AK39" s="137">
        <v>0</v>
      </c>
      <c r="AL39" s="137">
        <v>0</v>
      </c>
    </row>
    <row r="40" spans="1:38" x14ac:dyDescent="0.2">
      <c r="A40" s="1"/>
      <c r="B40" s="138">
        <v>41852</v>
      </c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7">
        <v>0</v>
      </c>
      <c r="P40" s="137">
        <v>0</v>
      </c>
      <c r="Q40" s="137">
        <v>0</v>
      </c>
      <c r="R40" s="137">
        <v>0</v>
      </c>
      <c r="S40" s="137">
        <v>0</v>
      </c>
      <c r="T40" s="137">
        <v>0</v>
      </c>
      <c r="U40" s="137">
        <v>0</v>
      </c>
      <c r="V40" s="137">
        <v>50</v>
      </c>
      <c r="W40" s="137">
        <v>25</v>
      </c>
      <c r="X40" s="137">
        <v>13</v>
      </c>
      <c r="Y40" s="137">
        <v>6</v>
      </c>
      <c r="Z40" s="137">
        <v>3</v>
      </c>
      <c r="AA40" s="137">
        <v>0</v>
      </c>
      <c r="AB40" s="137">
        <v>0</v>
      </c>
      <c r="AC40" s="137">
        <v>0</v>
      </c>
      <c r="AD40" s="137">
        <v>0</v>
      </c>
      <c r="AE40" s="137">
        <v>0</v>
      </c>
      <c r="AF40" s="137">
        <v>0</v>
      </c>
      <c r="AG40" s="137">
        <v>0</v>
      </c>
      <c r="AH40" s="137">
        <v>0</v>
      </c>
      <c r="AI40" s="137">
        <v>0</v>
      </c>
      <c r="AJ40" s="137">
        <v>0</v>
      </c>
      <c r="AK40" s="137">
        <v>0</v>
      </c>
      <c r="AL40" s="137">
        <v>0</v>
      </c>
    </row>
    <row r="41" spans="1:38" x14ac:dyDescent="0.2">
      <c r="A41" s="1"/>
      <c r="B41" s="138">
        <v>41883</v>
      </c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7">
        <v>0</v>
      </c>
      <c r="P41" s="137">
        <v>0</v>
      </c>
      <c r="Q41" s="137">
        <v>0</v>
      </c>
      <c r="R41" s="137">
        <v>0</v>
      </c>
      <c r="S41" s="137">
        <v>0</v>
      </c>
      <c r="T41" s="137">
        <v>0</v>
      </c>
      <c r="U41" s="137">
        <v>0</v>
      </c>
      <c r="V41" s="137">
        <v>0</v>
      </c>
      <c r="W41" s="137">
        <v>50</v>
      </c>
      <c r="X41" s="137">
        <v>25</v>
      </c>
      <c r="Y41" s="137">
        <v>13</v>
      </c>
      <c r="Z41" s="137">
        <v>6</v>
      </c>
      <c r="AA41" s="137">
        <v>0</v>
      </c>
      <c r="AB41" s="137">
        <v>0</v>
      </c>
      <c r="AC41" s="137">
        <v>0</v>
      </c>
      <c r="AD41" s="137">
        <v>0</v>
      </c>
      <c r="AE41" s="137">
        <v>0</v>
      </c>
      <c r="AF41" s="137">
        <v>0</v>
      </c>
      <c r="AG41" s="137">
        <v>0</v>
      </c>
      <c r="AH41" s="137">
        <v>0</v>
      </c>
      <c r="AI41" s="137">
        <v>0</v>
      </c>
      <c r="AJ41" s="137">
        <v>0</v>
      </c>
      <c r="AK41" s="137">
        <v>0</v>
      </c>
      <c r="AL41" s="137">
        <v>0</v>
      </c>
    </row>
    <row r="42" spans="1:38" x14ac:dyDescent="0.2">
      <c r="A42" s="1"/>
      <c r="B42" s="138">
        <v>41913</v>
      </c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7">
        <v>0</v>
      </c>
      <c r="P42" s="137">
        <v>0</v>
      </c>
      <c r="Q42" s="137">
        <v>0</v>
      </c>
      <c r="R42" s="137">
        <v>0</v>
      </c>
      <c r="S42" s="137">
        <v>0</v>
      </c>
      <c r="T42" s="137">
        <v>0</v>
      </c>
      <c r="U42" s="137">
        <v>0</v>
      </c>
      <c r="V42" s="137">
        <v>0</v>
      </c>
      <c r="W42" s="137">
        <v>0</v>
      </c>
      <c r="X42" s="137">
        <v>50</v>
      </c>
      <c r="Y42" s="137">
        <v>25</v>
      </c>
      <c r="Z42" s="137">
        <v>13</v>
      </c>
      <c r="AA42" s="137">
        <v>0</v>
      </c>
      <c r="AB42" s="137">
        <v>0</v>
      </c>
      <c r="AC42" s="137">
        <v>0</v>
      </c>
      <c r="AD42" s="137">
        <v>0</v>
      </c>
      <c r="AE42" s="137">
        <v>0</v>
      </c>
      <c r="AF42" s="137">
        <v>0</v>
      </c>
      <c r="AG42" s="137">
        <v>0</v>
      </c>
      <c r="AH42" s="137">
        <v>0</v>
      </c>
      <c r="AI42" s="137">
        <v>0</v>
      </c>
      <c r="AJ42" s="137">
        <v>0</v>
      </c>
      <c r="AK42" s="137">
        <v>0</v>
      </c>
      <c r="AL42" s="137">
        <v>0</v>
      </c>
    </row>
    <row r="43" spans="1:38" x14ac:dyDescent="0.2">
      <c r="A43" s="1"/>
      <c r="B43" s="138">
        <v>41944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7">
        <v>0</v>
      </c>
      <c r="P43" s="137">
        <v>0</v>
      </c>
      <c r="Q43" s="137">
        <v>0</v>
      </c>
      <c r="R43" s="137">
        <v>0</v>
      </c>
      <c r="S43" s="137">
        <v>0</v>
      </c>
      <c r="T43" s="137">
        <v>0</v>
      </c>
      <c r="U43" s="137">
        <v>0</v>
      </c>
      <c r="V43" s="137">
        <v>0</v>
      </c>
      <c r="W43" s="137">
        <v>0</v>
      </c>
      <c r="X43" s="137">
        <v>0</v>
      </c>
      <c r="Y43" s="137">
        <v>50</v>
      </c>
      <c r="Z43" s="137">
        <v>25</v>
      </c>
      <c r="AA43" s="137">
        <v>0</v>
      </c>
      <c r="AB43" s="137">
        <v>0</v>
      </c>
      <c r="AC43" s="137">
        <v>0</v>
      </c>
      <c r="AD43" s="137">
        <v>0</v>
      </c>
      <c r="AE43" s="137">
        <v>0</v>
      </c>
      <c r="AF43" s="137">
        <v>0</v>
      </c>
      <c r="AG43" s="137">
        <v>0</v>
      </c>
      <c r="AH43" s="137">
        <v>0</v>
      </c>
      <c r="AI43" s="137">
        <v>0</v>
      </c>
      <c r="AJ43" s="137">
        <v>0</v>
      </c>
      <c r="AK43" s="137">
        <v>0</v>
      </c>
      <c r="AL43" s="137">
        <v>0</v>
      </c>
    </row>
    <row r="44" spans="1:38" x14ac:dyDescent="0.2">
      <c r="A44" s="1"/>
      <c r="B44" s="138">
        <v>41974</v>
      </c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7">
        <v>0</v>
      </c>
      <c r="P44" s="137">
        <v>0</v>
      </c>
      <c r="Q44" s="137">
        <v>0</v>
      </c>
      <c r="R44" s="137">
        <v>0</v>
      </c>
      <c r="S44" s="137">
        <v>0</v>
      </c>
      <c r="T44" s="137">
        <v>0</v>
      </c>
      <c r="U44" s="137">
        <v>0</v>
      </c>
      <c r="V44" s="137">
        <v>0</v>
      </c>
      <c r="W44" s="137">
        <v>0</v>
      </c>
      <c r="X44" s="137">
        <v>0</v>
      </c>
      <c r="Y44" s="137">
        <v>0</v>
      </c>
      <c r="Z44" s="137">
        <v>50</v>
      </c>
      <c r="AA44" s="137">
        <v>0</v>
      </c>
      <c r="AB44" s="137">
        <v>0</v>
      </c>
      <c r="AC44" s="137">
        <v>0</v>
      </c>
      <c r="AD44" s="137">
        <v>0</v>
      </c>
      <c r="AE44" s="137">
        <v>0</v>
      </c>
      <c r="AF44" s="137">
        <v>0</v>
      </c>
      <c r="AG44" s="137">
        <v>0</v>
      </c>
      <c r="AH44" s="137">
        <v>0</v>
      </c>
      <c r="AI44" s="137">
        <v>0</v>
      </c>
      <c r="AJ44" s="137">
        <v>0</v>
      </c>
      <c r="AK44" s="137">
        <v>0</v>
      </c>
      <c r="AL44" s="137">
        <v>0</v>
      </c>
    </row>
    <row r="45" spans="1:38" x14ac:dyDescent="0.2">
      <c r="A45" s="1"/>
      <c r="B45" s="138">
        <v>42005</v>
      </c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7">
        <v>0</v>
      </c>
      <c r="P45" s="137">
        <v>0</v>
      </c>
      <c r="Q45" s="137">
        <v>0</v>
      </c>
      <c r="R45" s="137">
        <v>0</v>
      </c>
      <c r="S45" s="137">
        <v>0</v>
      </c>
      <c r="T45" s="137">
        <v>0</v>
      </c>
      <c r="U45" s="137">
        <v>0</v>
      </c>
      <c r="V45" s="137">
        <v>0</v>
      </c>
      <c r="W45" s="137">
        <v>0</v>
      </c>
      <c r="X45" s="137">
        <v>0</v>
      </c>
      <c r="Y45" s="137">
        <v>0</v>
      </c>
      <c r="Z45" s="137">
        <v>0</v>
      </c>
      <c r="AA45" s="137">
        <v>0</v>
      </c>
      <c r="AB45" s="137">
        <v>0</v>
      </c>
      <c r="AC45" s="137">
        <v>0</v>
      </c>
      <c r="AD45" s="137">
        <v>0</v>
      </c>
      <c r="AE45" s="137">
        <v>0</v>
      </c>
      <c r="AF45" s="137">
        <v>0</v>
      </c>
      <c r="AG45" s="137">
        <v>0</v>
      </c>
      <c r="AH45" s="137">
        <v>0</v>
      </c>
      <c r="AI45" s="137">
        <v>0</v>
      </c>
      <c r="AJ45" s="137">
        <v>0</v>
      </c>
      <c r="AK45" s="137">
        <v>0</v>
      </c>
      <c r="AL45" s="137">
        <v>0</v>
      </c>
    </row>
    <row r="46" spans="1:38" x14ac:dyDescent="0.2">
      <c r="A46" s="1"/>
      <c r="B46" s="138">
        <v>42036</v>
      </c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7">
        <v>0</v>
      </c>
      <c r="P46" s="137">
        <v>0</v>
      </c>
      <c r="Q46" s="137">
        <v>0</v>
      </c>
      <c r="R46" s="137">
        <v>0</v>
      </c>
      <c r="S46" s="137">
        <v>0</v>
      </c>
      <c r="T46" s="137">
        <v>0</v>
      </c>
      <c r="U46" s="137">
        <v>0</v>
      </c>
      <c r="V46" s="137">
        <v>0</v>
      </c>
      <c r="W46" s="137">
        <v>0</v>
      </c>
      <c r="X46" s="137">
        <v>0</v>
      </c>
      <c r="Y46" s="137">
        <v>0</v>
      </c>
      <c r="Z46" s="137">
        <v>0</v>
      </c>
      <c r="AA46" s="137">
        <v>0</v>
      </c>
      <c r="AB46" s="137">
        <v>0</v>
      </c>
      <c r="AC46" s="137">
        <v>0</v>
      </c>
      <c r="AD46" s="137">
        <v>0</v>
      </c>
      <c r="AE46" s="137">
        <v>0</v>
      </c>
      <c r="AF46" s="137">
        <v>0</v>
      </c>
      <c r="AG46" s="137">
        <v>0</v>
      </c>
      <c r="AH46" s="137">
        <v>0</v>
      </c>
      <c r="AI46" s="137">
        <v>0</v>
      </c>
      <c r="AJ46" s="137">
        <v>0</v>
      </c>
      <c r="AK46" s="137">
        <v>0</v>
      </c>
      <c r="AL46" s="137">
        <v>0</v>
      </c>
    </row>
    <row r="47" spans="1:38" x14ac:dyDescent="0.2">
      <c r="A47" s="1"/>
      <c r="B47" s="138">
        <v>42064</v>
      </c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7">
        <v>0</v>
      </c>
      <c r="P47" s="137">
        <v>0</v>
      </c>
      <c r="Q47" s="137">
        <v>0</v>
      </c>
      <c r="R47" s="137">
        <v>0</v>
      </c>
      <c r="S47" s="137">
        <v>0</v>
      </c>
      <c r="T47" s="137">
        <v>0</v>
      </c>
      <c r="U47" s="137">
        <v>0</v>
      </c>
      <c r="V47" s="137">
        <v>0</v>
      </c>
      <c r="W47" s="137">
        <v>0</v>
      </c>
      <c r="X47" s="137">
        <v>0</v>
      </c>
      <c r="Y47" s="137">
        <v>0</v>
      </c>
      <c r="Z47" s="137">
        <v>0</v>
      </c>
      <c r="AA47" s="137">
        <v>0</v>
      </c>
      <c r="AB47" s="137">
        <v>0</v>
      </c>
      <c r="AC47" s="137">
        <v>0</v>
      </c>
      <c r="AD47" s="137">
        <v>0</v>
      </c>
      <c r="AE47" s="137">
        <v>0</v>
      </c>
      <c r="AF47" s="137">
        <v>0</v>
      </c>
      <c r="AG47" s="137">
        <v>0</v>
      </c>
      <c r="AH47" s="137">
        <v>0</v>
      </c>
      <c r="AI47" s="137">
        <v>0</v>
      </c>
      <c r="AJ47" s="137">
        <v>0</v>
      </c>
      <c r="AK47" s="137">
        <v>0</v>
      </c>
      <c r="AL47" s="137">
        <v>0</v>
      </c>
    </row>
    <row r="48" spans="1:38" x14ac:dyDescent="0.2">
      <c r="A48" s="1"/>
      <c r="B48" s="138">
        <v>42095</v>
      </c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7">
        <v>0</v>
      </c>
      <c r="P48" s="137">
        <v>0</v>
      </c>
      <c r="Q48" s="137">
        <v>0</v>
      </c>
      <c r="R48" s="137">
        <v>0</v>
      </c>
      <c r="S48" s="137">
        <v>0</v>
      </c>
      <c r="T48" s="137">
        <v>0</v>
      </c>
      <c r="U48" s="137">
        <v>0</v>
      </c>
      <c r="V48" s="137">
        <v>0</v>
      </c>
      <c r="W48" s="137">
        <v>0</v>
      </c>
      <c r="X48" s="137">
        <v>0</v>
      </c>
      <c r="Y48" s="137">
        <v>0</v>
      </c>
      <c r="Z48" s="137">
        <v>0</v>
      </c>
      <c r="AA48" s="137">
        <v>0</v>
      </c>
      <c r="AB48" s="137">
        <v>0</v>
      </c>
      <c r="AC48" s="137">
        <v>0</v>
      </c>
      <c r="AD48" s="137">
        <v>0</v>
      </c>
      <c r="AE48" s="137">
        <v>0</v>
      </c>
      <c r="AF48" s="137">
        <v>0</v>
      </c>
      <c r="AG48" s="137">
        <v>0</v>
      </c>
      <c r="AH48" s="137">
        <v>0</v>
      </c>
      <c r="AI48" s="137">
        <v>0</v>
      </c>
      <c r="AJ48" s="137">
        <v>0</v>
      </c>
      <c r="AK48" s="137">
        <v>0</v>
      </c>
      <c r="AL48" s="137">
        <v>0</v>
      </c>
    </row>
    <row r="49" spans="1:38" x14ac:dyDescent="0.2">
      <c r="A49" s="1"/>
      <c r="B49" s="138">
        <v>42125</v>
      </c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7">
        <v>0</v>
      </c>
      <c r="P49" s="137">
        <v>0</v>
      </c>
      <c r="Q49" s="137">
        <v>0</v>
      </c>
      <c r="R49" s="137">
        <v>0</v>
      </c>
      <c r="S49" s="137">
        <v>0</v>
      </c>
      <c r="T49" s="137">
        <v>0</v>
      </c>
      <c r="U49" s="137">
        <v>0</v>
      </c>
      <c r="V49" s="137">
        <v>0</v>
      </c>
      <c r="W49" s="137">
        <v>0</v>
      </c>
      <c r="X49" s="137">
        <v>0</v>
      </c>
      <c r="Y49" s="137">
        <v>0</v>
      </c>
      <c r="Z49" s="137">
        <v>0</v>
      </c>
      <c r="AA49" s="137">
        <v>0</v>
      </c>
      <c r="AB49" s="137">
        <v>0</v>
      </c>
      <c r="AC49" s="137">
        <v>0</v>
      </c>
      <c r="AD49" s="137">
        <v>0</v>
      </c>
      <c r="AE49" s="137">
        <v>0</v>
      </c>
      <c r="AF49" s="137">
        <v>0</v>
      </c>
      <c r="AG49" s="137">
        <v>0</v>
      </c>
      <c r="AH49" s="137">
        <v>0</v>
      </c>
      <c r="AI49" s="137">
        <v>0</v>
      </c>
      <c r="AJ49" s="137">
        <v>0</v>
      </c>
      <c r="AK49" s="137">
        <v>0</v>
      </c>
      <c r="AL49" s="137">
        <v>0</v>
      </c>
    </row>
    <row r="50" spans="1:38" x14ac:dyDescent="0.2">
      <c r="A50" s="1"/>
      <c r="B50" s="138">
        <v>42156</v>
      </c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7">
        <v>0</v>
      </c>
      <c r="P50" s="137">
        <v>0</v>
      </c>
      <c r="Q50" s="137">
        <v>0</v>
      </c>
      <c r="R50" s="137">
        <v>0</v>
      </c>
      <c r="S50" s="137">
        <v>0</v>
      </c>
      <c r="T50" s="137">
        <v>0</v>
      </c>
      <c r="U50" s="137">
        <v>0</v>
      </c>
      <c r="V50" s="137">
        <v>0</v>
      </c>
      <c r="W50" s="137">
        <v>0</v>
      </c>
      <c r="X50" s="137">
        <v>0</v>
      </c>
      <c r="Y50" s="137">
        <v>0</v>
      </c>
      <c r="Z50" s="137">
        <v>0</v>
      </c>
      <c r="AA50" s="137">
        <v>0</v>
      </c>
      <c r="AB50" s="137">
        <v>0</v>
      </c>
      <c r="AC50" s="137">
        <v>0</v>
      </c>
      <c r="AD50" s="137">
        <v>0</v>
      </c>
      <c r="AE50" s="137">
        <v>0</v>
      </c>
      <c r="AF50" s="137">
        <v>0</v>
      </c>
      <c r="AG50" s="137">
        <v>0</v>
      </c>
      <c r="AH50" s="137">
        <v>0</v>
      </c>
      <c r="AI50" s="137">
        <v>0</v>
      </c>
      <c r="AJ50" s="137">
        <v>0</v>
      </c>
      <c r="AK50" s="137">
        <v>0</v>
      </c>
      <c r="AL50" s="137">
        <v>0</v>
      </c>
    </row>
    <row r="51" spans="1:38" x14ac:dyDescent="0.2">
      <c r="A51" s="1"/>
      <c r="B51" s="138">
        <v>42186</v>
      </c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7">
        <v>0</v>
      </c>
      <c r="P51" s="137">
        <v>0</v>
      </c>
      <c r="Q51" s="137">
        <v>0</v>
      </c>
      <c r="R51" s="137">
        <v>0</v>
      </c>
      <c r="S51" s="137">
        <v>0</v>
      </c>
      <c r="T51" s="137">
        <v>0</v>
      </c>
      <c r="U51" s="137">
        <v>0</v>
      </c>
      <c r="V51" s="137">
        <v>0</v>
      </c>
      <c r="W51" s="137">
        <v>0</v>
      </c>
      <c r="X51" s="137">
        <v>0</v>
      </c>
      <c r="Y51" s="137">
        <v>0</v>
      </c>
      <c r="Z51" s="137">
        <v>0</v>
      </c>
      <c r="AA51" s="137">
        <v>0</v>
      </c>
      <c r="AB51" s="137">
        <v>0</v>
      </c>
      <c r="AC51" s="137">
        <v>0</v>
      </c>
      <c r="AD51" s="137">
        <v>0</v>
      </c>
      <c r="AE51" s="137">
        <v>0</v>
      </c>
      <c r="AF51" s="137">
        <v>0</v>
      </c>
      <c r="AG51" s="137">
        <v>0</v>
      </c>
      <c r="AH51" s="137">
        <v>0</v>
      </c>
      <c r="AI51" s="137">
        <v>0</v>
      </c>
      <c r="AJ51" s="137">
        <v>0</v>
      </c>
      <c r="AK51" s="137">
        <v>0</v>
      </c>
      <c r="AL51" s="137">
        <v>0</v>
      </c>
    </row>
    <row r="52" spans="1:38" x14ac:dyDescent="0.2">
      <c r="A52" s="1"/>
      <c r="B52" s="138">
        <v>42217</v>
      </c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7">
        <v>0</v>
      </c>
      <c r="P52" s="137">
        <v>0</v>
      </c>
      <c r="Q52" s="137">
        <v>0</v>
      </c>
      <c r="R52" s="137">
        <v>0</v>
      </c>
      <c r="S52" s="137">
        <v>0</v>
      </c>
      <c r="T52" s="137">
        <v>0</v>
      </c>
      <c r="U52" s="137">
        <v>0</v>
      </c>
      <c r="V52" s="137">
        <v>0</v>
      </c>
      <c r="W52" s="137">
        <v>0</v>
      </c>
      <c r="X52" s="137">
        <v>0</v>
      </c>
      <c r="Y52" s="137">
        <v>0</v>
      </c>
      <c r="Z52" s="137">
        <v>0</v>
      </c>
      <c r="AA52" s="137">
        <v>0</v>
      </c>
      <c r="AB52" s="137">
        <v>0</v>
      </c>
      <c r="AC52" s="137">
        <v>0</v>
      </c>
      <c r="AD52" s="137">
        <v>0</v>
      </c>
      <c r="AE52" s="137">
        <v>0</v>
      </c>
      <c r="AF52" s="137">
        <v>0</v>
      </c>
      <c r="AG52" s="137">
        <v>0</v>
      </c>
      <c r="AH52" s="137">
        <v>0</v>
      </c>
      <c r="AI52" s="137">
        <v>0</v>
      </c>
      <c r="AJ52" s="137">
        <v>0</v>
      </c>
      <c r="AK52" s="137">
        <v>0</v>
      </c>
      <c r="AL52" s="137">
        <v>0</v>
      </c>
    </row>
    <row r="53" spans="1:38" x14ac:dyDescent="0.2">
      <c r="A53" s="1"/>
      <c r="B53" s="138">
        <v>42248</v>
      </c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7">
        <v>0</v>
      </c>
      <c r="P53" s="137">
        <v>0</v>
      </c>
      <c r="Q53" s="137">
        <v>0</v>
      </c>
      <c r="R53" s="137">
        <v>0</v>
      </c>
      <c r="S53" s="137">
        <v>0</v>
      </c>
      <c r="T53" s="137">
        <v>0</v>
      </c>
      <c r="U53" s="137">
        <v>0</v>
      </c>
      <c r="V53" s="137">
        <v>0</v>
      </c>
      <c r="W53" s="137">
        <v>0</v>
      </c>
      <c r="X53" s="137">
        <v>0</v>
      </c>
      <c r="Y53" s="137">
        <v>0</v>
      </c>
      <c r="Z53" s="137">
        <v>0</v>
      </c>
      <c r="AA53" s="137">
        <v>0</v>
      </c>
      <c r="AB53" s="137">
        <v>0</v>
      </c>
      <c r="AC53" s="137">
        <v>0</v>
      </c>
      <c r="AD53" s="137">
        <v>0</v>
      </c>
      <c r="AE53" s="137">
        <v>0</v>
      </c>
      <c r="AF53" s="137">
        <v>0</v>
      </c>
      <c r="AG53" s="137">
        <v>0</v>
      </c>
      <c r="AH53" s="137">
        <v>0</v>
      </c>
      <c r="AI53" s="137">
        <v>0</v>
      </c>
      <c r="AJ53" s="137">
        <v>0</v>
      </c>
      <c r="AK53" s="137">
        <v>0</v>
      </c>
      <c r="AL53" s="137">
        <v>0</v>
      </c>
    </row>
    <row r="54" spans="1:38" x14ac:dyDescent="0.2">
      <c r="A54" s="1"/>
      <c r="B54" s="138">
        <v>42278</v>
      </c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7">
        <v>0</v>
      </c>
      <c r="P54" s="137">
        <v>0</v>
      </c>
      <c r="Q54" s="137">
        <v>0</v>
      </c>
      <c r="R54" s="137">
        <v>0</v>
      </c>
      <c r="S54" s="137">
        <v>0</v>
      </c>
      <c r="T54" s="137">
        <v>0</v>
      </c>
      <c r="U54" s="137">
        <v>0</v>
      </c>
      <c r="V54" s="137">
        <v>0</v>
      </c>
      <c r="W54" s="137">
        <v>0</v>
      </c>
      <c r="X54" s="137">
        <v>0</v>
      </c>
      <c r="Y54" s="137">
        <v>0</v>
      </c>
      <c r="Z54" s="137">
        <v>0</v>
      </c>
      <c r="AA54" s="137">
        <v>0</v>
      </c>
      <c r="AB54" s="137">
        <v>0</v>
      </c>
      <c r="AC54" s="137">
        <v>0</v>
      </c>
      <c r="AD54" s="137">
        <v>0</v>
      </c>
      <c r="AE54" s="137">
        <v>0</v>
      </c>
      <c r="AF54" s="137">
        <v>0</v>
      </c>
      <c r="AG54" s="137">
        <v>0</v>
      </c>
      <c r="AH54" s="137">
        <v>0</v>
      </c>
      <c r="AI54" s="137">
        <v>0</v>
      </c>
      <c r="AJ54" s="137">
        <v>0</v>
      </c>
      <c r="AK54" s="137">
        <v>0</v>
      </c>
      <c r="AL54" s="137">
        <v>0</v>
      </c>
    </row>
    <row r="55" spans="1:38" x14ac:dyDescent="0.2">
      <c r="A55" s="1"/>
      <c r="B55" s="138">
        <v>42309</v>
      </c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7">
        <v>0</v>
      </c>
      <c r="P55" s="137">
        <v>0</v>
      </c>
      <c r="Q55" s="137">
        <v>0</v>
      </c>
      <c r="R55" s="137">
        <v>0</v>
      </c>
      <c r="S55" s="137">
        <v>0</v>
      </c>
      <c r="T55" s="137">
        <v>0</v>
      </c>
      <c r="U55" s="137">
        <v>0</v>
      </c>
      <c r="V55" s="137">
        <v>0</v>
      </c>
      <c r="W55" s="137">
        <v>0</v>
      </c>
      <c r="X55" s="137">
        <v>0</v>
      </c>
      <c r="Y55" s="137">
        <v>0</v>
      </c>
      <c r="Z55" s="137">
        <v>0</v>
      </c>
      <c r="AA55" s="137">
        <v>0</v>
      </c>
      <c r="AB55" s="137">
        <v>0</v>
      </c>
      <c r="AC55" s="137">
        <v>0</v>
      </c>
      <c r="AD55" s="137">
        <v>0</v>
      </c>
      <c r="AE55" s="137">
        <v>0</v>
      </c>
      <c r="AF55" s="137">
        <v>0</v>
      </c>
      <c r="AG55" s="137">
        <v>0</v>
      </c>
      <c r="AH55" s="137">
        <v>0</v>
      </c>
      <c r="AI55" s="137">
        <v>0</v>
      </c>
      <c r="AJ55" s="137">
        <v>0</v>
      </c>
      <c r="AK55" s="137">
        <v>0</v>
      </c>
      <c r="AL55" s="137">
        <v>0</v>
      </c>
    </row>
    <row r="56" spans="1:38" x14ac:dyDescent="0.2">
      <c r="A56" s="1"/>
      <c r="B56" s="138">
        <v>42339</v>
      </c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7">
        <v>0</v>
      </c>
      <c r="P56" s="137">
        <v>0</v>
      </c>
      <c r="Q56" s="137">
        <v>0</v>
      </c>
      <c r="R56" s="137">
        <v>0</v>
      </c>
      <c r="S56" s="137">
        <v>0</v>
      </c>
      <c r="T56" s="137">
        <v>0</v>
      </c>
      <c r="U56" s="137">
        <v>0</v>
      </c>
      <c r="V56" s="137">
        <v>0</v>
      </c>
      <c r="W56" s="137">
        <v>0</v>
      </c>
      <c r="X56" s="137">
        <v>0</v>
      </c>
      <c r="Y56" s="137">
        <v>0</v>
      </c>
      <c r="Z56" s="137">
        <v>0</v>
      </c>
      <c r="AA56" s="137">
        <v>0</v>
      </c>
      <c r="AB56" s="137">
        <v>0</v>
      </c>
      <c r="AC56" s="137">
        <v>0</v>
      </c>
      <c r="AD56" s="137">
        <v>0</v>
      </c>
      <c r="AE56" s="137">
        <v>0</v>
      </c>
      <c r="AF56" s="137">
        <v>0</v>
      </c>
      <c r="AG56" s="137">
        <v>0</v>
      </c>
      <c r="AH56" s="137">
        <v>0</v>
      </c>
      <c r="AI56" s="137">
        <v>0</v>
      </c>
      <c r="AJ56" s="137">
        <v>0</v>
      </c>
      <c r="AK56" s="137">
        <v>0</v>
      </c>
      <c r="AL56" s="137">
        <v>0</v>
      </c>
    </row>
    <row r="57" spans="1:38" x14ac:dyDescent="0.2"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9">
        <f t="shared" ref="O57:AL57" si="4">SUM(O27:O56)</f>
        <v>100</v>
      </c>
      <c r="P57" s="139">
        <f t="shared" si="4"/>
        <v>100</v>
      </c>
      <c r="Q57" s="139">
        <f t="shared" si="4"/>
        <v>100</v>
      </c>
      <c r="R57" s="139">
        <f t="shared" si="4"/>
        <v>100</v>
      </c>
      <c r="S57" s="139">
        <f t="shared" si="4"/>
        <v>100</v>
      </c>
      <c r="T57" s="139">
        <f t="shared" si="4"/>
        <v>100</v>
      </c>
      <c r="U57" s="139">
        <f t="shared" si="4"/>
        <v>100</v>
      </c>
      <c r="V57" s="139">
        <f t="shared" si="4"/>
        <v>100</v>
      </c>
      <c r="W57" s="139">
        <f t="shared" si="4"/>
        <v>100</v>
      </c>
      <c r="X57" s="139">
        <f t="shared" si="4"/>
        <v>100</v>
      </c>
      <c r="Y57" s="139">
        <f t="shared" si="4"/>
        <v>100</v>
      </c>
      <c r="Z57" s="139">
        <f t="shared" si="4"/>
        <v>100</v>
      </c>
      <c r="AA57" s="139">
        <f t="shared" si="4"/>
        <v>0</v>
      </c>
      <c r="AB57" s="139">
        <f t="shared" si="4"/>
        <v>0</v>
      </c>
      <c r="AC57" s="139">
        <f t="shared" si="4"/>
        <v>0</v>
      </c>
      <c r="AD57" s="139">
        <f t="shared" si="4"/>
        <v>0</v>
      </c>
      <c r="AE57" s="139">
        <f t="shared" si="4"/>
        <v>0</v>
      </c>
      <c r="AF57" s="139">
        <f t="shared" si="4"/>
        <v>0</v>
      </c>
      <c r="AG57" s="139">
        <f t="shared" si="4"/>
        <v>0</v>
      </c>
      <c r="AH57" s="139">
        <f t="shared" si="4"/>
        <v>0</v>
      </c>
      <c r="AI57" s="139">
        <f t="shared" si="4"/>
        <v>0</v>
      </c>
      <c r="AJ57" s="139">
        <f t="shared" si="4"/>
        <v>0</v>
      </c>
      <c r="AK57" s="139">
        <f t="shared" si="4"/>
        <v>0</v>
      </c>
      <c r="AL57" s="139">
        <f t="shared" si="4"/>
        <v>0</v>
      </c>
    </row>
  </sheetData>
  <pageMargins left="0.75" right="0.75" top="1" bottom="1" header="0.5" footer="0.5"/>
  <pageSetup scale="3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pageSetUpPr fitToPage="1"/>
  </sheetPr>
  <dimension ref="B1:AE38"/>
  <sheetViews>
    <sheetView workbookViewId="0">
      <pane ySplit="7" topLeftCell="A8" activePane="bottomLeft" state="frozen"/>
      <selection pane="bottomLeft" activeCell="C7" sqref="C7"/>
    </sheetView>
  </sheetViews>
  <sheetFormatPr baseColWidth="10" defaultColWidth="8.83203125" defaultRowHeight="15" x14ac:dyDescent="0.2"/>
  <cols>
    <col min="1" max="1" width="2" customWidth="1"/>
    <col min="2" max="2" width="32.5" bestFit="1" customWidth="1"/>
    <col min="3" max="3" width="8.5" bestFit="1" customWidth="1"/>
    <col min="4" max="4" width="1.5" customWidth="1"/>
    <col min="5" max="6" width="6.5" bestFit="1" customWidth="1"/>
    <col min="7" max="7" width="6.6640625" bestFit="1" customWidth="1"/>
    <col min="8" max="8" width="6.5" bestFit="1" customWidth="1"/>
    <col min="9" max="9" width="6.83203125" bestFit="1" customWidth="1"/>
    <col min="10" max="14" width="6.5" bestFit="1" customWidth="1"/>
    <col min="15" max="15" width="6.6640625" bestFit="1" customWidth="1"/>
    <col min="16" max="18" width="6.5" bestFit="1" customWidth="1"/>
    <col min="19" max="28" width="7.5" bestFit="1" customWidth="1"/>
    <col min="29" max="29" width="3.33203125" customWidth="1"/>
    <col min="30" max="31" width="9.33203125" bestFit="1" customWidth="1"/>
  </cols>
  <sheetData>
    <row r="1" spans="2:31" ht="19" x14ac:dyDescent="0.25">
      <c r="B1" s="42" t="s">
        <v>194</v>
      </c>
      <c r="C1" s="3"/>
      <c r="D1" s="3"/>
    </row>
    <row r="2" spans="2:31" x14ac:dyDescent="0.2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2:31" x14ac:dyDescent="0.2">
      <c r="B3" s="24" t="s">
        <v>7</v>
      </c>
      <c r="C3" s="133">
        <v>100</v>
      </c>
      <c r="D3" s="2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24"/>
      <c r="AD3" s="24"/>
      <c r="AE3" s="24"/>
    </row>
    <row r="4" spans="2:31" x14ac:dyDescent="0.2">
      <c r="B4" s="24" t="s">
        <v>146</v>
      </c>
      <c r="C4" s="133">
        <v>0</v>
      </c>
      <c r="D4" s="2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24"/>
      <c r="AD4" s="24"/>
      <c r="AE4" s="24"/>
    </row>
    <row r="5" spans="2:31" x14ac:dyDescent="0.2">
      <c r="B5" s="24" t="s">
        <v>195</v>
      </c>
      <c r="C5" s="133">
        <v>1750</v>
      </c>
      <c r="D5" s="24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24"/>
      <c r="AD5" s="24"/>
      <c r="AE5" s="24"/>
    </row>
    <row r="6" spans="2:31" x14ac:dyDescent="0.2">
      <c r="B6" s="24" t="s">
        <v>196</v>
      </c>
      <c r="C6" s="133">
        <v>2000</v>
      </c>
      <c r="D6" s="2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24"/>
      <c r="AD6" s="24"/>
      <c r="AE6" s="24"/>
    </row>
    <row r="7" spans="2:31" x14ac:dyDescent="0.2">
      <c r="B7" s="24"/>
      <c r="C7" s="24"/>
      <c r="D7" s="24"/>
      <c r="E7" s="59">
        <v>41640</v>
      </c>
      <c r="F7" s="59">
        <v>41671</v>
      </c>
      <c r="G7" s="59">
        <v>41699</v>
      </c>
      <c r="H7" s="59">
        <v>41730</v>
      </c>
      <c r="I7" s="59">
        <v>41760</v>
      </c>
      <c r="J7" s="59">
        <v>41791</v>
      </c>
      <c r="K7" s="59">
        <v>41821</v>
      </c>
      <c r="L7" s="59">
        <v>41852</v>
      </c>
      <c r="M7" s="59">
        <v>41883</v>
      </c>
      <c r="N7" s="59">
        <v>41913</v>
      </c>
      <c r="O7" s="59">
        <v>41944</v>
      </c>
      <c r="P7" s="59">
        <v>41974</v>
      </c>
      <c r="Q7" s="59">
        <v>42005</v>
      </c>
      <c r="R7" s="59">
        <v>42036</v>
      </c>
      <c r="S7" s="59">
        <v>42064</v>
      </c>
      <c r="T7" s="59">
        <v>42095</v>
      </c>
      <c r="U7" s="59">
        <v>42125</v>
      </c>
      <c r="V7" s="59">
        <v>42156</v>
      </c>
      <c r="W7" s="59">
        <v>42186</v>
      </c>
      <c r="X7" s="59">
        <v>42217</v>
      </c>
      <c r="Y7" s="59">
        <v>42248</v>
      </c>
      <c r="Z7" s="59">
        <v>42278</v>
      </c>
      <c r="AA7" s="59">
        <v>42309</v>
      </c>
      <c r="AB7" s="59">
        <v>42339</v>
      </c>
      <c r="AC7" s="24"/>
      <c r="AD7" s="60" t="s">
        <v>142</v>
      </c>
      <c r="AE7" s="60" t="s">
        <v>143</v>
      </c>
    </row>
    <row r="8" spans="2:31" x14ac:dyDescent="0.2">
      <c r="B8" s="25" t="s">
        <v>52</v>
      </c>
      <c r="C8" s="45" t="s">
        <v>51</v>
      </c>
      <c r="D8" s="24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24"/>
      <c r="AD8" s="83"/>
      <c r="AE8" s="83"/>
    </row>
    <row r="9" spans="2:31" x14ac:dyDescent="0.2">
      <c r="B9" s="24" t="s">
        <v>94</v>
      </c>
      <c r="C9" s="153">
        <f>3*12</f>
        <v>36</v>
      </c>
      <c r="D9" s="24"/>
      <c r="E9" s="37">
        <v>100</v>
      </c>
      <c r="F9" s="37">
        <v>100</v>
      </c>
      <c r="G9" s="37">
        <v>100</v>
      </c>
      <c r="H9" s="37">
        <v>100</v>
      </c>
      <c r="I9" s="37">
        <v>100</v>
      </c>
      <c r="J9" s="37">
        <v>100</v>
      </c>
      <c r="K9" s="37">
        <v>100</v>
      </c>
      <c r="L9" s="37">
        <v>100</v>
      </c>
      <c r="M9" s="37">
        <v>100</v>
      </c>
      <c r="N9" s="37">
        <v>100</v>
      </c>
      <c r="O9" s="37">
        <v>100</v>
      </c>
      <c r="P9" s="37">
        <v>100</v>
      </c>
      <c r="Q9" s="33">
        <f t="shared" ref="Q9:AB9" si="0">$C$3</f>
        <v>100</v>
      </c>
      <c r="R9" s="33">
        <f t="shared" si="0"/>
        <v>100</v>
      </c>
      <c r="S9" s="33">
        <f t="shared" si="0"/>
        <v>100</v>
      </c>
      <c r="T9" s="33">
        <f t="shared" si="0"/>
        <v>100</v>
      </c>
      <c r="U9" s="33">
        <f t="shared" si="0"/>
        <v>100</v>
      </c>
      <c r="V9" s="33">
        <f t="shared" si="0"/>
        <v>100</v>
      </c>
      <c r="W9" s="33">
        <f t="shared" si="0"/>
        <v>100</v>
      </c>
      <c r="X9" s="33">
        <f t="shared" si="0"/>
        <v>100</v>
      </c>
      <c r="Y9" s="33">
        <f t="shared" si="0"/>
        <v>100</v>
      </c>
      <c r="Z9" s="33">
        <f t="shared" si="0"/>
        <v>100</v>
      </c>
      <c r="AA9" s="33">
        <f t="shared" si="0"/>
        <v>100</v>
      </c>
      <c r="AB9" s="33">
        <f t="shared" si="0"/>
        <v>100</v>
      </c>
      <c r="AC9" s="33"/>
      <c r="AD9" s="84">
        <f>SUM(E9:P9)</f>
        <v>1200</v>
      </c>
      <c r="AE9" s="84">
        <f>SUM(Q9:AB9)</f>
        <v>1200</v>
      </c>
    </row>
    <row r="10" spans="2:31" x14ac:dyDescent="0.2">
      <c r="B10" s="24" t="s">
        <v>50</v>
      </c>
      <c r="C10" s="153">
        <f>5*12</f>
        <v>60</v>
      </c>
      <c r="D10" s="24"/>
      <c r="E10" s="37">
        <v>100</v>
      </c>
      <c r="F10" s="37">
        <v>100</v>
      </c>
      <c r="G10" s="37">
        <v>100</v>
      </c>
      <c r="H10" s="37">
        <v>100</v>
      </c>
      <c r="I10" s="37">
        <v>100</v>
      </c>
      <c r="J10" s="37">
        <v>100</v>
      </c>
      <c r="K10" s="37">
        <v>100</v>
      </c>
      <c r="L10" s="37">
        <v>100</v>
      </c>
      <c r="M10" s="37">
        <v>100</v>
      </c>
      <c r="N10" s="37">
        <v>100</v>
      </c>
      <c r="O10" s="37">
        <v>100</v>
      </c>
      <c r="P10" s="37">
        <v>100</v>
      </c>
      <c r="Q10" s="33">
        <f t="shared" ref="Q10:AB10" si="1">FurnitureCostPerHire</f>
        <v>0</v>
      </c>
      <c r="R10" s="33">
        <f t="shared" si="1"/>
        <v>0</v>
      </c>
      <c r="S10" s="33">
        <f t="shared" si="1"/>
        <v>0</v>
      </c>
      <c r="T10" s="33">
        <f t="shared" si="1"/>
        <v>0</v>
      </c>
      <c r="U10" s="33">
        <f t="shared" si="1"/>
        <v>0</v>
      </c>
      <c r="V10" s="33">
        <f t="shared" si="1"/>
        <v>0</v>
      </c>
      <c r="W10" s="33">
        <f t="shared" si="1"/>
        <v>0</v>
      </c>
      <c r="X10" s="33">
        <f t="shared" si="1"/>
        <v>0</v>
      </c>
      <c r="Y10" s="33">
        <f t="shared" si="1"/>
        <v>0</v>
      </c>
      <c r="Z10" s="33">
        <f t="shared" si="1"/>
        <v>0</v>
      </c>
      <c r="AA10" s="33">
        <f t="shared" si="1"/>
        <v>0</v>
      </c>
      <c r="AB10" s="33">
        <f t="shared" si="1"/>
        <v>0</v>
      </c>
      <c r="AC10" s="24"/>
      <c r="AD10" s="84">
        <f>SUM(E10:P10)</f>
        <v>1200</v>
      </c>
      <c r="AE10" s="84">
        <f>SUM(Q10:AB10)</f>
        <v>0</v>
      </c>
    </row>
    <row r="11" spans="2:31" x14ac:dyDescent="0.2">
      <c r="B11" s="24" t="s">
        <v>136</v>
      </c>
      <c r="C11" s="153">
        <v>36</v>
      </c>
      <c r="D11" s="24"/>
      <c r="E11" s="37">
        <v>100</v>
      </c>
      <c r="F11" s="37">
        <v>100</v>
      </c>
      <c r="G11" s="37">
        <v>100</v>
      </c>
      <c r="H11" s="37">
        <v>100</v>
      </c>
      <c r="I11" s="37">
        <v>100</v>
      </c>
      <c r="J11" s="37">
        <v>100</v>
      </c>
      <c r="K11" s="37">
        <v>100</v>
      </c>
      <c r="L11" s="37">
        <v>100</v>
      </c>
      <c r="M11" s="37">
        <v>100</v>
      </c>
      <c r="N11" s="37">
        <v>100</v>
      </c>
      <c r="O11" s="37">
        <v>100</v>
      </c>
      <c r="P11" s="37">
        <v>100</v>
      </c>
      <c r="Q11" s="33">
        <f t="shared" ref="Q11:AB11" si="2">$C5/12</f>
        <v>145.83333333333334</v>
      </c>
      <c r="R11" s="33">
        <f t="shared" si="2"/>
        <v>145.83333333333334</v>
      </c>
      <c r="S11" s="33">
        <f t="shared" si="2"/>
        <v>145.83333333333334</v>
      </c>
      <c r="T11" s="33">
        <f t="shared" si="2"/>
        <v>145.83333333333334</v>
      </c>
      <c r="U11" s="33">
        <f t="shared" si="2"/>
        <v>145.83333333333334</v>
      </c>
      <c r="V11" s="33">
        <f t="shared" si="2"/>
        <v>145.83333333333334</v>
      </c>
      <c r="W11" s="33">
        <f t="shared" si="2"/>
        <v>145.83333333333334</v>
      </c>
      <c r="X11" s="33">
        <f t="shared" si="2"/>
        <v>145.83333333333334</v>
      </c>
      <c r="Y11" s="33">
        <f t="shared" si="2"/>
        <v>145.83333333333334</v>
      </c>
      <c r="Z11" s="33">
        <f t="shared" si="2"/>
        <v>145.83333333333334</v>
      </c>
      <c r="AA11" s="33">
        <f t="shared" si="2"/>
        <v>145.83333333333334</v>
      </c>
      <c r="AB11" s="33">
        <f t="shared" si="2"/>
        <v>145.83333333333334</v>
      </c>
      <c r="AC11" s="24"/>
      <c r="AD11" s="84">
        <f>SUM(E11:P11)</f>
        <v>1200</v>
      </c>
      <c r="AE11" s="84">
        <f>SUM(Q11:AB11)</f>
        <v>1749.9999999999998</v>
      </c>
    </row>
    <row r="12" spans="2:31" x14ac:dyDescent="0.2">
      <c r="B12" s="24" t="s">
        <v>137</v>
      </c>
      <c r="C12" s="153">
        <f>3*12</f>
        <v>36</v>
      </c>
      <c r="D12" s="24"/>
      <c r="E12" s="37">
        <v>100</v>
      </c>
      <c r="F12" s="37">
        <v>100</v>
      </c>
      <c r="G12" s="37">
        <v>100</v>
      </c>
      <c r="H12" s="37">
        <v>100</v>
      </c>
      <c r="I12" s="37">
        <v>100</v>
      </c>
      <c r="J12" s="37">
        <v>100</v>
      </c>
      <c r="K12" s="37">
        <v>100</v>
      </c>
      <c r="L12" s="37">
        <v>100</v>
      </c>
      <c r="M12" s="37">
        <v>100</v>
      </c>
      <c r="N12" s="37">
        <v>100</v>
      </c>
      <c r="O12" s="37">
        <v>100</v>
      </c>
      <c r="P12" s="37">
        <v>100</v>
      </c>
      <c r="Q12" s="33">
        <f t="shared" ref="Q12:AB12" si="3">$C6/12</f>
        <v>166.66666666666666</v>
      </c>
      <c r="R12" s="33">
        <f t="shared" si="3"/>
        <v>166.66666666666666</v>
      </c>
      <c r="S12" s="33">
        <f t="shared" si="3"/>
        <v>166.66666666666666</v>
      </c>
      <c r="T12" s="33">
        <f t="shared" si="3"/>
        <v>166.66666666666666</v>
      </c>
      <c r="U12" s="33">
        <f t="shared" si="3"/>
        <v>166.66666666666666</v>
      </c>
      <c r="V12" s="33">
        <f t="shared" si="3"/>
        <v>166.66666666666666</v>
      </c>
      <c r="W12" s="33">
        <f t="shared" si="3"/>
        <v>166.66666666666666</v>
      </c>
      <c r="X12" s="33">
        <f t="shared" si="3"/>
        <v>166.66666666666666</v>
      </c>
      <c r="Y12" s="33">
        <f t="shared" si="3"/>
        <v>166.66666666666666</v>
      </c>
      <c r="Z12" s="33">
        <f t="shared" si="3"/>
        <v>166.66666666666666</v>
      </c>
      <c r="AA12" s="33">
        <f t="shared" si="3"/>
        <v>166.66666666666666</v>
      </c>
      <c r="AB12" s="33">
        <f t="shared" si="3"/>
        <v>166.66666666666666</v>
      </c>
      <c r="AC12" s="24"/>
      <c r="AD12" s="84">
        <f>SUM(E12:P12)</f>
        <v>1200</v>
      </c>
      <c r="AE12" s="84">
        <f>SUM(Q12:AB12)</f>
        <v>2000.0000000000002</v>
      </c>
    </row>
    <row r="13" spans="2:31" x14ac:dyDescent="0.2">
      <c r="B13" s="69" t="s">
        <v>53</v>
      </c>
      <c r="C13" s="70"/>
      <c r="D13" s="70"/>
      <c r="E13" s="93">
        <f t="shared" ref="E13:AB13" si="4">SUM(E9:E12)</f>
        <v>400</v>
      </c>
      <c r="F13" s="93">
        <f t="shared" si="4"/>
        <v>400</v>
      </c>
      <c r="G13" s="93">
        <f t="shared" si="4"/>
        <v>400</v>
      </c>
      <c r="H13" s="93">
        <f t="shared" si="4"/>
        <v>400</v>
      </c>
      <c r="I13" s="93">
        <f t="shared" si="4"/>
        <v>400</v>
      </c>
      <c r="J13" s="93">
        <f t="shared" si="4"/>
        <v>400</v>
      </c>
      <c r="K13" s="93">
        <f t="shared" si="4"/>
        <v>400</v>
      </c>
      <c r="L13" s="93">
        <f t="shared" si="4"/>
        <v>400</v>
      </c>
      <c r="M13" s="93">
        <f t="shared" si="4"/>
        <v>400</v>
      </c>
      <c r="N13" s="93">
        <f t="shared" si="4"/>
        <v>400</v>
      </c>
      <c r="O13" s="93">
        <f t="shared" si="4"/>
        <v>400</v>
      </c>
      <c r="P13" s="93">
        <f t="shared" si="4"/>
        <v>400</v>
      </c>
      <c r="Q13" s="70">
        <f t="shared" si="4"/>
        <v>412.5</v>
      </c>
      <c r="R13" s="70">
        <f t="shared" si="4"/>
        <v>412.5</v>
      </c>
      <c r="S13" s="70">
        <f t="shared" si="4"/>
        <v>412.5</v>
      </c>
      <c r="T13" s="70">
        <f t="shared" si="4"/>
        <v>412.5</v>
      </c>
      <c r="U13" s="70">
        <f t="shared" si="4"/>
        <v>412.5</v>
      </c>
      <c r="V13" s="70">
        <f t="shared" si="4"/>
        <v>412.5</v>
      </c>
      <c r="W13" s="70">
        <f t="shared" si="4"/>
        <v>412.5</v>
      </c>
      <c r="X13" s="70">
        <f t="shared" si="4"/>
        <v>412.5</v>
      </c>
      <c r="Y13" s="70">
        <f t="shared" si="4"/>
        <v>412.5</v>
      </c>
      <c r="Z13" s="70">
        <f t="shared" si="4"/>
        <v>412.5</v>
      </c>
      <c r="AA13" s="70">
        <f t="shared" si="4"/>
        <v>412.5</v>
      </c>
      <c r="AB13" s="70">
        <f t="shared" si="4"/>
        <v>412.5</v>
      </c>
      <c r="AC13" s="24"/>
      <c r="AD13" s="92">
        <f>SUM(AD9:AD12)</f>
        <v>4800</v>
      </c>
      <c r="AE13" s="92">
        <f>SUM(AE9:AE12)</f>
        <v>4950</v>
      </c>
    </row>
    <row r="14" spans="2:31" x14ac:dyDescent="0.2">
      <c r="B14" s="24"/>
      <c r="C14" s="24"/>
      <c r="D14" s="2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24"/>
      <c r="AD14" s="83"/>
      <c r="AE14" s="83"/>
    </row>
    <row r="15" spans="2:31" x14ac:dyDescent="0.2">
      <c r="B15" s="25" t="s">
        <v>325</v>
      </c>
      <c r="C15" s="45" t="s">
        <v>51</v>
      </c>
      <c r="D15" s="25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24"/>
      <c r="AD15" s="83"/>
      <c r="AE15" s="83"/>
    </row>
    <row r="16" spans="2:31" x14ac:dyDescent="0.2">
      <c r="B16" s="24" t="s">
        <v>335</v>
      </c>
      <c r="C16" s="153">
        <v>24</v>
      </c>
      <c r="D16" s="24"/>
      <c r="E16" s="37">
        <v>0</v>
      </c>
      <c r="F16" s="37">
        <v>0</v>
      </c>
      <c r="G16" s="37">
        <v>1000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36">
        <v>0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24"/>
      <c r="AD16" s="84">
        <f>SUM(E16:P16)</f>
        <v>1000</v>
      </c>
      <c r="AE16" s="84">
        <f>SUM(Q16:AB16)</f>
        <v>0</v>
      </c>
    </row>
    <row r="17" spans="2:31" x14ac:dyDescent="0.2">
      <c r="B17" s="69" t="s">
        <v>61</v>
      </c>
      <c r="C17" s="70"/>
      <c r="D17" s="70"/>
      <c r="E17" s="93">
        <f>SUM(E16:E16)</f>
        <v>0</v>
      </c>
      <c r="F17" s="93">
        <f t="shared" ref="F17:AB17" si="5">SUM(F16:F16)</f>
        <v>0</v>
      </c>
      <c r="G17" s="93">
        <f t="shared" si="5"/>
        <v>1000</v>
      </c>
      <c r="H17" s="93">
        <f t="shared" si="5"/>
        <v>0</v>
      </c>
      <c r="I17" s="93">
        <f t="shared" si="5"/>
        <v>0</v>
      </c>
      <c r="J17" s="93">
        <f t="shared" si="5"/>
        <v>0</v>
      </c>
      <c r="K17" s="93">
        <f t="shared" si="5"/>
        <v>0</v>
      </c>
      <c r="L17" s="93">
        <f t="shared" si="5"/>
        <v>0</v>
      </c>
      <c r="M17" s="93">
        <f t="shared" si="5"/>
        <v>0</v>
      </c>
      <c r="N17" s="93">
        <f t="shared" si="5"/>
        <v>0</v>
      </c>
      <c r="O17" s="93">
        <f t="shared" si="5"/>
        <v>0</v>
      </c>
      <c r="P17" s="93">
        <f t="shared" si="5"/>
        <v>0</v>
      </c>
      <c r="Q17" s="70">
        <f t="shared" si="5"/>
        <v>0</v>
      </c>
      <c r="R17" s="70">
        <f t="shared" si="5"/>
        <v>0</v>
      </c>
      <c r="S17" s="70">
        <f t="shared" si="5"/>
        <v>0</v>
      </c>
      <c r="T17" s="70">
        <f t="shared" si="5"/>
        <v>0</v>
      </c>
      <c r="U17" s="70">
        <f t="shared" si="5"/>
        <v>0</v>
      </c>
      <c r="V17" s="70">
        <f t="shared" si="5"/>
        <v>0</v>
      </c>
      <c r="W17" s="70">
        <f t="shared" si="5"/>
        <v>0</v>
      </c>
      <c r="X17" s="70">
        <f t="shared" si="5"/>
        <v>0</v>
      </c>
      <c r="Y17" s="70">
        <f t="shared" si="5"/>
        <v>0</v>
      </c>
      <c r="Z17" s="70">
        <f t="shared" si="5"/>
        <v>0</v>
      </c>
      <c r="AA17" s="70">
        <f t="shared" si="5"/>
        <v>0</v>
      </c>
      <c r="AB17" s="70">
        <f t="shared" si="5"/>
        <v>0</v>
      </c>
      <c r="AC17" s="24"/>
      <c r="AD17" s="92">
        <f>SUM(AD16)</f>
        <v>1000</v>
      </c>
      <c r="AE17" s="92">
        <f>SUM(AE16)</f>
        <v>0</v>
      </c>
    </row>
    <row r="18" spans="2:31" x14ac:dyDescent="0.2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83"/>
      <c r="AE18" s="83"/>
    </row>
    <row r="19" spans="2:31" x14ac:dyDescent="0.2">
      <c r="B19" s="25" t="s">
        <v>5</v>
      </c>
      <c r="C19" s="25"/>
      <c r="D19" s="25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83"/>
      <c r="AE19" s="83"/>
    </row>
    <row r="20" spans="2:31" x14ac:dyDescent="0.2">
      <c r="B20" s="24" t="str">
        <f>B9</f>
        <v>Computers/software for internal use</v>
      </c>
      <c r="C20" s="24"/>
      <c r="D20" s="24"/>
      <c r="E20" s="37">
        <f>SUM(E9:E9)/$C9</f>
        <v>2.7777777777777777</v>
      </c>
      <c r="F20" s="37">
        <f>SUM(E9:F9)/$C9</f>
        <v>5.5555555555555554</v>
      </c>
      <c r="G20" s="37">
        <f>SUM(E9:G9)/$C9</f>
        <v>8.3333333333333339</v>
      </c>
      <c r="H20" s="37">
        <f>SUM(E9:H9)/$C9</f>
        <v>11.111111111111111</v>
      </c>
      <c r="I20" s="37">
        <f>SUM(E9:I9)/$C9</f>
        <v>13.888888888888889</v>
      </c>
      <c r="J20" s="37">
        <f>SUM(E9:J9)/$C9</f>
        <v>16.666666666666668</v>
      </c>
      <c r="K20" s="37">
        <f>SUM(E9:K9)/$C9</f>
        <v>19.444444444444443</v>
      </c>
      <c r="L20" s="37">
        <f>SUM(E9:L9)/$C9</f>
        <v>22.222222222222221</v>
      </c>
      <c r="M20" s="37">
        <f>SUM(E9:M9)/$C9</f>
        <v>25</v>
      </c>
      <c r="N20" s="37">
        <f>SUM(E9:N9)/$C9</f>
        <v>27.777777777777779</v>
      </c>
      <c r="O20" s="37">
        <f>SUM(E9:O9)/$C9</f>
        <v>30.555555555555557</v>
      </c>
      <c r="P20" s="37">
        <f>SUM(E9:P9)/$C9</f>
        <v>33.333333333333336</v>
      </c>
      <c r="Q20" s="33">
        <f>SUM(E9:Q9)/$C9</f>
        <v>36.111111111111114</v>
      </c>
      <c r="R20" s="33">
        <f>SUM(E9:R9)/$C9</f>
        <v>38.888888888888886</v>
      </c>
      <c r="S20" s="33">
        <f>SUM(E9:S9)/$C9</f>
        <v>41.666666666666664</v>
      </c>
      <c r="T20" s="33">
        <f>SUM(E9:T9)/$C9</f>
        <v>44.444444444444443</v>
      </c>
      <c r="U20" s="33">
        <f>SUM(E9:U9)/$C9</f>
        <v>47.222222222222221</v>
      </c>
      <c r="V20" s="33">
        <f>SUM(E9:V9)/$C9</f>
        <v>50</v>
      </c>
      <c r="W20" s="33">
        <f>SUM(E9:W9)/$C9</f>
        <v>52.777777777777779</v>
      </c>
      <c r="X20" s="33">
        <f>SUM(E9:X9)/$C9</f>
        <v>55.555555555555557</v>
      </c>
      <c r="Y20" s="33">
        <f>SUM(E9:Y9)/$C9</f>
        <v>58.333333333333336</v>
      </c>
      <c r="Z20" s="33">
        <f>SUM(E9:Z9)/$C9</f>
        <v>61.111111111111114</v>
      </c>
      <c r="AA20" s="33">
        <f>SUM(E9:AA9)/$C9</f>
        <v>63.888888888888886</v>
      </c>
      <c r="AB20" s="33">
        <f>SUM(E9:AB9)/$C9</f>
        <v>66.666666666666671</v>
      </c>
      <c r="AC20" s="24"/>
      <c r="AD20" s="84">
        <f>SUM(E20:P20)</f>
        <v>216.66666666666666</v>
      </c>
      <c r="AE20" s="84">
        <f>SUM(Q20:AB20)</f>
        <v>616.66666666666663</v>
      </c>
    </row>
    <row r="21" spans="2:31" x14ac:dyDescent="0.2">
      <c r="B21" s="24" t="str">
        <f>B10</f>
        <v>Furniture and fixtures</v>
      </c>
      <c r="C21" s="24"/>
      <c r="D21" s="24"/>
      <c r="E21" s="37">
        <f>SUM(E10:E10)/$C10</f>
        <v>1.6666666666666667</v>
      </c>
      <c r="F21" s="37">
        <f>SUM(E10:F10)/$C10</f>
        <v>3.3333333333333335</v>
      </c>
      <c r="G21" s="37">
        <f>SUM(E10:G10)/$C10</f>
        <v>5</v>
      </c>
      <c r="H21" s="37">
        <f>SUM(E10:H10)/$C10</f>
        <v>6.666666666666667</v>
      </c>
      <c r="I21" s="37">
        <f>SUM(E10:I10)/$C10</f>
        <v>8.3333333333333339</v>
      </c>
      <c r="J21" s="37">
        <f>SUM(E10:J10)/$C10</f>
        <v>10</v>
      </c>
      <c r="K21" s="37">
        <f>SUM(E10:K10)/$C10</f>
        <v>11.666666666666666</v>
      </c>
      <c r="L21" s="37">
        <f>SUM(E10:L10)/$C10</f>
        <v>13.333333333333334</v>
      </c>
      <c r="M21" s="37">
        <f>SUM(E10:M10)/$C10</f>
        <v>15</v>
      </c>
      <c r="N21" s="37">
        <f>SUM(E10:N10)/$C10</f>
        <v>16.666666666666668</v>
      </c>
      <c r="O21" s="37">
        <f>SUM(E10:O10)/$C10</f>
        <v>18.333333333333332</v>
      </c>
      <c r="P21" s="37">
        <f>SUM(E10:P10)/$C10</f>
        <v>20</v>
      </c>
      <c r="Q21" s="33">
        <f>SUM(E10:Q10)/$C10</f>
        <v>20</v>
      </c>
      <c r="R21" s="33">
        <f>SUM(E10:R10)/$C10</f>
        <v>20</v>
      </c>
      <c r="S21" s="33">
        <f>SUM(E10:S10)/$C10</f>
        <v>20</v>
      </c>
      <c r="T21" s="33">
        <f>SUM(E10:T10)/$C10</f>
        <v>20</v>
      </c>
      <c r="U21" s="33">
        <f>SUM(E10:U10)/$C10</f>
        <v>20</v>
      </c>
      <c r="V21" s="33">
        <f>SUM(E10:V10)/$C10</f>
        <v>20</v>
      </c>
      <c r="W21" s="33">
        <f>SUM(E10:W10)/$C10</f>
        <v>20</v>
      </c>
      <c r="X21" s="33">
        <f>SUM(E10:X10)/$C10</f>
        <v>20</v>
      </c>
      <c r="Y21" s="33">
        <f>SUM(E10:Y10)/$C10</f>
        <v>20</v>
      </c>
      <c r="Z21" s="33">
        <f>SUM(E10:Z10)/$C10</f>
        <v>20</v>
      </c>
      <c r="AA21" s="33">
        <f>SUM(E10:AA10)/$C10</f>
        <v>20</v>
      </c>
      <c r="AB21" s="33">
        <f>SUM(E10:AB10)/$C10</f>
        <v>20</v>
      </c>
      <c r="AC21" s="24"/>
      <c r="AD21" s="84">
        <f>SUM(E21:P21)</f>
        <v>130</v>
      </c>
      <c r="AE21" s="84">
        <f>SUM(Q21:AB21)</f>
        <v>240</v>
      </c>
    </row>
    <row r="22" spans="2:31" x14ac:dyDescent="0.2">
      <c r="B22" s="24" t="str">
        <f>B11</f>
        <v>Hardware</v>
      </c>
      <c r="C22" s="24"/>
      <c r="D22" s="24"/>
      <c r="E22" s="37">
        <f>SUM(E11:E11)/$C11</f>
        <v>2.7777777777777777</v>
      </c>
      <c r="F22" s="37">
        <f>SUM(E11:F11)/$C11</f>
        <v>5.5555555555555554</v>
      </c>
      <c r="G22" s="37">
        <f>SUM(E11:G11)/$C11</f>
        <v>8.3333333333333339</v>
      </c>
      <c r="H22" s="37">
        <f>SUM(E11:H11)/$C11</f>
        <v>11.111111111111111</v>
      </c>
      <c r="I22" s="37">
        <f>SUM(E11:I11)/$C11</f>
        <v>13.888888888888889</v>
      </c>
      <c r="J22" s="37">
        <f>SUM(E11:J11)/$C11</f>
        <v>16.666666666666668</v>
      </c>
      <c r="K22" s="37">
        <f>SUM(E11:K11)/$C11</f>
        <v>19.444444444444443</v>
      </c>
      <c r="L22" s="37">
        <f>SUM(E11:L11)/$C11</f>
        <v>22.222222222222221</v>
      </c>
      <c r="M22" s="37">
        <f>SUM(E11:M11)/$C11</f>
        <v>25</v>
      </c>
      <c r="N22" s="37">
        <f>SUM(E11:N11)/$C11</f>
        <v>27.777777777777779</v>
      </c>
      <c r="O22" s="37">
        <f>SUM(E11:O11)/$C11</f>
        <v>30.555555555555557</v>
      </c>
      <c r="P22" s="37">
        <f>SUM(E11:P11)/$C11</f>
        <v>33.333333333333336</v>
      </c>
      <c r="Q22" s="33">
        <f>SUM(E11:Q11)/$C11</f>
        <v>37.38425925925926</v>
      </c>
      <c r="R22" s="33">
        <f>SUM(E11:R11)/$C11</f>
        <v>41.435185185185183</v>
      </c>
      <c r="S22" s="33">
        <f>SUM(E11:S11)/$C11</f>
        <v>45.486111111111107</v>
      </c>
      <c r="T22" s="33">
        <f>SUM(E11:T11)/$C11</f>
        <v>49.537037037037031</v>
      </c>
      <c r="U22" s="33">
        <f>SUM(E11:U11)/$C11</f>
        <v>53.587962962962955</v>
      </c>
      <c r="V22" s="33">
        <f>SUM(E11:V11)/$C11</f>
        <v>57.638888888888879</v>
      </c>
      <c r="W22" s="33">
        <f>SUM(E11:W11)/$C11</f>
        <v>61.68981481481481</v>
      </c>
      <c r="X22" s="33">
        <f>SUM(E11:X11)/$C11</f>
        <v>65.740740740740733</v>
      </c>
      <c r="Y22" s="33">
        <f>SUM(E11:Y11)/$C11</f>
        <v>69.791666666666671</v>
      </c>
      <c r="Z22" s="33">
        <f>SUM(E11:Z11)/$C11</f>
        <v>73.842592592592595</v>
      </c>
      <c r="AA22" s="33">
        <f>SUM(E11:AA11)/$C11</f>
        <v>77.893518518518533</v>
      </c>
      <c r="AB22" s="33">
        <f>SUM(E11:AB11)/$C11</f>
        <v>81.944444444444457</v>
      </c>
      <c r="AC22" s="24"/>
      <c r="AD22" s="84">
        <f>SUM(E22:P22)</f>
        <v>216.66666666666666</v>
      </c>
      <c r="AE22" s="84">
        <f>SUM(Q22:AB22)</f>
        <v>715.97222222222229</v>
      </c>
    </row>
    <row r="23" spans="2:31" x14ac:dyDescent="0.2">
      <c r="B23" s="24" t="str">
        <f>B12</f>
        <v>Software</v>
      </c>
      <c r="C23" s="24"/>
      <c r="D23" s="24"/>
      <c r="E23" s="37">
        <f>SUM(E12:E12)/$C12</f>
        <v>2.7777777777777777</v>
      </c>
      <c r="F23" s="37">
        <f>SUM(E12:F12)/$C12</f>
        <v>5.5555555555555554</v>
      </c>
      <c r="G23" s="37">
        <f>SUM(E12:G12)/$C12</f>
        <v>8.3333333333333339</v>
      </c>
      <c r="H23" s="37">
        <f>SUM(E12:H12)/$C12</f>
        <v>11.111111111111111</v>
      </c>
      <c r="I23" s="37">
        <f>SUM(E12:I12)/$C12</f>
        <v>13.888888888888889</v>
      </c>
      <c r="J23" s="37">
        <f>SUM(E12:J12)/$C12</f>
        <v>16.666666666666668</v>
      </c>
      <c r="K23" s="37">
        <f>SUM(E12:K12)/$C12</f>
        <v>19.444444444444443</v>
      </c>
      <c r="L23" s="37">
        <f>SUM(E12:L12)/$C12</f>
        <v>22.222222222222221</v>
      </c>
      <c r="M23" s="37">
        <f>SUM(E12:M12)/$C12</f>
        <v>25</v>
      </c>
      <c r="N23" s="37">
        <f>SUM(E12:N12)/$C12</f>
        <v>27.777777777777779</v>
      </c>
      <c r="O23" s="37">
        <f>SUM(E12:O12)/$C12</f>
        <v>30.555555555555557</v>
      </c>
      <c r="P23" s="37">
        <f>SUM(E12:P12)/$C12</f>
        <v>33.333333333333336</v>
      </c>
      <c r="Q23" s="33">
        <f>SUM(E12:Q12)/$C12</f>
        <v>37.962962962962962</v>
      </c>
      <c r="R23" s="33">
        <f>SUM(E12:R12)/$C12</f>
        <v>42.592592592592595</v>
      </c>
      <c r="S23" s="33">
        <f>SUM(E12:S12)/$C12</f>
        <v>47.222222222222229</v>
      </c>
      <c r="T23" s="33">
        <f>SUM(E12:T12)/$C12</f>
        <v>51.851851851851862</v>
      </c>
      <c r="U23" s="33">
        <f>SUM(E12:U12)/$C12</f>
        <v>56.481481481481495</v>
      </c>
      <c r="V23" s="33">
        <f>SUM(E12:V12)/$C12</f>
        <v>61.111111111111121</v>
      </c>
      <c r="W23" s="33">
        <f>SUM(E12:W12)/$C12</f>
        <v>65.740740740740748</v>
      </c>
      <c r="X23" s="33">
        <f>SUM(E12:X12)/$C12</f>
        <v>70.370370370370381</v>
      </c>
      <c r="Y23" s="33">
        <f>SUM(E12:Y12)/$C12</f>
        <v>75</v>
      </c>
      <c r="Z23" s="33">
        <f>SUM(E12:Z12)/$C12</f>
        <v>79.629629629629619</v>
      </c>
      <c r="AA23" s="33">
        <f>SUM(E12:AA12)/$C12</f>
        <v>84.259259259259252</v>
      </c>
      <c r="AB23" s="33">
        <f>SUM(E12:AB12)/$C12</f>
        <v>88.888888888888872</v>
      </c>
      <c r="AC23" s="24"/>
      <c r="AD23" s="84">
        <f>SUM(E23:P23)</f>
        <v>216.66666666666666</v>
      </c>
      <c r="AE23" s="84">
        <f>SUM(Q23:AB23)</f>
        <v>761.1111111111112</v>
      </c>
    </row>
    <row r="24" spans="2:31" x14ac:dyDescent="0.2">
      <c r="B24" s="69" t="s">
        <v>54</v>
      </c>
      <c r="C24" s="70"/>
      <c r="D24" s="70"/>
      <c r="E24" s="93">
        <f t="shared" ref="E24:AB24" si="6">SUM(E20:E23)</f>
        <v>10</v>
      </c>
      <c r="F24" s="93">
        <f t="shared" si="6"/>
        <v>20</v>
      </c>
      <c r="G24" s="93">
        <f t="shared" si="6"/>
        <v>30</v>
      </c>
      <c r="H24" s="93">
        <f t="shared" si="6"/>
        <v>40</v>
      </c>
      <c r="I24" s="93">
        <f t="shared" si="6"/>
        <v>50</v>
      </c>
      <c r="J24" s="93">
        <f t="shared" si="6"/>
        <v>60</v>
      </c>
      <c r="K24" s="93">
        <f t="shared" si="6"/>
        <v>70</v>
      </c>
      <c r="L24" s="93">
        <f t="shared" si="6"/>
        <v>80</v>
      </c>
      <c r="M24" s="93">
        <f t="shared" si="6"/>
        <v>90</v>
      </c>
      <c r="N24" s="93">
        <f t="shared" si="6"/>
        <v>100</v>
      </c>
      <c r="O24" s="93">
        <f t="shared" si="6"/>
        <v>110</v>
      </c>
      <c r="P24" s="93">
        <f t="shared" si="6"/>
        <v>120</v>
      </c>
      <c r="Q24" s="70">
        <f t="shared" si="6"/>
        <v>131.45833333333334</v>
      </c>
      <c r="R24" s="70">
        <f t="shared" si="6"/>
        <v>142.91666666666669</v>
      </c>
      <c r="S24" s="70">
        <f t="shared" si="6"/>
        <v>154.375</v>
      </c>
      <c r="T24" s="70">
        <f t="shared" si="6"/>
        <v>165.83333333333331</v>
      </c>
      <c r="U24" s="70">
        <f t="shared" si="6"/>
        <v>177.29166666666669</v>
      </c>
      <c r="V24" s="70">
        <f t="shared" si="6"/>
        <v>188.75</v>
      </c>
      <c r="W24" s="70">
        <f t="shared" si="6"/>
        <v>200.20833333333331</v>
      </c>
      <c r="X24" s="70">
        <f t="shared" si="6"/>
        <v>211.66666666666669</v>
      </c>
      <c r="Y24" s="70">
        <f t="shared" si="6"/>
        <v>223.125</v>
      </c>
      <c r="Z24" s="70">
        <f t="shared" si="6"/>
        <v>234.58333333333331</v>
      </c>
      <c r="AA24" s="70">
        <f t="shared" si="6"/>
        <v>246.04166666666669</v>
      </c>
      <c r="AB24" s="70">
        <f t="shared" si="6"/>
        <v>257.5</v>
      </c>
      <c r="AC24" s="24"/>
      <c r="AD24" s="92">
        <f>SUM(AD20:AD23)</f>
        <v>779.99999999999989</v>
      </c>
      <c r="AE24" s="92">
        <f>SUM(AE20:AE23)</f>
        <v>2333.75</v>
      </c>
    </row>
    <row r="25" spans="2:31" x14ac:dyDescent="0.2">
      <c r="B25" s="49"/>
      <c r="C25" s="33"/>
      <c r="D25" s="33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24"/>
      <c r="AD25" s="84"/>
      <c r="AE25" s="84"/>
    </row>
    <row r="26" spans="2:31" x14ac:dyDescent="0.2">
      <c r="B26" s="25" t="s">
        <v>6</v>
      </c>
      <c r="C26" s="24"/>
      <c r="D26" s="24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83"/>
      <c r="AE26" s="83"/>
    </row>
    <row r="27" spans="2:31" x14ac:dyDescent="0.2">
      <c r="B27" s="24" t="str">
        <f>B16</f>
        <v>Software project</v>
      </c>
      <c r="C27" s="24"/>
      <c r="D27" s="24"/>
      <c r="E27" s="37">
        <v>0</v>
      </c>
      <c r="F27" s="37">
        <f>SUM(E16:F16)/$C16</f>
        <v>0</v>
      </c>
      <c r="G27" s="37">
        <f>SUM(E16:G16)/$C16</f>
        <v>41.666666666666664</v>
      </c>
      <c r="H27" s="37">
        <f>SUM(E16:H16)/$C16</f>
        <v>41.666666666666664</v>
      </c>
      <c r="I27" s="37">
        <f>SUM(E16:I16)/$C16</f>
        <v>41.666666666666664</v>
      </c>
      <c r="J27" s="37">
        <f>SUM(E16:J16)/$C16</f>
        <v>41.666666666666664</v>
      </c>
      <c r="K27" s="37">
        <f>SUM(E16:K16)/$C16</f>
        <v>41.666666666666664</v>
      </c>
      <c r="L27" s="37">
        <f>SUM(E16:L16)/$C16</f>
        <v>41.666666666666664</v>
      </c>
      <c r="M27" s="37">
        <f>SUM(E16:M16)/$C16</f>
        <v>41.666666666666664</v>
      </c>
      <c r="N27" s="37">
        <f>SUM(E16:N16)/$C16</f>
        <v>41.666666666666664</v>
      </c>
      <c r="O27" s="37">
        <f>SUM(E16:O16)/$C16</f>
        <v>41.666666666666664</v>
      </c>
      <c r="P27" s="37">
        <f>SUM(E16:P16)/$C16</f>
        <v>41.666666666666664</v>
      </c>
      <c r="Q27" s="33">
        <f>SUM(E16:Q16)/$C16</f>
        <v>41.666666666666664</v>
      </c>
      <c r="R27" s="33">
        <f>SUM(E16:R16)/$C16</f>
        <v>41.666666666666664</v>
      </c>
      <c r="S27" s="33">
        <f>SUM(E16:S16)/$C16</f>
        <v>41.666666666666664</v>
      </c>
      <c r="T27" s="33">
        <f>SUM(E16:T16)/$C16</f>
        <v>41.666666666666664</v>
      </c>
      <c r="U27" s="33">
        <f>SUM(E16:U16)/$C16</f>
        <v>41.666666666666664</v>
      </c>
      <c r="V27" s="33">
        <f>SUM(E16:V16)/$C16</f>
        <v>41.666666666666664</v>
      </c>
      <c r="W27" s="33">
        <f>SUM(E16:W16)/$C16</f>
        <v>41.666666666666664</v>
      </c>
      <c r="X27" s="33">
        <f>SUM(E16:X16)/$C16</f>
        <v>41.666666666666664</v>
      </c>
      <c r="Y27" s="33">
        <f>SUM(E16:Y16)/$C16</f>
        <v>41.666666666666664</v>
      </c>
      <c r="Z27" s="33">
        <f>SUM(E16:Z16)/$C16</f>
        <v>41.666666666666664</v>
      </c>
      <c r="AA27" s="33">
        <f>SUM(E16:AA16)/$C16</f>
        <v>41.666666666666664</v>
      </c>
      <c r="AB27" s="33">
        <f>SUM(E16:AB16)/$C16</f>
        <v>41.666666666666664</v>
      </c>
      <c r="AC27" s="24"/>
      <c r="AD27" s="84">
        <f>SUM(E27:P27)</f>
        <v>416.66666666666669</v>
      </c>
      <c r="AE27" s="84">
        <f>SUM(Q27:AB27)</f>
        <v>500.00000000000006</v>
      </c>
    </row>
    <row r="28" spans="2:31" x14ac:dyDescent="0.2">
      <c r="B28" s="69" t="s">
        <v>55</v>
      </c>
      <c r="C28" s="70"/>
      <c r="D28" s="70"/>
      <c r="E28" s="93">
        <f t="shared" ref="E28:AB28" si="7">SUM(E27:E27)</f>
        <v>0</v>
      </c>
      <c r="F28" s="93">
        <f t="shared" si="7"/>
        <v>0</v>
      </c>
      <c r="G28" s="93">
        <f t="shared" si="7"/>
        <v>41.666666666666664</v>
      </c>
      <c r="H28" s="93">
        <f t="shared" si="7"/>
        <v>41.666666666666664</v>
      </c>
      <c r="I28" s="93">
        <f t="shared" si="7"/>
        <v>41.666666666666664</v>
      </c>
      <c r="J28" s="93">
        <f t="shared" si="7"/>
        <v>41.666666666666664</v>
      </c>
      <c r="K28" s="93">
        <f t="shared" si="7"/>
        <v>41.666666666666664</v>
      </c>
      <c r="L28" s="93">
        <f t="shared" si="7"/>
        <v>41.666666666666664</v>
      </c>
      <c r="M28" s="93">
        <f t="shared" si="7"/>
        <v>41.666666666666664</v>
      </c>
      <c r="N28" s="93">
        <f t="shared" si="7"/>
        <v>41.666666666666664</v>
      </c>
      <c r="O28" s="93">
        <f t="shared" si="7"/>
        <v>41.666666666666664</v>
      </c>
      <c r="P28" s="93">
        <f t="shared" si="7"/>
        <v>41.666666666666664</v>
      </c>
      <c r="Q28" s="70">
        <f t="shared" si="7"/>
        <v>41.666666666666664</v>
      </c>
      <c r="R28" s="70">
        <f t="shared" si="7"/>
        <v>41.666666666666664</v>
      </c>
      <c r="S28" s="70">
        <f t="shared" si="7"/>
        <v>41.666666666666664</v>
      </c>
      <c r="T28" s="70">
        <f t="shared" si="7"/>
        <v>41.666666666666664</v>
      </c>
      <c r="U28" s="70">
        <f t="shared" si="7"/>
        <v>41.666666666666664</v>
      </c>
      <c r="V28" s="70">
        <f t="shared" si="7"/>
        <v>41.666666666666664</v>
      </c>
      <c r="W28" s="70">
        <f t="shared" si="7"/>
        <v>41.666666666666664</v>
      </c>
      <c r="X28" s="70">
        <f t="shared" si="7"/>
        <v>41.666666666666664</v>
      </c>
      <c r="Y28" s="70">
        <f t="shared" si="7"/>
        <v>41.666666666666664</v>
      </c>
      <c r="Z28" s="70">
        <f t="shared" si="7"/>
        <v>41.666666666666664</v>
      </c>
      <c r="AA28" s="70">
        <f t="shared" si="7"/>
        <v>41.666666666666664</v>
      </c>
      <c r="AB28" s="70">
        <f t="shared" si="7"/>
        <v>41.666666666666664</v>
      </c>
      <c r="AC28" s="24"/>
      <c r="AD28" s="92">
        <f>SUM(AD27:AD27)</f>
        <v>416.66666666666669</v>
      </c>
      <c r="AE28" s="92">
        <f>SUM(AE27:AE27)</f>
        <v>500.00000000000006</v>
      </c>
    </row>
    <row r="29" spans="2:31" x14ac:dyDescent="0.2"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</row>
    <row r="30" spans="2:31" x14ac:dyDescent="0.2">
      <c r="B30" s="25" t="s">
        <v>60</v>
      </c>
      <c r="C30" s="24"/>
      <c r="D30" s="24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</row>
    <row r="31" spans="2:31" x14ac:dyDescent="0.2">
      <c r="B31" s="24"/>
      <c r="C31" s="24"/>
      <c r="D31" s="24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24"/>
      <c r="AD31" s="24"/>
    </row>
    <row r="32" spans="2:31" x14ac:dyDescent="0.2">
      <c r="B32" s="43" t="s">
        <v>326</v>
      </c>
      <c r="C32" s="33"/>
      <c r="D32" s="33"/>
      <c r="E32" s="37">
        <f>BS!C14+E13</f>
        <v>1400</v>
      </c>
      <c r="F32" s="37">
        <f t="shared" ref="F32:AB32" si="8">E32+F13</f>
        <v>1800</v>
      </c>
      <c r="G32" s="37">
        <f t="shared" si="8"/>
        <v>2200</v>
      </c>
      <c r="H32" s="37">
        <f t="shared" si="8"/>
        <v>2600</v>
      </c>
      <c r="I32" s="37">
        <f t="shared" si="8"/>
        <v>3000</v>
      </c>
      <c r="J32" s="37">
        <f t="shared" si="8"/>
        <v>3400</v>
      </c>
      <c r="K32" s="37">
        <f t="shared" si="8"/>
        <v>3800</v>
      </c>
      <c r="L32" s="37">
        <f t="shared" si="8"/>
        <v>4200</v>
      </c>
      <c r="M32" s="37">
        <f t="shared" si="8"/>
        <v>4600</v>
      </c>
      <c r="N32" s="37">
        <f t="shared" si="8"/>
        <v>5000</v>
      </c>
      <c r="O32" s="37">
        <f t="shared" si="8"/>
        <v>5400</v>
      </c>
      <c r="P32" s="37">
        <f t="shared" si="8"/>
        <v>5800</v>
      </c>
      <c r="Q32" s="33">
        <f t="shared" si="8"/>
        <v>6212.5</v>
      </c>
      <c r="R32" s="33">
        <f t="shared" si="8"/>
        <v>6625</v>
      </c>
      <c r="S32" s="33">
        <f t="shared" si="8"/>
        <v>7037.5</v>
      </c>
      <c r="T32" s="33">
        <f t="shared" si="8"/>
        <v>7450</v>
      </c>
      <c r="U32" s="33">
        <f t="shared" si="8"/>
        <v>7862.5</v>
      </c>
      <c r="V32" s="33">
        <f t="shared" si="8"/>
        <v>8275</v>
      </c>
      <c r="W32" s="33">
        <f t="shared" si="8"/>
        <v>8687.5</v>
      </c>
      <c r="X32" s="33">
        <f t="shared" si="8"/>
        <v>9100</v>
      </c>
      <c r="Y32" s="33">
        <f t="shared" si="8"/>
        <v>9512.5</v>
      </c>
      <c r="Z32" s="33">
        <f t="shared" si="8"/>
        <v>9925</v>
      </c>
      <c r="AA32" s="33">
        <f t="shared" si="8"/>
        <v>10337.5</v>
      </c>
      <c r="AB32" s="33">
        <f t="shared" si="8"/>
        <v>10750</v>
      </c>
      <c r="AC32" s="33"/>
      <c r="AD32" s="24"/>
    </row>
    <row r="33" spans="2:30" x14ac:dyDescent="0.2">
      <c r="B33" s="43" t="s">
        <v>56</v>
      </c>
      <c r="C33" s="33"/>
      <c r="D33" s="33"/>
      <c r="E33" s="37">
        <f>0+E24</f>
        <v>10</v>
      </c>
      <c r="F33" s="37">
        <f t="shared" ref="F33:AB33" si="9">E33+F24</f>
        <v>30</v>
      </c>
      <c r="G33" s="37">
        <f t="shared" si="9"/>
        <v>60</v>
      </c>
      <c r="H33" s="37">
        <f t="shared" si="9"/>
        <v>100</v>
      </c>
      <c r="I33" s="37">
        <f t="shared" si="9"/>
        <v>150</v>
      </c>
      <c r="J33" s="37">
        <f t="shared" si="9"/>
        <v>210</v>
      </c>
      <c r="K33" s="37">
        <f t="shared" si="9"/>
        <v>280</v>
      </c>
      <c r="L33" s="37">
        <f t="shared" si="9"/>
        <v>360</v>
      </c>
      <c r="M33" s="37">
        <f t="shared" si="9"/>
        <v>450</v>
      </c>
      <c r="N33" s="37">
        <f t="shared" si="9"/>
        <v>550</v>
      </c>
      <c r="O33" s="37">
        <f t="shared" si="9"/>
        <v>660</v>
      </c>
      <c r="P33" s="37">
        <f t="shared" si="9"/>
        <v>780</v>
      </c>
      <c r="Q33" s="33">
        <f t="shared" si="9"/>
        <v>911.45833333333337</v>
      </c>
      <c r="R33" s="33">
        <f t="shared" si="9"/>
        <v>1054.375</v>
      </c>
      <c r="S33" s="33">
        <f t="shared" si="9"/>
        <v>1208.75</v>
      </c>
      <c r="T33" s="33">
        <f t="shared" si="9"/>
        <v>1374.5833333333333</v>
      </c>
      <c r="U33" s="33">
        <f t="shared" si="9"/>
        <v>1551.875</v>
      </c>
      <c r="V33" s="33">
        <f t="shared" si="9"/>
        <v>1740.625</v>
      </c>
      <c r="W33" s="33">
        <f t="shared" si="9"/>
        <v>1940.8333333333333</v>
      </c>
      <c r="X33" s="33">
        <f t="shared" si="9"/>
        <v>2152.5</v>
      </c>
      <c r="Y33" s="33">
        <f t="shared" si="9"/>
        <v>2375.625</v>
      </c>
      <c r="Z33" s="33">
        <f t="shared" si="9"/>
        <v>2610.2083333333335</v>
      </c>
      <c r="AA33" s="33">
        <f t="shared" si="9"/>
        <v>2856.25</v>
      </c>
      <c r="AB33" s="33">
        <f t="shared" si="9"/>
        <v>3113.75</v>
      </c>
      <c r="AC33" s="33"/>
      <c r="AD33" s="24"/>
    </row>
    <row r="34" spans="2:30" x14ac:dyDescent="0.2">
      <c r="B34" s="69" t="s">
        <v>334</v>
      </c>
      <c r="C34" s="70"/>
      <c r="D34" s="70"/>
      <c r="E34" s="93">
        <f t="shared" ref="E34:I34" si="10">E32-E33</f>
        <v>1390</v>
      </c>
      <c r="F34" s="93">
        <f t="shared" si="10"/>
        <v>1770</v>
      </c>
      <c r="G34" s="93">
        <f t="shared" si="10"/>
        <v>2140</v>
      </c>
      <c r="H34" s="93">
        <f t="shared" si="10"/>
        <v>2500</v>
      </c>
      <c r="I34" s="93">
        <f t="shared" si="10"/>
        <v>2850</v>
      </c>
      <c r="J34" s="93">
        <f t="shared" ref="J34:AB34" si="11">J32-J33</f>
        <v>3190</v>
      </c>
      <c r="K34" s="93">
        <f t="shared" si="11"/>
        <v>3520</v>
      </c>
      <c r="L34" s="93">
        <f t="shared" si="11"/>
        <v>3840</v>
      </c>
      <c r="M34" s="93">
        <f t="shared" si="11"/>
        <v>4150</v>
      </c>
      <c r="N34" s="93">
        <f t="shared" si="11"/>
        <v>4450</v>
      </c>
      <c r="O34" s="93">
        <f t="shared" si="11"/>
        <v>4740</v>
      </c>
      <c r="P34" s="93">
        <f t="shared" si="11"/>
        <v>5020</v>
      </c>
      <c r="Q34" s="70">
        <f t="shared" si="11"/>
        <v>5301.041666666667</v>
      </c>
      <c r="R34" s="70">
        <f t="shared" si="11"/>
        <v>5570.625</v>
      </c>
      <c r="S34" s="70">
        <f t="shared" si="11"/>
        <v>5828.75</v>
      </c>
      <c r="T34" s="70">
        <f t="shared" si="11"/>
        <v>6075.416666666667</v>
      </c>
      <c r="U34" s="70">
        <f t="shared" si="11"/>
        <v>6310.625</v>
      </c>
      <c r="V34" s="70">
        <f t="shared" si="11"/>
        <v>6534.375</v>
      </c>
      <c r="W34" s="70">
        <f t="shared" si="11"/>
        <v>6746.666666666667</v>
      </c>
      <c r="X34" s="70">
        <f t="shared" si="11"/>
        <v>6947.5</v>
      </c>
      <c r="Y34" s="70">
        <f t="shared" si="11"/>
        <v>7136.875</v>
      </c>
      <c r="Z34" s="70">
        <f t="shared" si="11"/>
        <v>7314.7916666666661</v>
      </c>
      <c r="AA34" s="70">
        <f t="shared" si="11"/>
        <v>7481.25</v>
      </c>
      <c r="AB34" s="70">
        <f t="shared" si="11"/>
        <v>7636.25</v>
      </c>
      <c r="AC34" s="24"/>
      <c r="AD34" s="24"/>
    </row>
    <row r="35" spans="2:30" x14ac:dyDescent="0.2">
      <c r="B35" s="24"/>
      <c r="C35" s="33"/>
      <c r="D35" s="33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24"/>
    </row>
    <row r="36" spans="2:30" x14ac:dyDescent="0.2">
      <c r="B36" s="43" t="s">
        <v>57</v>
      </c>
      <c r="C36" s="33"/>
      <c r="D36" s="33"/>
      <c r="E36" s="37">
        <f>BS!C15+E17</f>
        <v>0</v>
      </c>
      <c r="F36" s="37">
        <f t="shared" ref="F36:AB36" si="12">E36+F17</f>
        <v>0</v>
      </c>
      <c r="G36" s="37">
        <f t="shared" si="12"/>
        <v>1000</v>
      </c>
      <c r="H36" s="37">
        <f t="shared" si="12"/>
        <v>1000</v>
      </c>
      <c r="I36" s="37">
        <f t="shared" si="12"/>
        <v>1000</v>
      </c>
      <c r="J36" s="37">
        <f t="shared" si="12"/>
        <v>1000</v>
      </c>
      <c r="K36" s="37">
        <f t="shared" si="12"/>
        <v>1000</v>
      </c>
      <c r="L36" s="37">
        <f t="shared" si="12"/>
        <v>1000</v>
      </c>
      <c r="M36" s="37">
        <f t="shared" si="12"/>
        <v>1000</v>
      </c>
      <c r="N36" s="37">
        <f t="shared" si="12"/>
        <v>1000</v>
      </c>
      <c r="O36" s="37">
        <f t="shared" si="12"/>
        <v>1000</v>
      </c>
      <c r="P36" s="37">
        <f t="shared" si="12"/>
        <v>1000</v>
      </c>
      <c r="Q36" s="33">
        <f t="shared" si="12"/>
        <v>1000</v>
      </c>
      <c r="R36" s="33">
        <f t="shared" si="12"/>
        <v>1000</v>
      </c>
      <c r="S36" s="33">
        <f t="shared" si="12"/>
        <v>1000</v>
      </c>
      <c r="T36" s="33">
        <f t="shared" si="12"/>
        <v>1000</v>
      </c>
      <c r="U36" s="33">
        <f t="shared" si="12"/>
        <v>1000</v>
      </c>
      <c r="V36" s="33">
        <f t="shared" si="12"/>
        <v>1000</v>
      </c>
      <c r="W36" s="33">
        <f t="shared" si="12"/>
        <v>1000</v>
      </c>
      <c r="X36" s="33">
        <f t="shared" si="12"/>
        <v>1000</v>
      </c>
      <c r="Y36" s="33">
        <f t="shared" si="12"/>
        <v>1000</v>
      </c>
      <c r="Z36" s="33">
        <f t="shared" si="12"/>
        <v>1000</v>
      </c>
      <c r="AA36" s="33">
        <f t="shared" si="12"/>
        <v>1000</v>
      </c>
      <c r="AB36" s="33">
        <f t="shared" si="12"/>
        <v>1000</v>
      </c>
      <c r="AC36" s="33"/>
      <c r="AD36" s="24"/>
    </row>
    <row r="37" spans="2:30" x14ac:dyDescent="0.2">
      <c r="B37" s="43" t="s">
        <v>58</v>
      </c>
      <c r="C37" s="33"/>
      <c r="D37" s="33"/>
      <c r="E37" s="37">
        <v>0</v>
      </c>
      <c r="F37" s="37">
        <f t="shared" ref="F37:AB37" si="13">E37+F28</f>
        <v>0</v>
      </c>
      <c r="G37" s="37">
        <f t="shared" si="13"/>
        <v>41.666666666666664</v>
      </c>
      <c r="H37" s="37">
        <f t="shared" si="13"/>
        <v>83.333333333333329</v>
      </c>
      <c r="I37" s="37">
        <f t="shared" si="13"/>
        <v>125</v>
      </c>
      <c r="J37" s="37">
        <f t="shared" si="13"/>
        <v>166.66666666666666</v>
      </c>
      <c r="K37" s="37">
        <f t="shared" si="13"/>
        <v>208.33333333333331</v>
      </c>
      <c r="L37" s="37">
        <f t="shared" si="13"/>
        <v>249.99999999999997</v>
      </c>
      <c r="M37" s="37">
        <f t="shared" si="13"/>
        <v>291.66666666666663</v>
      </c>
      <c r="N37" s="37">
        <f t="shared" si="13"/>
        <v>333.33333333333331</v>
      </c>
      <c r="O37" s="37">
        <f t="shared" si="13"/>
        <v>375</v>
      </c>
      <c r="P37" s="37">
        <f t="shared" si="13"/>
        <v>416.66666666666669</v>
      </c>
      <c r="Q37" s="33">
        <f t="shared" si="13"/>
        <v>458.33333333333337</v>
      </c>
      <c r="R37" s="33">
        <f t="shared" si="13"/>
        <v>500.00000000000006</v>
      </c>
      <c r="S37" s="33">
        <f t="shared" si="13"/>
        <v>541.66666666666674</v>
      </c>
      <c r="T37" s="33">
        <f t="shared" si="13"/>
        <v>583.33333333333337</v>
      </c>
      <c r="U37" s="33">
        <f t="shared" si="13"/>
        <v>625</v>
      </c>
      <c r="V37" s="33">
        <f t="shared" si="13"/>
        <v>666.66666666666663</v>
      </c>
      <c r="W37" s="33">
        <f t="shared" si="13"/>
        <v>708.33333333333326</v>
      </c>
      <c r="X37" s="33">
        <f t="shared" si="13"/>
        <v>749.99999999999989</v>
      </c>
      <c r="Y37" s="33">
        <f t="shared" si="13"/>
        <v>791.66666666666652</v>
      </c>
      <c r="Z37" s="33">
        <f t="shared" si="13"/>
        <v>833.33333333333314</v>
      </c>
      <c r="AA37" s="33">
        <f t="shared" si="13"/>
        <v>874.99999999999977</v>
      </c>
      <c r="AB37" s="33">
        <f t="shared" si="13"/>
        <v>916.6666666666664</v>
      </c>
      <c r="AC37" s="33"/>
      <c r="AD37" s="24"/>
    </row>
    <row r="38" spans="2:30" x14ac:dyDescent="0.2">
      <c r="B38" s="69" t="s">
        <v>59</v>
      </c>
      <c r="C38" s="70"/>
      <c r="D38" s="70"/>
      <c r="E38" s="93">
        <f t="shared" ref="E38:AB38" si="14">E36-E37</f>
        <v>0</v>
      </c>
      <c r="F38" s="93">
        <f t="shared" si="14"/>
        <v>0</v>
      </c>
      <c r="G38" s="93">
        <f t="shared" si="14"/>
        <v>958.33333333333337</v>
      </c>
      <c r="H38" s="93">
        <f t="shared" si="14"/>
        <v>916.66666666666663</v>
      </c>
      <c r="I38" s="93">
        <f t="shared" si="14"/>
        <v>875</v>
      </c>
      <c r="J38" s="93">
        <f t="shared" si="14"/>
        <v>833.33333333333337</v>
      </c>
      <c r="K38" s="93">
        <f t="shared" si="14"/>
        <v>791.66666666666674</v>
      </c>
      <c r="L38" s="93">
        <f t="shared" si="14"/>
        <v>750</v>
      </c>
      <c r="M38" s="93">
        <f t="shared" si="14"/>
        <v>708.33333333333337</v>
      </c>
      <c r="N38" s="93">
        <f t="shared" si="14"/>
        <v>666.66666666666674</v>
      </c>
      <c r="O38" s="93">
        <f t="shared" si="14"/>
        <v>625</v>
      </c>
      <c r="P38" s="93">
        <f t="shared" si="14"/>
        <v>583.33333333333326</v>
      </c>
      <c r="Q38" s="70">
        <f t="shared" si="14"/>
        <v>541.66666666666663</v>
      </c>
      <c r="R38" s="70">
        <f t="shared" si="14"/>
        <v>499.99999999999994</v>
      </c>
      <c r="S38" s="70">
        <f t="shared" si="14"/>
        <v>458.33333333333326</v>
      </c>
      <c r="T38" s="70">
        <f t="shared" si="14"/>
        <v>416.66666666666663</v>
      </c>
      <c r="U38" s="70">
        <f t="shared" si="14"/>
        <v>375</v>
      </c>
      <c r="V38" s="70">
        <f t="shared" si="14"/>
        <v>333.33333333333337</v>
      </c>
      <c r="W38" s="70">
        <f t="shared" si="14"/>
        <v>291.66666666666674</v>
      </c>
      <c r="X38" s="70">
        <f t="shared" si="14"/>
        <v>250.00000000000011</v>
      </c>
      <c r="Y38" s="70">
        <f t="shared" si="14"/>
        <v>208.33333333333348</v>
      </c>
      <c r="Z38" s="70">
        <f t="shared" si="14"/>
        <v>166.66666666666686</v>
      </c>
      <c r="AA38" s="70">
        <f t="shared" si="14"/>
        <v>125.00000000000023</v>
      </c>
      <c r="AB38" s="70">
        <f t="shared" si="14"/>
        <v>83.333333333333599</v>
      </c>
      <c r="AC38" s="24"/>
      <c r="AD38" s="24"/>
    </row>
  </sheetData>
  <pageMargins left="0.7" right="0.7" top="0.75" bottom="0.75" header="0.3" footer="0.3"/>
  <pageSetup paperSize="119" scale="76" orientation="landscape" r:id="rId1"/>
  <ignoredErrors>
    <ignoredError sqref="AC8 AC13:AC15 AC19 AC18 AC9 AC11:AC12 AC17 AC16 AC24:AC26 AC20 AC27 AC21:AC23 AD12:AE12 AD13:AE15 AD20:AE23 AD19:AE19 AD18:AE18 AD24:AE26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pageSetUpPr fitToPage="1"/>
  </sheetPr>
  <dimension ref="A1:BK603"/>
  <sheetViews>
    <sheetView tabSelected="1" workbookViewId="0"/>
  </sheetViews>
  <sheetFormatPr baseColWidth="10" defaultColWidth="8.83203125" defaultRowHeight="15" customHeight="1" x14ac:dyDescent="0.2"/>
  <cols>
    <col min="1" max="1" width="3.1640625" style="24" bestFit="1" customWidth="1"/>
    <col min="2" max="2" width="8.6640625" style="24" customWidth="1"/>
    <col min="3" max="4" width="13.1640625" style="24" bestFit="1" customWidth="1"/>
    <col min="5" max="5" width="11.33203125" style="24" bestFit="1" customWidth="1"/>
    <col min="6" max="6" width="14.83203125" style="24" bestFit="1" customWidth="1"/>
    <col min="7" max="7" width="12.33203125" style="24" bestFit="1" customWidth="1"/>
    <col min="8" max="8" width="14.1640625" style="24" customWidth="1"/>
    <col min="9" max="9" width="9" style="111" bestFit="1" customWidth="1"/>
    <col min="10" max="10" width="13.5" style="111" bestFit="1" customWidth="1"/>
    <col min="11" max="11" width="14.83203125" style="111" bestFit="1" customWidth="1"/>
    <col min="12" max="12" width="13.83203125" style="24" bestFit="1" customWidth="1"/>
    <col min="13" max="13" width="9.6640625" style="24" bestFit="1" customWidth="1"/>
    <col min="14" max="16384" width="8.83203125" style="24"/>
  </cols>
  <sheetData>
    <row r="1" spans="1:11" ht="19" x14ac:dyDescent="0.25">
      <c r="B1" s="42" t="s">
        <v>93</v>
      </c>
      <c r="D1" s="32"/>
    </row>
    <row r="2" spans="1:11" ht="8.25" customHeight="1" x14ac:dyDescent="0.2">
      <c r="D2" s="32"/>
    </row>
    <row r="3" spans="1:11" ht="15" customHeight="1" x14ac:dyDescent="0.2">
      <c r="B3" s="80" t="s">
        <v>93</v>
      </c>
      <c r="D3" s="32"/>
    </row>
    <row r="4" spans="1:11" ht="15" customHeight="1" x14ac:dyDescent="0.2">
      <c r="B4" s="24" t="s">
        <v>117</v>
      </c>
      <c r="C4" s="111"/>
      <c r="D4" s="111"/>
      <c r="E4" s="111"/>
      <c r="F4" s="117">
        <v>0.04</v>
      </c>
    </row>
    <row r="5" spans="1:11" ht="15" customHeight="1" x14ac:dyDescent="0.2">
      <c r="B5" s="24" t="s">
        <v>118</v>
      </c>
      <c r="D5" s="32"/>
      <c r="F5" s="118"/>
    </row>
    <row r="6" spans="1:11" ht="15" customHeight="1" x14ac:dyDescent="0.2">
      <c r="B6" s="24" t="s">
        <v>105</v>
      </c>
      <c r="D6" s="32"/>
      <c r="F6" s="118"/>
    </row>
    <row r="7" spans="1:11" ht="15" customHeight="1" x14ac:dyDescent="0.2">
      <c r="B7" s="24" t="s">
        <v>104</v>
      </c>
      <c r="D7" s="32"/>
      <c r="F7" s="118"/>
    </row>
    <row r="8" spans="1:11" ht="15" customHeight="1" x14ac:dyDescent="0.2">
      <c r="B8" s="24" t="s">
        <v>116</v>
      </c>
      <c r="D8" s="32"/>
      <c r="F8" s="118"/>
    </row>
    <row r="9" spans="1:11" ht="15" customHeight="1" x14ac:dyDescent="0.2">
      <c r="B9" s="80"/>
      <c r="D9" s="32"/>
    </row>
    <row r="10" spans="1:11" ht="15" customHeight="1" x14ac:dyDescent="0.2">
      <c r="B10" s="25" t="s">
        <v>65</v>
      </c>
    </row>
    <row r="11" spans="1:11" ht="15" customHeight="1" x14ac:dyDescent="0.2">
      <c r="B11" s="112" t="s">
        <v>64</v>
      </c>
      <c r="C11" s="112" t="s">
        <v>63</v>
      </c>
      <c r="D11" s="112" t="s">
        <v>96</v>
      </c>
      <c r="E11" s="112" t="s">
        <v>62</v>
      </c>
      <c r="F11" s="112" t="s">
        <v>65</v>
      </c>
      <c r="G11" s="113"/>
      <c r="I11" s="24"/>
      <c r="J11" s="24"/>
      <c r="K11" s="24"/>
    </row>
    <row r="12" spans="1:11" ht="15" customHeight="1" x14ac:dyDescent="0.2">
      <c r="A12" s="24" t="s">
        <v>330</v>
      </c>
      <c r="B12" s="114">
        <v>41670</v>
      </c>
      <c r="C12" s="182">
        <v>4500</v>
      </c>
      <c r="D12" s="182">
        <v>5000</v>
      </c>
      <c r="E12" s="111">
        <f>D12-C12</f>
        <v>500</v>
      </c>
      <c r="F12" s="115">
        <f>E12</f>
        <v>500</v>
      </c>
      <c r="I12" s="24"/>
      <c r="J12" s="24"/>
      <c r="K12" s="24"/>
    </row>
    <row r="13" spans="1:11" ht="15" customHeight="1" x14ac:dyDescent="0.2">
      <c r="A13" s="24" t="s">
        <v>330</v>
      </c>
      <c r="B13" s="114">
        <v>41698</v>
      </c>
      <c r="C13" s="182">
        <v>4500</v>
      </c>
      <c r="D13" s="182">
        <v>5000</v>
      </c>
      <c r="E13" s="111">
        <f t="shared" ref="E13:E35" si="0">D13-C13</f>
        <v>500</v>
      </c>
      <c r="F13" s="115">
        <f>E13+F12</f>
        <v>1000</v>
      </c>
      <c r="I13" s="24"/>
      <c r="J13" s="24"/>
      <c r="K13" s="24"/>
    </row>
    <row r="14" spans="1:11" ht="15" customHeight="1" x14ac:dyDescent="0.2">
      <c r="A14" s="24" t="s">
        <v>330</v>
      </c>
      <c r="B14" s="114">
        <v>41729</v>
      </c>
      <c r="C14" s="182">
        <v>4500</v>
      </c>
      <c r="D14" s="182">
        <v>5000</v>
      </c>
      <c r="E14" s="111">
        <f t="shared" si="0"/>
        <v>500</v>
      </c>
      <c r="F14" s="115">
        <f t="shared" ref="F14:F35" si="1">E14+F13</f>
        <v>1500</v>
      </c>
      <c r="I14" s="24"/>
      <c r="J14" s="24"/>
      <c r="K14" s="24"/>
    </row>
    <row r="15" spans="1:11" ht="15" customHeight="1" x14ac:dyDescent="0.2">
      <c r="A15" s="24" t="s">
        <v>330</v>
      </c>
      <c r="B15" s="114">
        <v>41759</v>
      </c>
      <c r="C15" s="182">
        <v>4500</v>
      </c>
      <c r="D15" s="182">
        <v>5000</v>
      </c>
      <c r="E15" s="111">
        <f t="shared" si="0"/>
        <v>500</v>
      </c>
      <c r="F15" s="115">
        <f t="shared" si="1"/>
        <v>2000</v>
      </c>
      <c r="I15" s="24"/>
      <c r="J15" s="24"/>
      <c r="K15" s="24"/>
    </row>
    <row r="16" spans="1:11" ht="15" customHeight="1" x14ac:dyDescent="0.2">
      <c r="A16" s="24" t="s">
        <v>330</v>
      </c>
      <c r="B16" s="114">
        <v>41790</v>
      </c>
      <c r="C16" s="182">
        <v>4500</v>
      </c>
      <c r="D16" s="182">
        <v>5000</v>
      </c>
      <c r="E16" s="111">
        <f t="shared" si="0"/>
        <v>500</v>
      </c>
      <c r="F16" s="115">
        <f t="shared" si="1"/>
        <v>2500</v>
      </c>
      <c r="I16" s="24"/>
      <c r="J16" s="24"/>
      <c r="K16" s="24"/>
    </row>
    <row r="17" spans="1:11" ht="15" customHeight="1" x14ac:dyDescent="0.2">
      <c r="A17" s="24" t="s">
        <v>330</v>
      </c>
      <c r="B17" s="114">
        <v>41820</v>
      </c>
      <c r="C17" s="182">
        <v>4500</v>
      </c>
      <c r="D17" s="182">
        <v>5000</v>
      </c>
      <c r="E17" s="111">
        <f t="shared" si="0"/>
        <v>500</v>
      </c>
      <c r="F17" s="115">
        <f t="shared" si="1"/>
        <v>3000</v>
      </c>
      <c r="I17" s="24"/>
      <c r="J17" s="24"/>
      <c r="K17" s="24"/>
    </row>
    <row r="18" spans="1:11" ht="15" customHeight="1" x14ac:dyDescent="0.2">
      <c r="A18" s="24" t="s">
        <v>330</v>
      </c>
      <c r="B18" s="114">
        <v>41851</v>
      </c>
      <c r="C18" s="182">
        <v>4500</v>
      </c>
      <c r="D18" s="182">
        <v>5000</v>
      </c>
      <c r="E18" s="111">
        <f t="shared" si="0"/>
        <v>500</v>
      </c>
      <c r="F18" s="115">
        <f t="shared" si="1"/>
        <v>3500</v>
      </c>
      <c r="I18" s="24"/>
      <c r="J18" s="24"/>
      <c r="K18" s="24"/>
    </row>
    <row r="19" spans="1:11" ht="15" customHeight="1" x14ac:dyDescent="0.2">
      <c r="A19" s="24" t="s">
        <v>330</v>
      </c>
      <c r="B19" s="114">
        <v>41882</v>
      </c>
      <c r="C19" s="182">
        <v>4500</v>
      </c>
      <c r="D19" s="182">
        <v>5000</v>
      </c>
      <c r="E19" s="111">
        <f t="shared" si="0"/>
        <v>500</v>
      </c>
      <c r="F19" s="115">
        <f t="shared" si="1"/>
        <v>4000</v>
      </c>
      <c r="I19" s="24"/>
      <c r="J19" s="24"/>
      <c r="K19" s="24"/>
    </row>
    <row r="20" spans="1:11" ht="15" customHeight="1" x14ac:dyDescent="0.2">
      <c r="A20" s="24" t="s">
        <v>330</v>
      </c>
      <c r="B20" s="114">
        <v>41912</v>
      </c>
      <c r="C20" s="182">
        <v>4500</v>
      </c>
      <c r="D20" s="182">
        <v>5000</v>
      </c>
      <c r="E20" s="111">
        <f t="shared" si="0"/>
        <v>500</v>
      </c>
      <c r="F20" s="115">
        <f t="shared" si="1"/>
        <v>4500</v>
      </c>
      <c r="I20" s="24"/>
      <c r="J20" s="24"/>
      <c r="K20" s="24"/>
    </row>
    <row r="21" spans="1:11" ht="15" customHeight="1" x14ac:dyDescent="0.2">
      <c r="A21" s="24" t="s">
        <v>330</v>
      </c>
      <c r="B21" s="114">
        <v>41943</v>
      </c>
      <c r="C21" s="182">
        <v>4500</v>
      </c>
      <c r="D21" s="182">
        <v>5000</v>
      </c>
      <c r="E21" s="111">
        <f t="shared" si="0"/>
        <v>500</v>
      </c>
      <c r="F21" s="115">
        <f t="shared" si="1"/>
        <v>5000</v>
      </c>
      <c r="I21" s="24"/>
      <c r="J21" s="24"/>
      <c r="K21" s="24"/>
    </row>
    <row r="22" spans="1:11" ht="15" customHeight="1" x14ac:dyDescent="0.2">
      <c r="A22" s="24" t="s">
        <v>330</v>
      </c>
      <c r="B22" s="114">
        <v>41973</v>
      </c>
      <c r="C22" s="182">
        <v>4500</v>
      </c>
      <c r="D22" s="182">
        <v>5000</v>
      </c>
      <c r="E22" s="111">
        <f t="shared" si="0"/>
        <v>500</v>
      </c>
      <c r="F22" s="115">
        <f t="shared" si="1"/>
        <v>5500</v>
      </c>
      <c r="I22" s="24"/>
      <c r="J22" s="24"/>
      <c r="K22" s="24"/>
    </row>
    <row r="23" spans="1:11" ht="15" customHeight="1" x14ac:dyDescent="0.2">
      <c r="A23" s="24" t="s">
        <v>330</v>
      </c>
      <c r="B23" s="114">
        <v>42004</v>
      </c>
      <c r="C23" s="182">
        <v>4500</v>
      </c>
      <c r="D23" s="182">
        <v>5000</v>
      </c>
      <c r="E23" s="111">
        <f t="shared" si="0"/>
        <v>500</v>
      </c>
      <c r="F23" s="115">
        <f t="shared" si="1"/>
        <v>6000</v>
      </c>
      <c r="I23" s="24"/>
      <c r="J23" s="24"/>
      <c r="K23" s="24"/>
    </row>
    <row r="24" spans="1:11" ht="15" customHeight="1" x14ac:dyDescent="0.2">
      <c r="A24" s="24" t="s">
        <v>330</v>
      </c>
      <c r="B24" s="114">
        <v>42035</v>
      </c>
      <c r="C24" s="182">
        <v>5500</v>
      </c>
      <c r="D24" s="182">
        <v>5000</v>
      </c>
      <c r="E24" s="111">
        <f t="shared" si="0"/>
        <v>-500</v>
      </c>
      <c r="F24" s="115">
        <f t="shared" si="1"/>
        <v>5500</v>
      </c>
      <c r="I24" s="24"/>
      <c r="J24" s="24"/>
      <c r="K24" s="24"/>
    </row>
    <row r="25" spans="1:11" ht="15" customHeight="1" x14ac:dyDescent="0.2">
      <c r="A25" s="24" t="s">
        <v>330</v>
      </c>
      <c r="B25" s="114">
        <v>42063</v>
      </c>
      <c r="C25" s="182">
        <v>5500</v>
      </c>
      <c r="D25" s="182">
        <v>5000</v>
      </c>
      <c r="E25" s="111">
        <f t="shared" si="0"/>
        <v>-500</v>
      </c>
      <c r="F25" s="115">
        <f t="shared" si="1"/>
        <v>5000</v>
      </c>
      <c r="I25" s="24"/>
      <c r="J25" s="24"/>
      <c r="K25" s="24"/>
    </row>
    <row r="26" spans="1:11" ht="15" customHeight="1" x14ac:dyDescent="0.2">
      <c r="A26" s="24" t="s">
        <v>330</v>
      </c>
      <c r="B26" s="114">
        <v>42094</v>
      </c>
      <c r="C26" s="182">
        <v>5500</v>
      </c>
      <c r="D26" s="182">
        <v>5000</v>
      </c>
      <c r="E26" s="111">
        <f t="shared" si="0"/>
        <v>-500</v>
      </c>
      <c r="F26" s="115">
        <f t="shared" si="1"/>
        <v>4500</v>
      </c>
      <c r="I26" s="24"/>
      <c r="J26" s="24"/>
      <c r="K26" s="24"/>
    </row>
    <row r="27" spans="1:11" ht="15" customHeight="1" x14ac:dyDescent="0.2">
      <c r="A27" s="24" t="s">
        <v>330</v>
      </c>
      <c r="B27" s="114">
        <v>42124</v>
      </c>
      <c r="C27" s="182">
        <v>5500</v>
      </c>
      <c r="D27" s="182">
        <v>5000</v>
      </c>
      <c r="E27" s="111">
        <f t="shared" si="0"/>
        <v>-500</v>
      </c>
      <c r="F27" s="115">
        <f t="shared" si="1"/>
        <v>4000</v>
      </c>
      <c r="I27" s="24"/>
      <c r="J27" s="24"/>
      <c r="K27" s="24"/>
    </row>
    <row r="28" spans="1:11" ht="15" customHeight="1" x14ac:dyDescent="0.2">
      <c r="A28" s="24" t="s">
        <v>330</v>
      </c>
      <c r="B28" s="114">
        <v>42155</v>
      </c>
      <c r="C28" s="182">
        <v>5500</v>
      </c>
      <c r="D28" s="182">
        <v>5000</v>
      </c>
      <c r="E28" s="111">
        <f t="shared" si="0"/>
        <v>-500</v>
      </c>
      <c r="F28" s="115">
        <f t="shared" si="1"/>
        <v>3500</v>
      </c>
      <c r="I28" s="24"/>
      <c r="J28" s="24"/>
      <c r="K28" s="24"/>
    </row>
    <row r="29" spans="1:11" ht="15" customHeight="1" x14ac:dyDescent="0.2">
      <c r="A29" s="24" t="s">
        <v>330</v>
      </c>
      <c r="B29" s="114">
        <v>42185</v>
      </c>
      <c r="C29" s="182">
        <v>5500</v>
      </c>
      <c r="D29" s="182">
        <v>5000</v>
      </c>
      <c r="E29" s="111">
        <f t="shared" si="0"/>
        <v>-500</v>
      </c>
      <c r="F29" s="115">
        <f t="shared" si="1"/>
        <v>3000</v>
      </c>
      <c r="I29" s="24"/>
      <c r="J29" s="24"/>
      <c r="K29" s="24"/>
    </row>
    <row r="30" spans="1:11" ht="15" customHeight="1" x14ac:dyDescent="0.2">
      <c r="A30" s="24" t="s">
        <v>330</v>
      </c>
      <c r="B30" s="114">
        <v>42216</v>
      </c>
      <c r="C30" s="182">
        <v>5500</v>
      </c>
      <c r="D30" s="182">
        <v>5000</v>
      </c>
      <c r="E30" s="111">
        <f t="shared" si="0"/>
        <v>-500</v>
      </c>
      <c r="F30" s="115">
        <f t="shared" si="1"/>
        <v>2500</v>
      </c>
      <c r="I30" s="24"/>
      <c r="J30" s="24"/>
      <c r="K30" s="24"/>
    </row>
    <row r="31" spans="1:11" ht="15" customHeight="1" x14ac:dyDescent="0.2">
      <c r="A31" s="24" t="s">
        <v>330</v>
      </c>
      <c r="B31" s="114">
        <v>42247</v>
      </c>
      <c r="C31" s="182">
        <v>5500</v>
      </c>
      <c r="D31" s="182">
        <v>5000</v>
      </c>
      <c r="E31" s="111">
        <f t="shared" si="0"/>
        <v>-500</v>
      </c>
      <c r="F31" s="115">
        <f t="shared" si="1"/>
        <v>2000</v>
      </c>
      <c r="I31" s="24"/>
      <c r="J31" s="24"/>
      <c r="K31" s="24"/>
    </row>
    <row r="32" spans="1:11" ht="15" customHeight="1" x14ac:dyDescent="0.2">
      <c r="A32" s="24" t="s">
        <v>330</v>
      </c>
      <c r="B32" s="114">
        <v>42277</v>
      </c>
      <c r="C32" s="182">
        <v>5500</v>
      </c>
      <c r="D32" s="182">
        <v>5000</v>
      </c>
      <c r="E32" s="111">
        <f t="shared" si="0"/>
        <v>-500</v>
      </c>
      <c r="F32" s="115">
        <f t="shared" si="1"/>
        <v>1500</v>
      </c>
      <c r="I32" s="24"/>
      <c r="J32" s="24"/>
      <c r="K32" s="24"/>
    </row>
    <row r="33" spans="1:13" ht="15" customHeight="1" x14ac:dyDescent="0.2">
      <c r="A33" s="24" t="s">
        <v>330</v>
      </c>
      <c r="B33" s="114">
        <v>42308</v>
      </c>
      <c r="C33" s="182">
        <v>5500</v>
      </c>
      <c r="D33" s="182">
        <v>5000</v>
      </c>
      <c r="E33" s="111">
        <f t="shared" si="0"/>
        <v>-500</v>
      </c>
      <c r="F33" s="115">
        <f t="shared" si="1"/>
        <v>1000</v>
      </c>
      <c r="I33" s="24"/>
      <c r="J33" s="24"/>
      <c r="K33" s="24"/>
    </row>
    <row r="34" spans="1:13" ht="15" customHeight="1" x14ac:dyDescent="0.2">
      <c r="A34" s="24" t="s">
        <v>330</v>
      </c>
      <c r="B34" s="114">
        <v>42338</v>
      </c>
      <c r="C34" s="182">
        <v>5500</v>
      </c>
      <c r="D34" s="182">
        <v>5000</v>
      </c>
      <c r="E34" s="111">
        <f t="shared" si="0"/>
        <v>-500</v>
      </c>
      <c r="F34" s="115">
        <f t="shared" si="1"/>
        <v>500</v>
      </c>
      <c r="I34" s="24"/>
      <c r="J34" s="24"/>
      <c r="K34" s="24"/>
    </row>
    <row r="35" spans="1:13" ht="15" customHeight="1" x14ac:dyDescent="0.2">
      <c r="A35" s="24" t="s">
        <v>330</v>
      </c>
      <c r="B35" s="114">
        <v>42369</v>
      </c>
      <c r="C35" s="182">
        <v>5500</v>
      </c>
      <c r="D35" s="182">
        <v>5000</v>
      </c>
      <c r="E35" s="111">
        <f t="shared" si="0"/>
        <v>-500</v>
      </c>
      <c r="F35" s="115">
        <f t="shared" si="1"/>
        <v>0</v>
      </c>
      <c r="I35" s="24"/>
      <c r="J35" s="24"/>
      <c r="K35" s="24"/>
    </row>
    <row r="36" spans="1:13" ht="15" customHeight="1" x14ac:dyDescent="0.2">
      <c r="M36" s="66"/>
    </row>
    <row r="37" spans="1:13" ht="15" customHeight="1" x14ac:dyDescent="0.2">
      <c r="B37" s="25" t="s">
        <v>329</v>
      </c>
    </row>
    <row r="38" spans="1:13" ht="15" customHeight="1" x14ac:dyDescent="0.2">
      <c r="B38" s="112" t="s">
        <v>64</v>
      </c>
      <c r="C38" s="112" t="s">
        <v>69</v>
      </c>
      <c r="D38" s="112" t="s">
        <v>70</v>
      </c>
      <c r="E38" s="112"/>
      <c r="F38" s="112" t="s">
        <v>66</v>
      </c>
    </row>
    <row r="39" spans="1:13" ht="15" customHeight="1" x14ac:dyDescent="0.2">
      <c r="A39" s="24" t="s">
        <v>331</v>
      </c>
      <c r="B39" s="114">
        <v>41670</v>
      </c>
      <c r="C39" s="36">
        <f>HLOOKUP(B39,'Other Costs'!$E$3:$AB$22,MATCH("Accounting fees",'Other Costs'!$B$3:$B$1048576,0),0)</f>
        <v>100</v>
      </c>
      <c r="D39" s="36">
        <v>0</v>
      </c>
      <c r="F39" s="33">
        <f>C39</f>
        <v>100</v>
      </c>
    </row>
    <row r="40" spans="1:13" ht="15" customHeight="1" x14ac:dyDescent="0.2">
      <c r="A40" s="24" t="s">
        <v>331</v>
      </c>
      <c r="B40" s="114">
        <v>41698</v>
      </c>
      <c r="C40" s="36">
        <f>HLOOKUP(B40,'Other Costs'!$E$3:$AB$22,MATCH("Accounting fees",'Other Costs'!$B$3:$B$1048576,0),0)</f>
        <v>100</v>
      </c>
      <c r="D40" s="36">
        <v>0</v>
      </c>
      <c r="F40" s="33">
        <f t="shared" ref="F40:F62" si="2">F39+C40-D40</f>
        <v>200</v>
      </c>
    </row>
    <row r="41" spans="1:13" ht="15" customHeight="1" x14ac:dyDescent="0.2">
      <c r="A41" s="24" t="s">
        <v>331</v>
      </c>
      <c r="B41" s="114">
        <v>41729</v>
      </c>
      <c r="C41" s="36">
        <f>HLOOKUP(B41,'Other Costs'!$E$3:$AB$22,MATCH("Accounting fees",'Other Costs'!$B$3:$B$1048576,0),0)</f>
        <v>100</v>
      </c>
      <c r="D41" s="36">
        <v>0</v>
      </c>
      <c r="F41" s="33">
        <f t="shared" si="2"/>
        <v>300</v>
      </c>
    </row>
    <row r="42" spans="1:13" ht="15" customHeight="1" x14ac:dyDescent="0.2">
      <c r="A42" s="24" t="s">
        <v>331</v>
      </c>
      <c r="B42" s="114">
        <v>41759</v>
      </c>
      <c r="C42" s="36">
        <f>HLOOKUP(B42,'Other Costs'!$E$3:$AB$22,MATCH("Accounting fees",'Other Costs'!$B$3:$B$1048576,0),0)</f>
        <v>100</v>
      </c>
      <c r="D42" s="36">
        <v>0</v>
      </c>
      <c r="F42" s="33">
        <f t="shared" si="2"/>
        <v>400</v>
      </c>
    </row>
    <row r="43" spans="1:13" ht="15" customHeight="1" x14ac:dyDescent="0.2">
      <c r="A43" s="24" t="s">
        <v>331</v>
      </c>
      <c r="B43" s="114">
        <v>41790</v>
      </c>
      <c r="C43" s="36">
        <f>HLOOKUP(B43,'Other Costs'!$E$3:$AB$22,MATCH("Accounting fees",'Other Costs'!$B$3:$B$1048576,0),0)</f>
        <v>100</v>
      </c>
      <c r="D43" s="36">
        <v>0</v>
      </c>
      <c r="F43" s="33">
        <f t="shared" si="2"/>
        <v>500</v>
      </c>
    </row>
    <row r="44" spans="1:13" ht="15" customHeight="1" x14ac:dyDescent="0.2">
      <c r="A44" s="24" t="s">
        <v>331</v>
      </c>
      <c r="B44" s="114">
        <v>41820</v>
      </c>
      <c r="C44" s="36">
        <f>HLOOKUP(B44,'Other Costs'!$E$3:$AB$22,MATCH("Accounting fees",'Other Costs'!$B$3:$B$1048576,0),0)</f>
        <v>100</v>
      </c>
      <c r="D44" s="36">
        <v>0</v>
      </c>
      <c r="F44" s="33">
        <f t="shared" si="2"/>
        <v>600</v>
      </c>
    </row>
    <row r="45" spans="1:13" ht="15" customHeight="1" x14ac:dyDescent="0.2">
      <c r="A45" s="24" t="s">
        <v>331</v>
      </c>
      <c r="B45" s="114">
        <v>41851</v>
      </c>
      <c r="C45" s="36">
        <f>HLOOKUP(B45,'Other Costs'!$E$3:$AB$22,MATCH("Accounting fees",'Other Costs'!$B$3:$B$1048576,0),0)</f>
        <v>100</v>
      </c>
      <c r="D45" s="36">
        <v>0</v>
      </c>
      <c r="F45" s="33">
        <f t="shared" si="2"/>
        <v>700</v>
      </c>
    </row>
    <row r="46" spans="1:13" ht="15" customHeight="1" x14ac:dyDescent="0.2">
      <c r="A46" s="24" t="s">
        <v>331</v>
      </c>
      <c r="B46" s="114">
        <v>41882</v>
      </c>
      <c r="C46" s="36">
        <f>HLOOKUP(B46,'Other Costs'!$E$3:$AB$22,MATCH("Accounting fees",'Other Costs'!$B$3:$B$1048576,0),0)</f>
        <v>100</v>
      </c>
      <c r="D46" s="36">
        <v>0</v>
      </c>
      <c r="F46" s="33">
        <f t="shared" si="2"/>
        <v>800</v>
      </c>
    </row>
    <row r="47" spans="1:13" ht="15" customHeight="1" x14ac:dyDescent="0.2">
      <c r="A47" s="24" t="s">
        <v>331</v>
      </c>
      <c r="B47" s="114">
        <v>41912</v>
      </c>
      <c r="C47" s="36">
        <f>HLOOKUP(B47,'Other Costs'!$E$3:$AB$22,MATCH("Accounting fees",'Other Costs'!$B$3:$B$1048576,0),0)</f>
        <v>100</v>
      </c>
      <c r="D47" s="36">
        <v>0</v>
      </c>
      <c r="F47" s="33">
        <f t="shared" si="2"/>
        <v>900</v>
      </c>
    </row>
    <row r="48" spans="1:13" ht="15" customHeight="1" x14ac:dyDescent="0.2">
      <c r="A48" s="24" t="s">
        <v>331</v>
      </c>
      <c r="B48" s="114">
        <v>41943</v>
      </c>
      <c r="C48" s="36">
        <f>HLOOKUP(B48,'Other Costs'!$E$3:$AB$22,MATCH("Accounting fees",'Other Costs'!$B$3:$B$1048576,0),0)</f>
        <v>100</v>
      </c>
      <c r="D48" s="36">
        <v>0</v>
      </c>
      <c r="F48" s="33">
        <f t="shared" si="2"/>
        <v>1000</v>
      </c>
    </row>
    <row r="49" spans="1:63" ht="15" customHeight="1" x14ac:dyDescent="0.2">
      <c r="A49" s="24" t="s">
        <v>331</v>
      </c>
      <c r="B49" s="114">
        <v>41973</v>
      </c>
      <c r="C49" s="36">
        <f>HLOOKUP(B49,'Other Costs'!$E$3:$AB$22,MATCH("Accounting fees",'Other Costs'!$B$3:$B$1048576,0),0)</f>
        <v>100</v>
      </c>
      <c r="D49" s="36">
        <v>0</v>
      </c>
      <c r="F49" s="33">
        <f t="shared" si="2"/>
        <v>1100</v>
      </c>
    </row>
    <row r="50" spans="1:63" ht="15" customHeight="1" x14ac:dyDescent="0.2">
      <c r="A50" s="24" t="s">
        <v>331</v>
      </c>
      <c r="B50" s="114">
        <v>42004</v>
      </c>
      <c r="C50" s="36">
        <f>HLOOKUP(B50,'Other Costs'!$E$3:$AB$22,MATCH("Accounting fees",'Other Costs'!$B$3:$B$1048576,0),0)</f>
        <v>100</v>
      </c>
      <c r="D50" s="36">
        <v>0</v>
      </c>
      <c r="F50" s="33">
        <f t="shared" si="2"/>
        <v>1200</v>
      </c>
    </row>
    <row r="51" spans="1:63" ht="15" customHeight="1" x14ac:dyDescent="0.2">
      <c r="A51" s="24" t="s">
        <v>331</v>
      </c>
      <c r="B51" s="114">
        <v>42035</v>
      </c>
      <c r="C51" s="36">
        <f>HLOOKUP(B51,'Other Costs'!$E$3:$AB$22,MATCH("Accounting fees",'Other Costs'!$B$3:$B$1048576,0),0)</f>
        <v>100</v>
      </c>
      <c r="D51" s="36">
        <v>0</v>
      </c>
      <c r="F51" s="33">
        <f t="shared" si="2"/>
        <v>1300</v>
      </c>
    </row>
    <row r="52" spans="1:63" ht="15" customHeight="1" x14ac:dyDescent="0.2">
      <c r="A52" s="24" t="s">
        <v>331</v>
      </c>
      <c r="B52" s="114">
        <v>42063</v>
      </c>
      <c r="C52" s="36">
        <f>HLOOKUP(B52,'Other Costs'!$E$3:$AB$22,MATCH("Accounting fees",'Other Costs'!$B$3:$B$1048576,0),0)</f>
        <v>100</v>
      </c>
      <c r="D52" s="36">
        <v>1200</v>
      </c>
      <c r="F52" s="33">
        <f t="shared" si="2"/>
        <v>200</v>
      </c>
    </row>
    <row r="53" spans="1:63" ht="15" customHeight="1" x14ac:dyDescent="0.2">
      <c r="A53" s="24" t="s">
        <v>331</v>
      </c>
      <c r="B53" s="114">
        <v>42094</v>
      </c>
      <c r="C53" s="36">
        <f>HLOOKUP(B53,'Other Costs'!$E$3:$AB$22,MATCH("Accounting fees",'Other Costs'!$B$3:$B$1048576,0),0)</f>
        <v>100</v>
      </c>
      <c r="D53" s="36">
        <v>0</v>
      </c>
      <c r="F53" s="33">
        <f t="shared" si="2"/>
        <v>300</v>
      </c>
    </row>
    <row r="54" spans="1:63" ht="15" customHeight="1" x14ac:dyDescent="0.2">
      <c r="A54" s="24" t="s">
        <v>331</v>
      </c>
      <c r="B54" s="114">
        <v>42124</v>
      </c>
      <c r="C54" s="36">
        <f>HLOOKUP(B54,'Other Costs'!$E$3:$AB$22,MATCH("Accounting fees",'Other Costs'!$B$3:$B$1048576,0),0)</f>
        <v>100</v>
      </c>
      <c r="D54" s="36">
        <v>0</v>
      </c>
      <c r="F54" s="33">
        <f t="shared" si="2"/>
        <v>400</v>
      </c>
    </row>
    <row r="55" spans="1:63" ht="15" customHeight="1" x14ac:dyDescent="0.2">
      <c r="A55" s="24" t="s">
        <v>331</v>
      </c>
      <c r="B55" s="114">
        <v>42155</v>
      </c>
      <c r="C55" s="36">
        <f>HLOOKUP(B55,'Other Costs'!$E$3:$AB$22,MATCH("Accounting fees",'Other Costs'!$B$3:$B$1048576,0),0)</f>
        <v>100</v>
      </c>
      <c r="D55" s="36">
        <v>0</v>
      </c>
      <c r="F55" s="33">
        <f t="shared" si="2"/>
        <v>500</v>
      </c>
    </row>
    <row r="56" spans="1:63" ht="15" customHeight="1" x14ac:dyDescent="0.2">
      <c r="A56" s="24" t="s">
        <v>331</v>
      </c>
      <c r="B56" s="114">
        <v>42185</v>
      </c>
      <c r="C56" s="36">
        <f>HLOOKUP(B56,'Other Costs'!$E$3:$AB$22,MATCH("Accounting fees",'Other Costs'!$B$3:$B$1048576,0),0)</f>
        <v>100</v>
      </c>
      <c r="D56" s="36">
        <v>0</v>
      </c>
      <c r="F56" s="33">
        <f t="shared" si="2"/>
        <v>600</v>
      </c>
    </row>
    <row r="57" spans="1:63" ht="15" customHeight="1" x14ac:dyDescent="0.2">
      <c r="A57" s="24" t="s">
        <v>331</v>
      </c>
      <c r="B57" s="114">
        <v>42216</v>
      </c>
      <c r="C57" s="36">
        <f>HLOOKUP(B57,'Other Costs'!$E$3:$AB$22,MATCH("Accounting fees",'Other Costs'!$B$3:$B$1048576,0),0)</f>
        <v>100</v>
      </c>
      <c r="D57" s="36">
        <v>0</v>
      </c>
      <c r="F57" s="33">
        <f t="shared" si="2"/>
        <v>700</v>
      </c>
    </row>
    <row r="58" spans="1:63" ht="15" customHeight="1" x14ac:dyDescent="0.2">
      <c r="A58" s="24" t="s">
        <v>331</v>
      </c>
      <c r="B58" s="114">
        <v>42247</v>
      </c>
      <c r="C58" s="36">
        <f>HLOOKUP(B58,'Other Costs'!$E$3:$AB$22,MATCH("Accounting fees",'Other Costs'!$B$3:$B$1048576,0),0)</f>
        <v>100</v>
      </c>
      <c r="D58" s="36">
        <v>0</v>
      </c>
      <c r="F58" s="33">
        <f t="shared" si="2"/>
        <v>800</v>
      </c>
    </row>
    <row r="59" spans="1:63" ht="15" customHeight="1" x14ac:dyDescent="0.2">
      <c r="A59" s="24" t="s">
        <v>331</v>
      </c>
      <c r="B59" s="114">
        <v>42277</v>
      </c>
      <c r="C59" s="36">
        <f>HLOOKUP(B59,'Other Costs'!$E$3:$AB$22,MATCH("Accounting fees",'Other Costs'!$B$3:$B$1048576,0),0)</f>
        <v>100</v>
      </c>
      <c r="D59" s="36">
        <v>0</v>
      </c>
      <c r="F59" s="33">
        <f t="shared" si="2"/>
        <v>900</v>
      </c>
    </row>
    <row r="60" spans="1:63" ht="15" customHeight="1" x14ac:dyDescent="0.2">
      <c r="A60" s="24" t="s">
        <v>331</v>
      </c>
      <c r="B60" s="114">
        <v>42308</v>
      </c>
      <c r="C60" s="36">
        <f>HLOOKUP(B60,'Other Costs'!$E$3:$AB$22,MATCH("Accounting fees",'Other Costs'!$B$3:$B$1048576,0),0)</f>
        <v>100</v>
      </c>
      <c r="D60" s="36">
        <v>0</v>
      </c>
      <c r="F60" s="33">
        <f t="shared" si="2"/>
        <v>1000</v>
      </c>
    </row>
    <row r="61" spans="1:63" ht="15" customHeight="1" x14ac:dyDescent="0.2">
      <c r="A61" s="24" t="s">
        <v>331</v>
      </c>
      <c r="B61" s="114">
        <v>42338</v>
      </c>
      <c r="C61" s="36">
        <f>HLOOKUP(B61,'Other Costs'!$E$3:$AB$22,MATCH("Accounting fees",'Other Costs'!$B$3:$B$1048576,0),0)</f>
        <v>100</v>
      </c>
      <c r="D61" s="36">
        <v>0</v>
      </c>
      <c r="F61" s="33">
        <f t="shared" si="2"/>
        <v>1100</v>
      </c>
    </row>
    <row r="62" spans="1:63" ht="15" customHeight="1" x14ac:dyDescent="0.2">
      <c r="A62" s="24" t="s">
        <v>331</v>
      </c>
      <c r="B62" s="114">
        <v>42369</v>
      </c>
      <c r="C62" s="36">
        <f>HLOOKUP(B62,'Other Costs'!$E$3:$AB$22,MATCH("Accounting fees",'Other Costs'!$B$3:$B$1048576,0),0)</f>
        <v>100</v>
      </c>
      <c r="D62" s="36">
        <v>0</v>
      </c>
      <c r="F62" s="33">
        <f t="shared" si="2"/>
        <v>1200</v>
      </c>
    </row>
    <row r="63" spans="1:63" ht="15" customHeight="1" x14ac:dyDescent="0.2">
      <c r="C63" s="33"/>
    </row>
    <row r="64" spans="1:63" ht="15" customHeight="1" x14ac:dyDescent="0.2">
      <c r="B64" s="25" t="s">
        <v>327</v>
      </c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</row>
    <row r="65" spans="1:63" ht="15" customHeight="1" x14ac:dyDescent="0.2">
      <c r="B65" s="112" t="s">
        <v>64</v>
      </c>
      <c r="C65" s="112" t="s">
        <v>69</v>
      </c>
      <c r="D65" s="112" t="s">
        <v>70</v>
      </c>
      <c r="E65" s="112"/>
      <c r="F65" s="112" t="s">
        <v>171</v>
      </c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</row>
    <row r="66" spans="1:63" ht="15" customHeight="1" x14ac:dyDescent="0.2">
      <c r="A66" s="24" t="s">
        <v>332</v>
      </c>
      <c r="B66" s="114">
        <v>41670</v>
      </c>
      <c r="C66" s="36">
        <v>0</v>
      </c>
      <c r="D66" s="36">
        <v>300</v>
      </c>
      <c r="F66" s="33">
        <f>D66</f>
        <v>300</v>
      </c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</row>
    <row r="67" spans="1:63" ht="15" customHeight="1" x14ac:dyDescent="0.2">
      <c r="A67" s="24" t="s">
        <v>332</v>
      </c>
      <c r="B67" s="114">
        <v>41698</v>
      </c>
      <c r="C67" s="36">
        <v>100</v>
      </c>
      <c r="D67" s="36"/>
      <c r="F67" s="33">
        <f t="shared" ref="F67:F89" si="3">F66-C67+D67</f>
        <v>200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</row>
    <row r="68" spans="1:63" ht="15" customHeight="1" x14ac:dyDescent="0.2">
      <c r="A68" s="24" t="s">
        <v>332</v>
      </c>
      <c r="B68" s="114">
        <v>41729</v>
      </c>
      <c r="C68" s="36">
        <v>100</v>
      </c>
      <c r="D68" s="36"/>
      <c r="F68" s="33">
        <f t="shared" si="3"/>
        <v>100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</row>
    <row r="69" spans="1:63" ht="15" customHeight="1" x14ac:dyDescent="0.2">
      <c r="A69" s="24" t="s">
        <v>332</v>
      </c>
      <c r="B69" s="114">
        <v>41759</v>
      </c>
      <c r="C69" s="36">
        <v>100</v>
      </c>
      <c r="D69" s="36">
        <v>300</v>
      </c>
      <c r="F69" s="33">
        <f t="shared" si="3"/>
        <v>300</v>
      </c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</row>
    <row r="70" spans="1:63" ht="15" customHeight="1" x14ac:dyDescent="0.2">
      <c r="A70" s="24" t="s">
        <v>332</v>
      </c>
      <c r="B70" s="114">
        <v>41790</v>
      </c>
      <c r="C70" s="36">
        <v>100</v>
      </c>
      <c r="D70" s="36"/>
      <c r="F70" s="33">
        <f t="shared" si="3"/>
        <v>200</v>
      </c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</row>
    <row r="71" spans="1:63" ht="15" customHeight="1" x14ac:dyDescent="0.2">
      <c r="A71" s="24" t="s">
        <v>332</v>
      </c>
      <c r="B71" s="114">
        <v>41820</v>
      </c>
      <c r="C71" s="36">
        <v>100</v>
      </c>
      <c r="D71" s="36"/>
      <c r="F71" s="33">
        <f t="shared" si="3"/>
        <v>100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</row>
    <row r="72" spans="1:63" ht="15" customHeight="1" x14ac:dyDescent="0.2">
      <c r="A72" s="24" t="s">
        <v>332</v>
      </c>
      <c r="B72" s="114">
        <v>41851</v>
      </c>
      <c r="C72" s="36">
        <v>100</v>
      </c>
      <c r="D72" s="36">
        <v>300</v>
      </c>
      <c r="F72" s="33">
        <f t="shared" si="3"/>
        <v>300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</row>
    <row r="73" spans="1:63" ht="15" customHeight="1" x14ac:dyDescent="0.2">
      <c r="A73" s="24" t="s">
        <v>332</v>
      </c>
      <c r="B73" s="114">
        <v>41882</v>
      </c>
      <c r="C73" s="36">
        <v>100</v>
      </c>
      <c r="D73" s="36"/>
      <c r="F73" s="33">
        <f t="shared" si="3"/>
        <v>200</v>
      </c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</row>
    <row r="74" spans="1:63" ht="15" customHeight="1" x14ac:dyDescent="0.2">
      <c r="A74" s="24" t="s">
        <v>332</v>
      </c>
      <c r="B74" s="114">
        <v>41912</v>
      </c>
      <c r="C74" s="36">
        <v>100</v>
      </c>
      <c r="D74" s="36"/>
      <c r="F74" s="33">
        <f t="shared" si="3"/>
        <v>100</v>
      </c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</row>
    <row r="75" spans="1:63" ht="15" customHeight="1" x14ac:dyDescent="0.2">
      <c r="A75" s="24" t="s">
        <v>332</v>
      </c>
      <c r="B75" s="114">
        <v>41943</v>
      </c>
      <c r="C75" s="36">
        <v>100</v>
      </c>
      <c r="D75" s="36">
        <v>300</v>
      </c>
      <c r="F75" s="33">
        <f t="shared" si="3"/>
        <v>300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</row>
    <row r="76" spans="1:63" ht="15" customHeight="1" x14ac:dyDescent="0.2">
      <c r="A76" s="24" t="s">
        <v>332</v>
      </c>
      <c r="B76" s="114">
        <v>41973</v>
      </c>
      <c r="C76" s="36">
        <v>100</v>
      </c>
      <c r="D76" s="36"/>
      <c r="F76" s="33">
        <f t="shared" si="3"/>
        <v>200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</row>
    <row r="77" spans="1:63" ht="15" customHeight="1" x14ac:dyDescent="0.2">
      <c r="A77" s="24" t="s">
        <v>332</v>
      </c>
      <c r="B77" s="114">
        <v>42004</v>
      </c>
      <c r="C77" s="36">
        <v>100</v>
      </c>
      <c r="D77" s="36"/>
      <c r="F77" s="33">
        <f t="shared" si="3"/>
        <v>100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</row>
    <row r="78" spans="1:63" ht="15" customHeight="1" x14ac:dyDescent="0.2">
      <c r="A78" s="24" t="s">
        <v>332</v>
      </c>
      <c r="B78" s="114">
        <v>42035</v>
      </c>
      <c r="C78" s="36">
        <v>100</v>
      </c>
      <c r="D78" s="36">
        <v>300</v>
      </c>
      <c r="F78" s="33">
        <f t="shared" si="3"/>
        <v>300</v>
      </c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</row>
    <row r="79" spans="1:63" ht="15" customHeight="1" x14ac:dyDescent="0.2">
      <c r="A79" s="24" t="s">
        <v>332</v>
      </c>
      <c r="B79" s="114">
        <v>42063</v>
      </c>
      <c r="C79" s="36">
        <v>100</v>
      </c>
      <c r="D79" s="36"/>
      <c r="F79" s="33">
        <f t="shared" si="3"/>
        <v>200</v>
      </c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</row>
    <row r="80" spans="1:63" ht="15" customHeight="1" x14ac:dyDescent="0.2">
      <c r="A80" s="24" t="s">
        <v>332</v>
      </c>
      <c r="B80" s="114">
        <v>42094</v>
      </c>
      <c r="C80" s="36">
        <v>100</v>
      </c>
      <c r="D80" s="36"/>
      <c r="F80" s="33">
        <f t="shared" si="3"/>
        <v>100</v>
      </c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</row>
    <row r="81" spans="1:63" ht="15" customHeight="1" x14ac:dyDescent="0.2">
      <c r="A81" s="24" t="s">
        <v>332</v>
      </c>
      <c r="B81" s="114">
        <v>42124</v>
      </c>
      <c r="C81" s="36">
        <v>100</v>
      </c>
      <c r="D81" s="36">
        <v>300</v>
      </c>
      <c r="F81" s="33">
        <f t="shared" si="3"/>
        <v>300</v>
      </c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</row>
    <row r="82" spans="1:63" ht="15" customHeight="1" x14ac:dyDescent="0.2">
      <c r="A82" s="24" t="s">
        <v>332</v>
      </c>
      <c r="B82" s="114">
        <v>42155</v>
      </c>
      <c r="C82" s="36">
        <v>100</v>
      </c>
      <c r="D82" s="36"/>
      <c r="F82" s="33">
        <f t="shared" si="3"/>
        <v>200</v>
      </c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</row>
    <row r="83" spans="1:63" ht="15" customHeight="1" x14ac:dyDescent="0.2">
      <c r="A83" s="24" t="s">
        <v>332</v>
      </c>
      <c r="B83" s="114">
        <v>42185</v>
      </c>
      <c r="C83" s="36">
        <v>100</v>
      </c>
      <c r="D83" s="36"/>
      <c r="F83" s="33">
        <f t="shared" si="3"/>
        <v>100</v>
      </c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</row>
    <row r="84" spans="1:63" ht="15" customHeight="1" x14ac:dyDescent="0.2">
      <c r="A84" s="24" t="s">
        <v>332</v>
      </c>
      <c r="B84" s="114">
        <v>42216</v>
      </c>
      <c r="C84" s="36">
        <v>100</v>
      </c>
      <c r="D84" s="36">
        <v>300</v>
      </c>
      <c r="F84" s="33">
        <f t="shared" si="3"/>
        <v>300</v>
      </c>
      <c r="G84" s="108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</row>
    <row r="85" spans="1:63" ht="15" customHeight="1" x14ac:dyDescent="0.2">
      <c r="A85" s="24" t="s">
        <v>332</v>
      </c>
      <c r="B85" s="114">
        <v>42247</v>
      </c>
      <c r="C85" s="36">
        <v>100</v>
      </c>
      <c r="D85" s="36"/>
      <c r="F85" s="33">
        <f t="shared" si="3"/>
        <v>200</v>
      </c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</row>
    <row r="86" spans="1:63" ht="15" customHeight="1" x14ac:dyDescent="0.2">
      <c r="A86" s="24" t="s">
        <v>332</v>
      </c>
      <c r="B86" s="114">
        <v>42277</v>
      </c>
      <c r="C86" s="36">
        <v>100</v>
      </c>
      <c r="D86" s="36"/>
      <c r="F86" s="33">
        <f t="shared" si="3"/>
        <v>100</v>
      </c>
      <c r="G86" s="108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</row>
    <row r="87" spans="1:63" ht="15" customHeight="1" x14ac:dyDescent="0.2">
      <c r="A87" s="24" t="s">
        <v>332</v>
      </c>
      <c r="B87" s="114">
        <v>42308</v>
      </c>
      <c r="C87" s="36">
        <v>100</v>
      </c>
      <c r="D87" s="36">
        <v>300</v>
      </c>
      <c r="F87" s="33">
        <f t="shared" si="3"/>
        <v>300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</row>
    <row r="88" spans="1:63" ht="15" customHeight="1" x14ac:dyDescent="0.2">
      <c r="A88" s="24" t="s">
        <v>332</v>
      </c>
      <c r="B88" s="114">
        <v>42338</v>
      </c>
      <c r="C88" s="36">
        <v>100</v>
      </c>
      <c r="D88" s="36"/>
      <c r="F88" s="33">
        <f t="shared" si="3"/>
        <v>200</v>
      </c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</row>
    <row r="89" spans="1:63" ht="15" customHeight="1" x14ac:dyDescent="0.2">
      <c r="A89" s="24" t="s">
        <v>332</v>
      </c>
      <c r="B89" s="114">
        <v>42369</v>
      </c>
      <c r="C89" s="36">
        <v>100</v>
      </c>
      <c r="D89" s="36"/>
      <c r="F89" s="33">
        <f t="shared" si="3"/>
        <v>100</v>
      </c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</row>
    <row r="90" spans="1:63" ht="15" customHeight="1" x14ac:dyDescent="0.2"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</row>
    <row r="91" spans="1:63" ht="15" customHeight="1" x14ac:dyDescent="0.2">
      <c r="B91" s="25" t="s">
        <v>328</v>
      </c>
      <c r="D91" s="181">
        <v>7.7700000000000005E-2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</row>
    <row r="92" spans="1:63" ht="15" customHeight="1" x14ac:dyDescent="0.2">
      <c r="B92" s="112" t="s">
        <v>64</v>
      </c>
      <c r="C92" s="112" t="s">
        <v>63</v>
      </c>
      <c r="D92" s="112" t="s">
        <v>14</v>
      </c>
      <c r="E92" s="112" t="s">
        <v>89</v>
      </c>
      <c r="F92" s="112" t="s">
        <v>88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</row>
    <row r="93" spans="1:63" ht="15" customHeight="1" x14ac:dyDescent="0.2">
      <c r="B93" s="116" t="s">
        <v>90</v>
      </c>
      <c r="C93" s="109"/>
      <c r="D93" s="109"/>
      <c r="E93" s="109"/>
      <c r="F93" s="183">
        <v>1000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</row>
    <row r="94" spans="1:63" ht="15" customHeight="1" x14ac:dyDescent="0.2">
      <c r="A94" s="24" t="s">
        <v>333</v>
      </c>
      <c r="B94" s="114">
        <v>41670</v>
      </c>
      <c r="C94" s="183">
        <v>50</v>
      </c>
      <c r="D94" s="109">
        <f>ROUND((F93*$D$91)/12*2,2)</f>
        <v>12.95</v>
      </c>
      <c r="E94" s="109">
        <f>C94-D94</f>
        <v>37.049999999999997</v>
      </c>
      <c r="F94" s="109">
        <f>F93-E94</f>
        <v>962.95</v>
      </c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</row>
    <row r="95" spans="1:63" ht="15" customHeight="1" x14ac:dyDescent="0.2">
      <c r="A95" s="24" t="s">
        <v>333</v>
      </c>
      <c r="B95" s="114">
        <v>41698</v>
      </c>
      <c r="C95" s="183">
        <f>C94</f>
        <v>50</v>
      </c>
      <c r="D95" s="109">
        <f t="shared" ref="D95:D117" si="4">ROUND((F94*$D$91)/12*2,2)</f>
        <v>12.47</v>
      </c>
      <c r="E95" s="109">
        <f t="shared" ref="E95:E117" si="5">C95-D95</f>
        <v>37.53</v>
      </c>
      <c r="F95" s="109">
        <f t="shared" ref="F95:F117" si="6">F94-E95</f>
        <v>925.42000000000007</v>
      </c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</row>
    <row r="96" spans="1:63" ht="15" customHeight="1" x14ac:dyDescent="0.2">
      <c r="A96" s="24" t="s">
        <v>333</v>
      </c>
      <c r="B96" s="114">
        <v>41729</v>
      </c>
      <c r="C96" s="183">
        <f t="shared" ref="C96:C116" si="7">C95</f>
        <v>50</v>
      </c>
      <c r="D96" s="109">
        <f t="shared" si="4"/>
        <v>11.98</v>
      </c>
      <c r="E96" s="109">
        <f t="shared" si="5"/>
        <v>38.019999999999996</v>
      </c>
      <c r="F96" s="109">
        <f t="shared" si="6"/>
        <v>887.40000000000009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</row>
    <row r="97" spans="1:63" ht="15" customHeight="1" x14ac:dyDescent="0.2">
      <c r="A97" s="24" t="s">
        <v>333</v>
      </c>
      <c r="B97" s="114">
        <v>41759</v>
      </c>
      <c r="C97" s="183">
        <f t="shared" si="7"/>
        <v>50</v>
      </c>
      <c r="D97" s="109">
        <f t="shared" si="4"/>
        <v>11.49</v>
      </c>
      <c r="E97" s="109">
        <f t="shared" si="5"/>
        <v>38.51</v>
      </c>
      <c r="F97" s="109">
        <f t="shared" si="6"/>
        <v>848.8900000000001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</row>
    <row r="98" spans="1:63" ht="15" customHeight="1" x14ac:dyDescent="0.2">
      <c r="A98" s="24" t="s">
        <v>333</v>
      </c>
      <c r="B98" s="114">
        <v>41790</v>
      </c>
      <c r="C98" s="183">
        <f t="shared" si="7"/>
        <v>50</v>
      </c>
      <c r="D98" s="109">
        <f t="shared" si="4"/>
        <v>10.99</v>
      </c>
      <c r="E98" s="109">
        <f t="shared" si="5"/>
        <v>39.01</v>
      </c>
      <c r="F98" s="109">
        <f t="shared" si="6"/>
        <v>809.88000000000011</v>
      </c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</row>
    <row r="99" spans="1:63" ht="15" customHeight="1" x14ac:dyDescent="0.2">
      <c r="A99" s="24" t="s">
        <v>333</v>
      </c>
      <c r="B99" s="114">
        <v>41820</v>
      </c>
      <c r="C99" s="183">
        <f t="shared" si="7"/>
        <v>50</v>
      </c>
      <c r="D99" s="109">
        <f t="shared" si="4"/>
        <v>10.49</v>
      </c>
      <c r="E99" s="109">
        <f t="shared" si="5"/>
        <v>39.51</v>
      </c>
      <c r="F99" s="109">
        <f t="shared" si="6"/>
        <v>770.37000000000012</v>
      </c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</row>
    <row r="100" spans="1:63" ht="15" customHeight="1" x14ac:dyDescent="0.2">
      <c r="A100" s="24" t="s">
        <v>333</v>
      </c>
      <c r="B100" s="114">
        <v>41851</v>
      </c>
      <c r="C100" s="183">
        <f t="shared" si="7"/>
        <v>50</v>
      </c>
      <c r="D100" s="109">
        <f t="shared" si="4"/>
        <v>9.98</v>
      </c>
      <c r="E100" s="109">
        <f t="shared" si="5"/>
        <v>40.019999999999996</v>
      </c>
      <c r="F100" s="109">
        <f t="shared" si="6"/>
        <v>730.35000000000014</v>
      </c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</row>
    <row r="101" spans="1:63" ht="15" customHeight="1" x14ac:dyDescent="0.2">
      <c r="A101" s="24" t="s">
        <v>333</v>
      </c>
      <c r="B101" s="114">
        <v>41882</v>
      </c>
      <c r="C101" s="183">
        <f t="shared" si="7"/>
        <v>50</v>
      </c>
      <c r="D101" s="109">
        <f t="shared" si="4"/>
        <v>9.4600000000000009</v>
      </c>
      <c r="E101" s="109">
        <f t="shared" si="5"/>
        <v>40.54</v>
      </c>
      <c r="F101" s="109">
        <f t="shared" si="6"/>
        <v>689.81000000000017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</row>
    <row r="102" spans="1:63" ht="15" customHeight="1" x14ac:dyDescent="0.2">
      <c r="A102" s="24" t="s">
        <v>333</v>
      </c>
      <c r="B102" s="114">
        <v>41912</v>
      </c>
      <c r="C102" s="183">
        <f t="shared" si="7"/>
        <v>50</v>
      </c>
      <c r="D102" s="109">
        <f t="shared" si="4"/>
        <v>8.93</v>
      </c>
      <c r="E102" s="109">
        <f t="shared" si="5"/>
        <v>41.07</v>
      </c>
      <c r="F102" s="109">
        <f t="shared" si="6"/>
        <v>648.74000000000012</v>
      </c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</row>
    <row r="103" spans="1:63" ht="15" customHeight="1" x14ac:dyDescent="0.2">
      <c r="A103" s="24" t="s">
        <v>333</v>
      </c>
      <c r="B103" s="114">
        <v>41943</v>
      </c>
      <c r="C103" s="183">
        <f t="shared" si="7"/>
        <v>50</v>
      </c>
      <c r="D103" s="109">
        <f t="shared" si="4"/>
        <v>8.4</v>
      </c>
      <c r="E103" s="109">
        <f t="shared" si="5"/>
        <v>41.6</v>
      </c>
      <c r="F103" s="109">
        <f t="shared" si="6"/>
        <v>607.1400000000001</v>
      </c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</row>
    <row r="104" spans="1:63" ht="15" customHeight="1" x14ac:dyDescent="0.2">
      <c r="A104" s="24" t="s">
        <v>333</v>
      </c>
      <c r="B104" s="114">
        <v>41973</v>
      </c>
      <c r="C104" s="183">
        <f t="shared" si="7"/>
        <v>50</v>
      </c>
      <c r="D104" s="109">
        <f t="shared" si="4"/>
        <v>7.86</v>
      </c>
      <c r="E104" s="109">
        <f t="shared" si="5"/>
        <v>42.14</v>
      </c>
      <c r="F104" s="109">
        <f t="shared" si="6"/>
        <v>565.00000000000011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</row>
    <row r="105" spans="1:63" ht="15" customHeight="1" x14ac:dyDescent="0.2">
      <c r="A105" s="24" t="s">
        <v>333</v>
      </c>
      <c r="B105" s="114">
        <v>42004</v>
      </c>
      <c r="C105" s="183">
        <f t="shared" si="7"/>
        <v>50</v>
      </c>
      <c r="D105" s="109">
        <f t="shared" si="4"/>
        <v>7.32</v>
      </c>
      <c r="E105" s="109">
        <f t="shared" si="5"/>
        <v>42.68</v>
      </c>
      <c r="F105" s="109">
        <f t="shared" si="6"/>
        <v>522.32000000000016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</row>
    <row r="106" spans="1:63" ht="15" customHeight="1" x14ac:dyDescent="0.2">
      <c r="A106" s="24" t="s">
        <v>333</v>
      </c>
      <c r="B106" s="114">
        <v>42035</v>
      </c>
      <c r="C106" s="183">
        <f t="shared" si="7"/>
        <v>50</v>
      </c>
      <c r="D106" s="109">
        <f t="shared" si="4"/>
        <v>6.76</v>
      </c>
      <c r="E106" s="109">
        <f t="shared" si="5"/>
        <v>43.24</v>
      </c>
      <c r="F106" s="109">
        <f t="shared" si="6"/>
        <v>479.08000000000015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</row>
    <row r="107" spans="1:63" ht="15" customHeight="1" x14ac:dyDescent="0.2">
      <c r="A107" s="24" t="s">
        <v>333</v>
      </c>
      <c r="B107" s="114">
        <v>42063</v>
      </c>
      <c r="C107" s="183">
        <f t="shared" si="7"/>
        <v>50</v>
      </c>
      <c r="D107" s="109">
        <f t="shared" si="4"/>
        <v>6.2</v>
      </c>
      <c r="E107" s="109">
        <f t="shared" si="5"/>
        <v>43.8</v>
      </c>
      <c r="F107" s="109">
        <f t="shared" si="6"/>
        <v>435.28000000000014</v>
      </c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</row>
    <row r="108" spans="1:63" ht="15" customHeight="1" x14ac:dyDescent="0.2">
      <c r="A108" s="24" t="s">
        <v>333</v>
      </c>
      <c r="B108" s="114">
        <v>42094</v>
      </c>
      <c r="C108" s="183">
        <f t="shared" si="7"/>
        <v>50</v>
      </c>
      <c r="D108" s="109">
        <f t="shared" si="4"/>
        <v>5.64</v>
      </c>
      <c r="E108" s="109">
        <f t="shared" si="5"/>
        <v>44.36</v>
      </c>
      <c r="F108" s="109">
        <f t="shared" si="6"/>
        <v>390.92000000000013</v>
      </c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</row>
    <row r="109" spans="1:63" ht="15" customHeight="1" x14ac:dyDescent="0.2">
      <c r="A109" s="24" t="s">
        <v>333</v>
      </c>
      <c r="B109" s="114">
        <v>42124</v>
      </c>
      <c r="C109" s="183">
        <f t="shared" si="7"/>
        <v>50</v>
      </c>
      <c r="D109" s="109">
        <f t="shared" si="4"/>
        <v>5.0599999999999996</v>
      </c>
      <c r="E109" s="109">
        <f t="shared" si="5"/>
        <v>44.94</v>
      </c>
      <c r="F109" s="109">
        <f t="shared" si="6"/>
        <v>345.98000000000013</v>
      </c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</row>
    <row r="110" spans="1:63" ht="15" customHeight="1" x14ac:dyDescent="0.2">
      <c r="A110" s="24" t="s">
        <v>333</v>
      </c>
      <c r="B110" s="114">
        <v>42155</v>
      </c>
      <c r="C110" s="183">
        <f t="shared" si="7"/>
        <v>50</v>
      </c>
      <c r="D110" s="109">
        <f t="shared" si="4"/>
        <v>4.4800000000000004</v>
      </c>
      <c r="E110" s="109">
        <f t="shared" si="5"/>
        <v>45.519999999999996</v>
      </c>
      <c r="F110" s="109">
        <f t="shared" si="6"/>
        <v>300.46000000000015</v>
      </c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</row>
    <row r="111" spans="1:63" ht="15" customHeight="1" x14ac:dyDescent="0.2">
      <c r="A111" s="24" t="s">
        <v>333</v>
      </c>
      <c r="B111" s="114">
        <v>42185</v>
      </c>
      <c r="C111" s="183">
        <f t="shared" si="7"/>
        <v>50</v>
      </c>
      <c r="D111" s="109">
        <f t="shared" si="4"/>
        <v>3.89</v>
      </c>
      <c r="E111" s="109">
        <f t="shared" si="5"/>
        <v>46.11</v>
      </c>
      <c r="F111" s="109">
        <f t="shared" si="6"/>
        <v>254.35000000000014</v>
      </c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</row>
    <row r="112" spans="1:63" ht="15" customHeight="1" x14ac:dyDescent="0.2">
      <c r="A112" s="24" t="s">
        <v>333</v>
      </c>
      <c r="B112" s="114">
        <v>42216</v>
      </c>
      <c r="C112" s="183">
        <f t="shared" si="7"/>
        <v>50</v>
      </c>
      <c r="D112" s="109">
        <f t="shared" si="4"/>
        <v>3.29</v>
      </c>
      <c r="E112" s="109">
        <f t="shared" si="5"/>
        <v>46.71</v>
      </c>
      <c r="F112" s="109">
        <f t="shared" si="6"/>
        <v>207.64000000000013</v>
      </c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</row>
    <row r="113" spans="1:63" ht="15" customHeight="1" x14ac:dyDescent="0.2">
      <c r="A113" s="24" t="s">
        <v>333</v>
      </c>
      <c r="B113" s="114">
        <v>42247</v>
      </c>
      <c r="C113" s="183">
        <f t="shared" si="7"/>
        <v>50</v>
      </c>
      <c r="D113" s="109">
        <f t="shared" si="4"/>
        <v>2.69</v>
      </c>
      <c r="E113" s="109">
        <f t="shared" si="5"/>
        <v>47.31</v>
      </c>
      <c r="F113" s="109">
        <f t="shared" si="6"/>
        <v>160.33000000000013</v>
      </c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</row>
    <row r="114" spans="1:63" ht="15" customHeight="1" x14ac:dyDescent="0.2">
      <c r="A114" s="24" t="s">
        <v>333</v>
      </c>
      <c r="B114" s="114">
        <v>42277</v>
      </c>
      <c r="C114" s="183">
        <f t="shared" si="7"/>
        <v>50</v>
      </c>
      <c r="D114" s="109">
        <f t="shared" si="4"/>
        <v>2.08</v>
      </c>
      <c r="E114" s="109">
        <f t="shared" si="5"/>
        <v>47.92</v>
      </c>
      <c r="F114" s="109">
        <f t="shared" si="6"/>
        <v>112.41000000000012</v>
      </c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</row>
    <row r="115" spans="1:63" ht="15" customHeight="1" x14ac:dyDescent="0.2">
      <c r="A115" s="24" t="s">
        <v>333</v>
      </c>
      <c r="B115" s="114">
        <v>42308</v>
      </c>
      <c r="C115" s="183">
        <f t="shared" si="7"/>
        <v>50</v>
      </c>
      <c r="D115" s="109">
        <f t="shared" si="4"/>
        <v>1.46</v>
      </c>
      <c r="E115" s="109">
        <f t="shared" si="5"/>
        <v>48.54</v>
      </c>
      <c r="F115" s="109">
        <f t="shared" si="6"/>
        <v>63.870000000000125</v>
      </c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</row>
    <row r="116" spans="1:63" ht="15" customHeight="1" x14ac:dyDescent="0.2">
      <c r="A116" s="24" t="s">
        <v>333</v>
      </c>
      <c r="B116" s="114">
        <v>42338</v>
      </c>
      <c r="C116" s="183">
        <f t="shared" si="7"/>
        <v>50</v>
      </c>
      <c r="D116" s="109">
        <f t="shared" si="4"/>
        <v>0.83</v>
      </c>
      <c r="E116" s="109">
        <f t="shared" si="5"/>
        <v>49.17</v>
      </c>
      <c r="F116" s="109">
        <f t="shared" si="6"/>
        <v>14.700000000000124</v>
      </c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</row>
    <row r="117" spans="1:63" ht="15" customHeight="1" x14ac:dyDescent="0.2">
      <c r="A117" s="24" t="s">
        <v>333</v>
      </c>
      <c r="B117" s="114">
        <v>42369</v>
      </c>
      <c r="C117" s="183">
        <v>14.89</v>
      </c>
      <c r="D117" s="109">
        <f t="shared" si="4"/>
        <v>0.19</v>
      </c>
      <c r="E117" s="109">
        <f t="shared" si="5"/>
        <v>14.700000000000001</v>
      </c>
      <c r="F117" s="109">
        <f t="shared" si="6"/>
        <v>1.2256862191861728E-13</v>
      </c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</row>
    <row r="118" spans="1:63" ht="15" customHeight="1" x14ac:dyDescent="0.2"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</row>
    <row r="119" spans="1:63" ht="15" customHeight="1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</row>
    <row r="120" spans="1:63" ht="15" customHeight="1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</row>
    <row r="121" spans="1:63" ht="15" customHeight="1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</row>
    <row r="122" spans="1:63" ht="15" customHeight="1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</row>
    <row r="123" spans="1:63" ht="15" customHeight="1" x14ac:dyDescent="0.2"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</row>
    <row r="124" spans="1:63" ht="15" customHeight="1" x14ac:dyDescent="0.2"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</row>
    <row r="125" spans="1:63" ht="15" customHeight="1" x14ac:dyDescent="0.2"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</row>
    <row r="126" spans="1:63" ht="15" customHeight="1" x14ac:dyDescent="0.2"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</row>
    <row r="127" spans="1:63" ht="15" customHeight="1" x14ac:dyDescent="0.2"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</row>
    <row r="128" spans="1:63" ht="15" customHeight="1" x14ac:dyDescent="0.2"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</row>
    <row r="129" spans="3:63" ht="15" customHeight="1" x14ac:dyDescent="0.2"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</row>
    <row r="130" spans="3:63" ht="15" customHeight="1" x14ac:dyDescent="0.2"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</row>
    <row r="131" spans="3:63" ht="15" customHeight="1" x14ac:dyDescent="0.2"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</row>
    <row r="132" spans="3:63" ht="15" customHeight="1" x14ac:dyDescent="0.2"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</row>
    <row r="133" spans="3:63" ht="15" customHeight="1" x14ac:dyDescent="0.2"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</row>
    <row r="134" spans="3:63" ht="15" customHeight="1" x14ac:dyDescent="0.2"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</row>
    <row r="135" spans="3:63" ht="15" customHeight="1" x14ac:dyDescent="0.2"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</row>
    <row r="136" spans="3:63" ht="15" customHeight="1" x14ac:dyDescent="0.2"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</row>
    <row r="137" spans="3:63" ht="15" customHeight="1" x14ac:dyDescent="0.2"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</row>
    <row r="138" spans="3:63" ht="15" customHeight="1" x14ac:dyDescent="0.2"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</row>
    <row r="139" spans="3:63" ht="15" customHeight="1" x14ac:dyDescent="0.2"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</row>
    <row r="140" spans="3:63" ht="15" customHeight="1" x14ac:dyDescent="0.2"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</row>
    <row r="141" spans="3:63" ht="15" customHeight="1" x14ac:dyDescent="0.2"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</row>
    <row r="142" spans="3:63" ht="15" customHeight="1" x14ac:dyDescent="0.2"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</row>
    <row r="143" spans="3:63" ht="15" customHeight="1" x14ac:dyDescent="0.2"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</row>
    <row r="144" spans="3:63" ht="15" customHeight="1" x14ac:dyDescent="0.2"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</row>
    <row r="145" spans="3:63" ht="15" customHeight="1" x14ac:dyDescent="0.2"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</row>
    <row r="146" spans="3:63" ht="15" customHeight="1" x14ac:dyDescent="0.2"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</row>
    <row r="147" spans="3:63" ht="15" customHeight="1" x14ac:dyDescent="0.2"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</row>
    <row r="148" spans="3:63" ht="15" customHeight="1" x14ac:dyDescent="0.2"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</row>
    <row r="149" spans="3:63" ht="15" customHeight="1" x14ac:dyDescent="0.2"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</row>
    <row r="150" spans="3:63" ht="15" customHeight="1" x14ac:dyDescent="0.2"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</row>
    <row r="151" spans="3:63" ht="15" customHeight="1" x14ac:dyDescent="0.2"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</row>
    <row r="152" spans="3:63" ht="15" customHeight="1" x14ac:dyDescent="0.2"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</row>
    <row r="153" spans="3:63" ht="15" customHeight="1" x14ac:dyDescent="0.2"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</row>
    <row r="154" spans="3:63" ht="15" customHeight="1" x14ac:dyDescent="0.2"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</row>
    <row r="155" spans="3:63" ht="15" customHeight="1" x14ac:dyDescent="0.2"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</row>
    <row r="156" spans="3:63" ht="15" customHeight="1" x14ac:dyDescent="0.2"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</row>
    <row r="157" spans="3:63" ht="15" customHeight="1" x14ac:dyDescent="0.2"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</row>
    <row r="158" spans="3:63" ht="15" customHeight="1" x14ac:dyDescent="0.2"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</row>
    <row r="159" spans="3:63" ht="15" customHeight="1" x14ac:dyDescent="0.2"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</row>
    <row r="160" spans="3:63" ht="15" customHeight="1" x14ac:dyDescent="0.2"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</row>
    <row r="161" spans="3:63" ht="15" customHeight="1" x14ac:dyDescent="0.2"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</row>
    <row r="162" spans="3:63" ht="15" customHeight="1" x14ac:dyDescent="0.2"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</row>
    <row r="163" spans="3:63" ht="15" customHeight="1" x14ac:dyDescent="0.2"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</row>
    <row r="164" spans="3:63" ht="15" customHeight="1" x14ac:dyDescent="0.2"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</row>
    <row r="165" spans="3:63" ht="15" customHeight="1" x14ac:dyDescent="0.2"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</row>
    <row r="166" spans="3:63" ht="15" customHeight="1" x14ac:dyDescent="0.2"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</row>
    <row r="167" spans="3:63" ht="15" customHeight="1" x14ac:dyDescent="0.2"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</row>
    <row r="168" spans="3:63" ht="15" customHeight="1" x14ac:dyDescent="0.2"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</row>
    <row r="169" spans="3:63" ht="15" customHeight="1" x14ac:dyDescent="0.2"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</row>
    <row r="170" spans="3:63" ht="15" customHeight="1" x14ac:dyDescent="0.2"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</row>
    <row r="171" spans="3:63" ht="15" customHeight="1" x14ac:dyDescent="0.2"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</row>
    <row r="172" spans="3:63" ht="15" customHeight="1" x14ac:dyDescent="0.2"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</row>
    <row r="173" spans="3:63" ht="15" customHeight="1" x14ac:dyDescent="0.2"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</row>
    <row r="174" spans="3:63" ht="15" customHeight="1" x14ac:dyDescent="0.2"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</row>
    <row r="175" spans="3:63" ht="15" customHeight="1" x14ac:dyDescent="0.2"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</row>
    <row r="176" spans="3:63" ht="15" customHeight="1" x14ac:dyDescent="0.2"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</row>
    <row r="177" spans="3:63" ht="15" customHeight="1" x14ac:dyDescent="0.2"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</row>
    <row r="178" spans="3:63" ht="15" customHeight="1" x14ac:dyDescent="0.2"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</row>
    <row r="179" spans="3:63" ht="15" customHeight="1" x14ac:dyDescent="0.2"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</row>
    <row r="180" spans="3:63" ht="15" customHeight="1" x14ac:dyDescent="0.2"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</row>
    <row r="181" spans="3:63" ht="15" customHeight="1" x14ac:dyDescent="0.2"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</row>
    <row r="182" spans="3:63" ht="15" customHeight="1" x14ac:dyDescent="0.2"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</row>
    <row r="183" spans="3:63" ht="15" customHeight="1" x14ac:dyDescent="0.2"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</row>
    <row r="184" spans="3:63" ht="15" customHeight="1" x14ac:dyDescent="0.2"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</row>
    <row r="185" spans="3:63" ht="15" customHeight="1" x14ac:dyDescent="0.2"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</row>
    <row r="186" spans="3:63" ht="15" customHeight="1" x14ac:dyDescent="0.2"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</row>
    <row r="187" spans="3:63" ht="15" customHeight="1" x14ac:dyDescent="0.2"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</row>
    <row r="188" spans="3:63" ht="15" customHeight="1" x14ac:dyDescent="0.2"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</row>
    <row r="189" spans="3:63" ht="15" customHeight="1" x14ac:dyDescent="0.2"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</row>
    <row r="190" spans="3:63" ht="15" customHeight="1" x14ac:dyDescent="0.2"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</row>
    <row r="191" spans="3:63" ht="15" customHeight="1" x14ac:dyDescent="0.2"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</row>
    <row r="192" spans="3:63" ht="15" customHeight="1" x14ac:dyDescent="0.2"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</row>
    <row r="193" spans="3:63" ht="15" customHeight="1" x14ac:dyDescent="0.2"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</row>
    <row r="194" spans="3:63" ht="15" customHeight="1" x14ac:dyDescent="0.2"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</row>
    <row r="195" spans="3:63" ht="15" customHeight="1" x14ac:dyDescent="0.2"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</row>
    <row r="196" spans="3:63" ht="15" customHeight="1" x14ac:dyDescent="0.2"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</row>
    <row r="197" spans="3:63" ht="15" customHeight="1" x14ac:dyDescent="0.2"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</row>
    <row r="198" spans="3:63" ht="15" customHeight="1" x14ac:dyDescent="0.2"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</row>
    <row r="199" spans="3:63" ht="15" customHeight="1" x14ac:dyDescent="0.2"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</row>
    <row r="200" spans="3:63" ht="15" customHeight="1" x14ac:dyDescent="0.2"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</row>
    <row r="201" spans="3:63" ht="15" customHeight="1" x14ac:dyDescent="0.2"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</row>
    <row r="202" spans="3:63" ht="15" customHeight="1" x14ac:dyDescent="0.2"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</row>
    <row r="203" spans="3:63" ht="15" customHeight="1" x14ac:dyDescent="0.2"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</row>
    <row r="204" spans="3:63" ht="15" customHeight="1" x14ac:dyDescent="0.2"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</row>
    <row r="205" spans="3:63" ht="15" customHeight="1" x14ac:dyDescent="0.2"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</row>
    <row r="206" spans="3:63" ht="15" customHeight="1" x14ac:dyDescent="0.2"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</row>
    <row r="207" spans="3:63" ht="15" customHeight="1" x14ac:dyDescent="0.2"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</row>
    <row r="208" spans="3:63" ht="15" customHeight="1" x14ac:dyDescent="0.2"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</row>
    <row r="209" spans="3:63" ht="15" customHeight="1" x14ac:dyDescent="0.2"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</row>
    <row r="210" spans="3:63" ht="15" customHeight="1" x14ac:dyDescent="0.2"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</row>
    <row r="211" spans="3:63" ht="15" customHeight="1" x14ac:dyDescent="0.2"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</row>
    <row r="212" spans="3:63" ht="15" customHeight="1" x14ac:dyDescent="0.2"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</row>
    <row r="213" spans="3:63" ht="15" customHeight="1" x14ac:dyDescent="0.2"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</row>
    <row r="214" spans="3:63" ht="15" customHeight="1" x14ac:dyDescent="0.2"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</row>
    <row r="215" spans="3:63" ht="15" customHeight="1" x14ac:dyDescent="0.2"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</row>
    <row r="216" spans="3:63" ht="15" customHeight="1" x14ac:dyDescent="0.2"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</row>
    <row r="217" spans="3:63" ht="15" customHeight="1" x14ac:dyDescent="0.2"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</row>
    <row r="218" spans="3:63" ht="15" customHeight="1" x14ac:dyDescent="0.2"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</row>
    <row r="219" spans="3:63" ht="15" customHeight="1" x14ac:dyDescent="0.2"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</row>
    <row r="220" spans="3:63" ht="15" customHeight="1" x14ac:dyDescent="0.2"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</row>
    <row r="221" spans="3:63" ht="15" customHeight="1" x14ac:dyDescent="0.2"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</row>
    <row r="222" spans="3:63" ht="15" customHeight="1" x14ac:dyDescent="0.2"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</row>
    <row r="223" spans="3:63" ht="15" customHeight="1" x14ac:dyDescent="0.2"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</row>
    <row r="224" spans="3:63" ht="15" customHeight="1" x14ac:dyDescent="0.2"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</row>
    <row r="225" spans="3:63" ht="15" customHeight="1" x14ac:dyDescent="0.2"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</row>
    <row r="226" spans="3:63" ht="15" customHeight="1" x14ac:dyDescent="0.2"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</row>
    <row r="227" spans="3:63" ht="15" customHeight="1" x14ac:dyDescent="0.2"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</row>
    <row r="228" spans="3:63" ht="15" customHeight="1" x14ac:dyDescent="0.2"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</row>
    <row r="229" spans="3:63" ht="15" customHeight="1" x14ac:dyDescent="0.2"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</row>
    <row r="230" spans="3:63" ht="15" customHeight="1" x14ac:dyDescent="0.2"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</row>
    <row r="231" spans="3:63" ht="15" customHeight="1" x14ac:dyDescent="0.2"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</row>
    <row r="232" spans="3:63" ht="15" customHeight="1" x14ac:dyDescent="0.2"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</row>
    <row r="233" spans="3:63" ht="15" customHeight="1" x14ac:dyDescent="0.2"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</row>
    <row r="234" spans="3:63" ht="15" customHeight="1" x14ac:dyDescent="0.2"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</row>
    <row r="235" spans="3:63" ht="15" customHeight="1" x14ac:dyDescent="0.2"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</row>
    <row r="236" spans="3:63" ht="15" customHeight="1" x14ac:dyDescent="0.2"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</row>
    <row r="237" spans="3:63" ht="15" customHeight="1" x14ac:dyDescent="0.2"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</row>
    <row r="238" spans="3:63" ht="15" customHeight="1" x14ac:dyDescent="0.2"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</row>
    <row r="239" spans="3:63" ht="15" customHeight="1" x14ac:dyDescent="0.2"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</row>
    <row r="240" spans="3:63" ht="15" customHeight="1" x14ac:dyDescent="0.2"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</row>
    <row r="241" spans="3:63" ht="15" customHeight="1" x14ac:dyDescent="0.2"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</row>
    <row r="242" spans="3:63" ht="15" customHeight="1" x14ac:dyDescent="0.2"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</row>
    <row r="243" spans="3:63" ht="15" customHeight="1" x14ac:dyDescent="0.2"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</row>
    <row r="244" spans="3:63" ht="15" customHeight="1" x14ac:dyDescent="0.2"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</row>
    <row r="245" spans="3:63" ht="15" customHeight="1" x14ac:dyDescent="0.2"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</row>
    <row r="246" spans="3:63" ht="15" customHeight="1" x14ac:dyDescent="0.2"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</row>
    <row r="247" spans="3:63" ht="15" customHeight="1" x14ac:dyDescent="0.2"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</row>
    <row r="248" spans="3:63" ht="15" customHeight="1" x14ac:dyDescent="0.2"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</row>
    <row r="249" spans="3:63" ht="15" customHeight="1" x14ac:dyDescent="0.2"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</row>
    <row r="250" spans="3:63" ht="15" customHeight="1" x14ac:dyDescent="0.2"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</row>
    <row r="251" spans="3:63" ht="15" customHeight="1" x14ac:dyDescent="0.2"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</row>
    <row r="252" spans="3:63" ht="15" customHeight="1" x14ac:dyDescent="0.2"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</row>
    <row r="253" spans="3:63" ht="15" customHeight="1" x14ac:dyDescent="0.2"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</row>
    <row r="254" spans="3:63" ht="15" customHeight="1" x14ac:dyDescent="0.2"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</row>
    <row r="255" spans="3:63" ht="15" customHeight="1" x14ac:dyDescent="0.2"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</row>
    <row r="256" spans="3:63" ht="15" customHeight="1" x14ac:dyDescent="0.2"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</row>
    <row r="257" spans="3:63" ht="15" customHeight="1" x14ac:dyDescent="0.2"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</row>
    <row r="258" spans="3:63" ht="15" customHeight="1" x14ac:dyDescent="0.2"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</row>
    <row r="259" spans="3:63" ht="15" customHeight="1" x14ac:dyDescent="0.2"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</row>
    <row r="260" spans="3:63" ht="15" customHeight="1" x14ac:dyDescent="0.2"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</row>
    <row r="261" spans="3:63" ht="15" customHeight="1" x14ac:dyDescent="0.2"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</row>
    <row r="262" spans="3:63" ht="15" customHeight="1" x14ac:dyDescent="0.2"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</row>
    <row r="263" spans="3:63" ht="15" customHeight="1" x14ac:dyDescent="0.2"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</row>
    <row r="264" spans="3:63" ht="15" customHeight="1" x14ac:dyDescent="0.2"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</row>
    <row r="265" spans="3:63" ht="15" customHeight="1" x14ac:dyDescent="0.2"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</row>
    <row r="266" spans="3:63" ht="15" customHeight="1" x14ac:dyDescent="0.2"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</row>
    <row r="267" spans="3:63" ht="15" customHeight="1" x14ac:dyDescent="0.2"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</row>
    <row r="268" spans="3:63" ht="15" customHeight="1" x14ac:dyDescent="0.2"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</row>
    <row r="269" spans="3:63" ht="15" customHeight="1" x14ac:dyDescent="0.2"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</row>
    <row r="270" spans="3:63" ht="15" customHeight="1" x14ac:dyDescent="0.2"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</row>
    <row r="271" spans="3:63" ht="15" customHeight="1" x14ac:dyDescent="0.2"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</row>
    <row r="272" spans="3:63" ht="15" customHeight="1" x14ac:dyDescent="0.2"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</row>
    <row r="273" spans="3:63" ht="15" customHeight="1" x14ac:dyDescent="0.2"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</row>
    <row r="274" spans="3:63" ht="15" customHeight="1" x14ac:dyDescent="0.2"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</row>
    <row r="275" spans="3:63" ht="15" customHeight="1" x14ac:dyDescent="0.2"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</row>
    <row r="276" spans="3:63" ht="15" customHeight="1" x14ac:dyDescent="0.2"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</row>
    <row r="277" spans="3:63" ht="15" customHeight="1" x14ac:dyDescent="0.2"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</row>
    <row r="278" spans="3:63" ht="15" customHeight="1" x14ac:dyDescent="0.2"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</row>
    <row r="279" spans="3:63" ht="15" customHeight="1" x14ac:dyDescent="0.2"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</row>
    <row r="280" spans="3:63" ht="15" customHeight="1" x14ac:dyDescent="0.2"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</row>
    <row r="281" spans="3:63" ht="15" customHeight="1" x14ac:dyDescent="0.2"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</row>
    <row r="282" spans="3:63" ht="15" customHeight="1" x14ac:dyDescent="0.2"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</row>
    <row r="283" spans="3:63" ht="15" customHeight="1" x14ac:dyDescent="0.2"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</row>
    <row r="284" spans="3:63" ht="15" customHeight="1" x14ac:dyDescent="0.2"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</row>
    <row r="285" spans="3:63" ht="15" customHeight="1" x14ac:dyDescent="0.2"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</row>
    <row r="286" spans="3:63" ht="15" customHeight="1" x14ac:dyDescent="0.2"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</row>
    <row r="287" spans="3:63" ht="15" customHeight="1" x14ac:dyDescent="0.2"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</row>
    <row r="288" spans="3:63" ht="15" customHeight="1" x14ac:dyDescent="0.2"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</row>
    <row r="289" spans="3:63" ht="15" customHeight="1" x14ac:dyDescent="0.2"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</row>
    <row r="290" spans="3:63" ht="15" customHeight="1" x14ac:dyDescent="0.2"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</row>
    <row r="291" spans="3:63" ht="15" customHeight="1" x14ac:dyDescent="0.2"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</row>
    <row r="292" spans="3:63" ht="15" customHeight="1" x14ac:dyDescent="0.2"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</row>
    <row r="293" spans="3:63" ht="15" customHeight="1" x14ac:dyDescent="0.2"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</row>
    <row r="294" spans="3:63" ht="15" customHeight="1" x14ac:dyDescent="0.2"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</row>
    <row r="295" spans="3:63" ht="15" customHeight="1" x14ac:dyDescent="0.2"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</row>
    <row r="296" spans="3:63" ht="15" customHeight="1" x14ac:dyDescent="0.2"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</row>
    <row r="297" spans="3:63" ht="15" customHeight="1" x14ac:dyDescent="0.2"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</row>
    <row r="298" spans="3:63" ht="15" customHeight="1" x14ac:dyDescent="0.2"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</row>
    <row r="299" spans="3:63" ht="15" customHeight="1" x14ac:dyDescent="0.2"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</row>
    <row r="300" spans="3:63" ht="15" customHeight="1" x14ac:dyDescent="0.2"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</row>
    <row r="301" spans="3:63" ht="15" customHeight="1" x14ac:dyDescent="0.2"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</row>
    <row r="302" spans="3:63" ht="15" customHeight="1" x14ac:dyDescent="0.2"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</row>
    <row r="303" spans="3:63" ht="15" customHeight="1" x14ac:dyDescent="0.2"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</row>
    <row r="304" spans="3:63" ht="15" customHeight="1" x14ac:dyDescent="0.2"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</row>
    <row r="305" spans="3:63" ht="15" customHeight="1" x14ac:dyDescent="0.2"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</row>
    <row r="306" spans="3:63" ht="15" customHeight="1" x14ac:dyDescent="0.2"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</row>
    <row r="307" spans="3:63" ht="15" customHeight="1" x14ac:dyDescent="0.2"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</row>
    <row r="308" spans="3:63" ht="15" customHeight="1" x14ac:dyDescent="0.2"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</row>
    <row r="309" spans="3:63" ht="15" customHeight="1" x14ac:dyDescent="0.2"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</row>
    <row r="310" spans="3:63" ht="15" customHeight="1" x14ac:dyDescent="0.2"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</row>
    <row r="311" spans="3:63" ht="15" customHeight="1" x14ac:dyDescent="0.2"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</row>
    <row r="312" spans="3:63" ht="15" customHeight="1" x14ac:dyDescent="0.2"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</row>
    <row r="313" spans="3:63" ht="15" customHeight="1" x14ac:dyDescent="0.2"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</row>
    <row r="314" spans="3:63" ht="15" customHeight="1" x14ac:dyDescent="0.2"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</row>
    <row r="315" spans="3:63" ht="15" customHeight="1" x14ac:dyDescent="0.2"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</row>
    <row r="316" spans="3:63" ht="15" customHeight="1" x14ac:dyDescent="0.2"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</row>
    <row r="317" spans="3:63" ht="15" customHeight="1" x14ac:dyDescent="0.2"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</row>
    <row r="318" spans="3:63" ht="15" customHeight="1" x14ac:dyDescent="0.2"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</row>
    <row r="319" spans="3:63" ht="15" customHeight="1" x14ac:dyDescent="0.2"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</row>
    <row r="320" spans="3:63" ht="15" customHeight="1" x14ac:dyDescent="0.2"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</row>
    <row r="321" spans="3:63" ht="15" customHeight="1" x14ac:dyDescent="0.2"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</row>
    <row r="322" spans="3:63" ht="15" customHeight="1" x14ac:dyDescent="0.2"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</row>
    <row r="323" spans="3:63" ht="15" customHeight="1" x14ac:dyDescent="0.2"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</row>
    <row r="324" spans="3:63" ht="15" customHeight="1" x14ac:dyDescent="0.2"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</row>
    <row r="325" spans="3:63" ht="15" customHeight="1" x14ac:dyDescent="0.2"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</row>
    <row r="326" spans="3:63" ht="15" customHeight="1" x14ac:dyDescent="0.2"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</row>
    <row r="327" spans="3:63" ht="15" customHeight="1" x14ac:dyDescent="0.2"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</row>
    <row r="328" spans="3:63" ht="15" customHeight="1" x14ac:dyDescent="0.2"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</row>
    <row r="329" spans="3:63" ht="15" customHeight="1" x14ac:dyDescent="0.2"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</row>
    <row r="330" spans="3:63" ht="15" customHeight="1" x14ac:dyDescent="0.2"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</row>
    <row r="331" spans="3:63" ht="15" customHeight="1" x14ac:dyDescent="0.2"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</row>
    <row r="332" spans="3:63" ht="15" customHeight="1" x14ac:dyDescent="0.2"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</row>
    <row r="333" spans="3:63" ht="15" customHeight="1" x14ac:dyDescent="0.2"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</row>
    <row r="334" spans="3:63" ht="15" customHeight="1" x14ac:dyDescent="0.2"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</row>
    <row r="335" spans="3:63" ht="15" customHeight="1" x14ac:dyDescent="0.2"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</row>
    <row r="336" spans="3:63" ht="15" customHeight="1" x14ac:dyDescent="0.2"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</row>
    <row r="337" spans="3:63" ht="15" customHeight="1" x14ac:dyDescent="0.2"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</row>
    <row r="338" spans="3:63" ht="15" customHeight="1" x14ac:dyDescent="0.2"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</row>
    <row r="339" spans="3:63" ht="15" customHeight="1" x14ac:dyDescent="0.2"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</row>
    <row r="340" spans="3:63" ht="15" customHeight="1" x14ac:dyDescent="0.2"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</row>
    <row r="341" spans="3:63" ht="15" customHeight="1" x14ac:dyDescent="0.2"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</row>
    <row r="342" spans="3:63" ht="15" customHeight="1" x14ac:dyDescent="0.2"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</row>
    <row r="343" spans="3:63" ht="15" customHeight="1" x14ac:dyDescent="0.2"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</row>
    <row r="344" spans="3:63" ht="15" customHeight="1" x14ac:dyDescent="0.2"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</row>
    <row r="345" spans="3:63" ht="15" customHeight="1" x14ac:dyDescent="0.2"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</row>
    <row r="346" spans="3:63" ht="15" customHeight="1" x14ac:dyDescent="0.2"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</row>
    <row r="347" spans="3:63" ht="15" customHeight="1" x14ac:dyDescent="0.2"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</row>
    <row r="348" spans="3:63" ht="15" customHeight="1" x14ac:dyDescent="0.2"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</row>
    <row r="349" spans="3:63" ht="15" customHeight="1" x14ac:dyDescent="0.2"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</row>
    <row r="350" spans="3:63" ht="15" customHeight="1" x14ac:dyDescent="0.2"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</row>
    <row r="351" spans="3:63" ht="15" customHeight="1" x14ac:dyDescent="0.2"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</row>
    <row r="352" spans="3:63" ht="15" customHeight="1" x14ac:dyDescent="0.2"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</row>
    <row r="353" spans="3:63" ht="15" customHeight="1" x14ac:dyDescent="0.2"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</row>
    <row r="354" spans="3:63" ht="15" customHeight="1" x14ac:dyDescent="0.2"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</row>
    <row r="355" spans="3:63" ht="15" customHeight="1" x14ac:dyDescent="0.2"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</row>
    <row r="356" spans="3:63" ht="15" customHeight="1" x14ac:dyDescent="0.2"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</row>
    <row r="357" spans="3:63" ht="15" customHeight="1" x14ac:dyDescent="0.2"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</row>
    <row r="358" spans="3:63" ht="15" customHeight="1" x14ac:dyDescent="0.2"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</row>
    <row r="359" spans="3:63" ht="15" customHeight="1" x14ac:dyDescent="0.2"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</row>
    <row r="360" spans="3:63" ht="15" customHeight="1" x14ac:dyDescent="0.2"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</row>
    <row r="361" spans="3:63" ht="15" customHeight="1" x14ac:dyDescent="0.2"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</row>
    <row r="362" spans="3:63" ht="15" customHeight="1" x14ac:dyDescent="0.2"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</row>
    <row r="363" spans="3:63" ht="15" customHeight="1" x14ac:dyDescent="0.2"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</row>
    <row r="364" spans="3:63" ht="15" customHeight="1" x14ac:dyDescent="0.2"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</row>
    <row r="365" spans="3:63" ht="15" customHeight="1" x14ac:dyDescent="0.2"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</row>
    <row r="366" spans="3:63" ht="15" customHeight="1" x14ac:dyDescent="0.2"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</row>
    <row r="367" spans="3:63" ht="15" customHeight="1" x14ac:dyDescent="0.2"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</row>
    <row r="368" spans="3:63" ht="15" customHeight="1" x14ac:dyDescent="0.2"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</row>
    <row r="369" spans="3:63" ht="15" customHeight="1" x14ac:dyDescent="0.2"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</row>
    <row r="370" spans="3:63" ht="15" customHeight="1" x14ac:dyDescent="0.2"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</row>
    <row r="371" spans="3:63" ht="15" customHeight="1" x14ac:dyDescent="0.2"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</row>
    <row r="372" spans="3:63" ht="15" customHeight="1" x14ac:dyDescent="0.2"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</row>
    <row r="373" spans="3:63" ht="15" customHeight="1" x14ac:dyDescent="0.2"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</row>
    <row r="374" spans="3:63" ht="15" customHeight="1" x14ac:dyDescent="0.2"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</row>
    <row r="375" spans="3:63" ht="15" customHeight="1" x14ac:dyDescent="0.2"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</row>
    <row r="376" spans="3:63" ht="15" customHeight="1" x14ac:dyDescent="0.2"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</row>
    <row r="377" spans="3:63" ht="15" customHeight="1" x14ac:dyDescent="0.2"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</row>
    <row r="378" spans="3:63" ht="15" customHeight="1" x14ac:dyDescent="0.2"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</row>
    <row r="379" spans="3:63" ht="15" customHeight="1" x14ac:dyDescent="0.2"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</row>
    <row r="380" spans="3:63" ht="15" customHeight="1" x14ac:dyDescent="0.2"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</row>
    <row r="381" spans="3:63" ht="15" customHeight="1" x14ac:dyDescent="0.2"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</row>
    <row r="382" spans="3:63" ht="15" customHeight="1" x14ac:dyDescent="0.2"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</row>
    <row r="383" spans="3:63" ht="15" customHeight="1" x14ac:dyDescent="0.2"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</row>
    <row r="384" spans="3:63" ht="15" customHeight="1" x14ac:dyDescent="0.2"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</row>
    <row r="385" spans="3:63" ht="15" customHeight="1" x14ac:dyDescent="0.2"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</row>
    <row r="386" spans="3:63" ht="15" customHeight="1" x14ac:dyDescent="0.2"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</row>
    <row r="387" spans="3:63" ht="15" customHeight="1" x14ac:dyDescent="0.2"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</row>
    <row r="388" spans="3:63" ht="15" customHeight="1" x14ac:dyDescent="0.2"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</row>
    <row r="389" spans="3:63" ht="15" customHeight="1" x14ac:dyDescent="0.2"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</row>
    <row r="390" spans="3:63" ht="15" customHeight="1" x14ac:dyDescent="0.2"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</row>
    <row r="391" spans="3:63" ht="15" customHeight="1" x14ac:dyDescent="0.2"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</row>
    <row r="392" spans="3:63" ht="15" customHeight="1" x14ac:dyDescent="0.2"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</row>
    <row r="393" spans="3:63" ht="15" customHeight="1" x14ac:dyDescent="0.2"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</row>
    <row r="394" spans="3:63" ht="15" customHeight="1" x14ac:dyDescent="0.2"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</row>
    <row r="395" spans="3:63" ht="15" customHeight="1" x14ac:dyDescent="0.2"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</row>
    <row r="396" spans="3:63" ht="15" customHeight="1" x14ac:dyDescent="0.2"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</row>
    <row r="397" spans="3:63" ht="15" customHeight="1" x14ac:dyDescent="0.2"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</row>
    <row r="398" spans="3:63" ht="15" customHeight="1" x14ac:dyDescent="0.2"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</row>
    <row r="399" spans="3:63" ht="15" customHeight="1" x14ac:dyDescent="0.2"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</row>
    <row r="400" spans="3:63" ht="15" customHeight="1" x14ac:dyDescent="0.2"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</row>
    <row r="401" spans="3:63" ht="15" customHeight="1" x14ac:dyDescent="0.2"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</row>
    <row r="402" spans="3:63" ht="15" customHeight="1" x14ac:dyDescent="0.2"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</row>
    <row r="403" spans="3:63" ht="15" customHeight="1" x14ac:dyDescent="0.2"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</row>
    <row r="404" spans="3:63" ht="15" customHeight="1" x14ac:dyDescent="0.2"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</row>
    <row r="405" spans="3:63" ht="15" customHeight="1" x14ac:dyDescent="0.2"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</row>
    <row r="406" spans="3:63" ht="15" customHeight="1" x14ac:dyDescent="0.2"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</row>
    <row r="407" spans="3:63" ht="15" customHeight="1" x14ac:dyDescent="0.2"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</row>
    <row r="408" spans="3:63" ht="15" customHeight="1" x14ac:dyDescent="0.2"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</row>
    <row r="409" spans="3:63" ht="15" customHeight="1" x14ac:dyDescent="0.2"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</row>
    <row r="410" spans="3:63" ht="15" customHeight="1" x14ac:dyDescent="0.2"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</row>
    <row r="411" spans="3:63" ht="15" customHeight="1" x14ac:dyDescent="0.2"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</row>
    <row r="412" spans="3:63" ht="15" customHeight="1" x14ac:dyDescent="0.2"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</row>
    <row r="413" spans="3:63" ht="15" customHeight="1" x14ac:dyDescent="0.2"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</row>
    <row r="414" spans="3:63" ht="15" customHeight="1" x14ac:dyDescent="0.2"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</row>
    <row r="415" spans="3:63" ht="15" customHeight="1" x14ac:dyDescent="0.2"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</row>
    <row r="416" spans="3:63" ht="15" customHeight="1" x14ac:dyDescent="0.2"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</row>
    <row r="417" spans="3:63" ht="15" customHeight="1" x14ac:dyDescent="0.2"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</row>
    <row r="418" spans="3:63" ht="15" customHeight="1" x14ac:dyDescent="0.2"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</row>
    <row r="419" spans="3:63" ht="15" customHeight="1" x14ac:dyDescent="0.2"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</row>
    <row r="420" spans="3:63" ht="15" customHeight="1" x14ac:dyDescent="0.2"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</row>
    <row r="421" spans="3:63" ht="15" customHeight="1" x14ac:dyDescent="0.2"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</row>
    <row r="422" spans="3:63" ht="15" customHeight="1" x14ac:dyDescent="0.2"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</row>
    <row r="423" spans="3:63" ht="15" customHeight="1" x14ac:dyDescent="0.2"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</row>
    <row r="424" spans="3:63" ht="15" customHeight="1" x14ac:dyDescent="0.2"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</row>
    <row r="425" spans="3:63" ht="15" customHeight="1" x14ac:dyDescent="0.2"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</row>
    <row r="426" spans="3:63" ht="15" customHeight="1" x14ac:dyDescent="0.2"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</row>
    <row r="427" spans="3:63" ht="15" customHeight="1" x14ac:dyDescent="0.2"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</row>
    <row r="428" spans="3:63" ht="15" customHeight="1" x14ac:dyDescent="0.2"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</row>
    <row r="429" spans="3:63" ht="15" customHeight="1" x14ac:dyDescent="0.2"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</row>
    <row r="430" spans="3:63" ht="15" customHeight="1" x14ac:dyDescent="0.2"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</row>
    <row r="431" spans="3:63" ht="15" customHeight="1" x14ac:dyDescent="0.2"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</row>
    <row r="432" spans="3:63" ht="15" customHeight="1" x14ac:dyDescent="0.2"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</row>
    <row r="433" spans="3:63" ht="15" customHeight="1" x14ac:dyDescent="0.2"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</row>
    <row r="434" spans="3:63" ht="15" customHeight="1" x14ac:dyDescent="0.2"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</row>
    <row r="435" spans="3:63" ht="15" customHeight="1" x14ac:dyDescent="0.2"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</row>
    <row r="436" spans="3:63" ht="15" customHeight="1" x14ac:dyDescent="0.2"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</row>
    <row r="437" spans="3:63" ht="15" customHeight="1" x14ac:dyDescent="0.2"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</row>
    <row r="438" spans="3:63" ht="15" customHeight="1" x14ac:dyDescent="0.2"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</row>
    <row r="439" spans="3:63" ht="15" customHeight="1" x14ac:dyDescent="0.2"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</row>
    <row r="440" spans="3:63" ht="15" customHeight="1" x14ac:dyDescent="0.2"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</row>
    <row r="441" spans="3:63" ht="15" customHeight="1" x14ac:dyDescent="0.2"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</row>
    <row r="442" spans="3:63" ht="15" customHeight="1" x14ac:dyDescent="0.2"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</row>
    <row r="443" spans="3:63" ht="15" customHeight="1" x14ac:dyDescent="0.2"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</row>
    <row r="444" spans="3:63" ht="15" customHeight="1" x14ac:dyDescent="0.2"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</row>
    <row r="445" spans="3:63" ht="15" customHeight="1" x14ac:dyDescent="0.2"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</row>
    <row r="446" spans="3:63" ht="15" customHeight="1" x14ac:dyDescent="0.2"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</row>
    <row r="447" spans="3:63" ht="15" customHeight="1" x14ac:dyDescent="0.2"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</row>
    <row r="448" spans="3:63" ht="15" customHeight="1" x14ac:dyDescent="0.2"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</row>
    <row r="449" spans="3:63" ht="15" customHeight="1" x14ac:dyDescent="0.2"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</row>
    <row r="450" spans="3:63" ht="15" customHeight="1" x14ac:dyDescent="0.2"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</row>
    <row r="451" spans="3:63" ht="15" customHeight="1" x14ac:dyDescent="0.2"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</row>
    <row r="452" spans="3:63" ht="15" customHeight="1" x14ac:dyDescent="0.2"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</row>
    <row r="453" spans="3:63" ht="15" customHeight="1" x14ac:dyDescent="0.2"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</row>
    <row r="454" spans="3:63" ht="15" customHeight="1" x14ac:dyDescent="0.2"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</row>
    <row r="455" spans="3:63" ht="15" customHeight="1" x14ac:dyDescent="0.2"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</row>
    <row r="456" spans="3:63" ht="15" customHeight="1" x14ac:dyDescent="0.2"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</row>
    <row r="457" spans="3:63" ht="15" customHeight="1" x14ac:dyDescent="0.2"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</row>
    <row r="458" spans="3:63" ht="15" customHeight="1" x14ac:dyDescent="0.2"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</row>
    <row r="459" spans="3:63" ht="15" customHeight="1" x14ac:dyDescent="0.2"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</row>
    <row r="460" spans="3:63" ht="15" customHeight="1" x14ac:dyDescent="0.2"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</row>
    <row r="461" spans="3:63" ht="15" customHeight="1" x14ac:dyDescent="0.2"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</row>
    <row r="462" spans="3:63" ht="15" customHeight="1" x14ac:dyDescent="0.2"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</row>
    <row r="463" spans="3:63" ht="15" customHeight="1" x14ac:dyDescent="0.2"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</row>
    <row r="464" spans="3:63" ht="15" customHeight="1" x14ac:dyDescent="0.2"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</row>
    <row r="465" spans="3:63" ht="15" customHeight="1" x14ac:dyDescent="0.2"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</row>
    <row r="466" spans="3:63" ht="15" customHeight="1" x14ac:dyDescent="0.2"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</row>
    <row r="467" spans="3:63" ht="15" customHeight="1" x14ac:dyDescent="0.2"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</row>
    <row r="468" spans="3:63" ht="15" customHeight="1" x14ac:dyDescent="0.2"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</row>
    <row r="469" spans="3:63" ht="15" customHeight="1" x14ac:dyDescent="0.2"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</row>
    <row r="470" spans="3:63" ht="15" customHeight="1" x14ac:dyDescent="0.2"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</row>
    <row r="471" spans="3:63" ht="15" customHeight="1" x14ac:dyDescent="0.2"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</row>
    <row r="472" spans="3:63" ht="15" customHeight="1" x14ac:dyDescent="0.2"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</row>
    <row r="473" spans="3:63" ht="15" customHeight="1" x14ac:dyDescent="0.2"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</row>
    <row r="474" spans="3:63" ht="15" customHeight="1" x14ac:dyDescent="0.2"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</row>
    <row r="475" spans="3:63" ht="15" customHeight="1" x14ac:dyDescent="0.2"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</row>
    <row r="476" spans="3:63" ht="15" customHeight="1" x14ac:dyDescent="0.2"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</row>
    <row r="477" spans="3:63" ht="15" customHeight="1" x14ac:dyDescent="0.2"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</row>
    <row r="478" spans="3:63" ht="15" customHeight="1" x14ac:dyDescent="0.2"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</row>
    <row r="479" spans="3:63" ht="15" customHeight="1" x14ac:dyDescent="0.2"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</row>
    <row r="480" spans="3:63" ht="15" customHeight="1" x14ac:dyDescent="0.2"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</row>
    <row r="481" spans="3:63" ht="15" customHeight="1" x14ac:dyDescent="0.2"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</row>
    <row r="482" spans="3:63" ht="15" customHeight="1" x14ac:dyDescent="0.2"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</row>
    <row r="483" spans="3:63" ht="15" customHeight="1" x14ac:dyDescent="0.2"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</row>
    <row r="484" spans="3:63" ht="15" customHeight="1" x14ac:dyDescent="0.2"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</row>
    <row r="485" spans="3:63" ht="15" customHeight="1" x14ac:dyDescent="0.2"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</row>
    <row r="486" spans="3:63" ht="15" customHeight="1" x14ac:dyDescent="0.2"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</row>
    <row r="487" spans="3:63" ht="15" customHeight="1" x14ac:dyDescent="0.2"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</row>
    <row r="488" spans="3:63" ht="15" customHeight="1" x14ac:dyDescent="0.2"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</row>
    <row r="489" spans="3:63" ht="15" customHeight="1" x14ac:dyDescent="0.2"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</row>
    <row r="490" spans="3:63" ht="15" customHeight="1" x14ac:dyDescent="0.2"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</row>
    <row r="491" spans="3:63" ht="15" customHeight="1" x14ac:dyDescent="0.2"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</row>
    <row r="492" spans="3:63" ht="15" customHeight="1" x14ac:dyDescent="0.2"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</row>
    <row r="493" spans="3:63" ht="15" customHeight="1" x14ac:dyDescent="0.2"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</row>
    <row r="494" spans="3:63" ht="15" customHeight="1" x14ac:dyDescent="0.2"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</row>
    <row r="495" spans="3:63" ht="15" customHeight="1" x14ac:dyDescent="0.2"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</row>
    <row r="496" spans="3:63" ht="15" customHeight="1" x14ac:dyDescent="0.2"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</row>
    <row r="497" spans="3:63" ht="15" customHeight="1" x14ac:dyDescent="0.2"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</row>
    <row r="498" spans="3:63" ht="15" customHeight="1" x14ac:dyDescent="0.2"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</row>
    <row r="499" spans="3:63" ht="15" customHeight="1" x14ac:dyDescent="0.2"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</row>
    <row r="500" spans="3:63" ht="15" customHeight="1" x14ac:dyDescent="0.2"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</row>
    <row r="501" spans="3:63" ht="15" customHeight="1" x14ac:dyDescent="0.2"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</row>
    <row r="502" spans="3:63" ht="15" customHeight="1" x14ac:dyDescent="0.2"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</row>
    <row r="503" spans="3:63" ht="15" customHeight="1" x14ac:dyDescent="0.2"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</row>
    <row r="504" spans="3:63" ht="15" customHeight="1" x14ac:dyDescent="0.2"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</row>
    <row r="505" spans="3:63" ht="15" customHeight="1" x14ac:dyDescent="0.2"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</row>
    <row r="506" spans="3:63" ht="15" customHeight="1" x14ac:dyDescent="0.2"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</row>
    <row r="507" spans="3:63" ht="15" customHeight="1" x14ac:dyDescent="0.2"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</row>
    <row r="508" spans="3:63" ht="15" customHeight="1" x14ac:dyDescent="0.2"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</row>
    <row r="509" spans="3:63" ht="15" customHeight="1" x14ac:dyDescent="0.2"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</row>
    <row r="510" spans="3:63" ht="15" customHeight="1" x14ac:dyDescent="0.2"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</row>
    <row r="511" spans="3:63" ht="15" customHeight="1" x14ac:dyDescent="0.2"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</row>
    <row r="512" spans="3:63" ht="15" customHeight="1" x14ac:dyDescent="0.2"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</row>
    <row r="513" spans="3:63" ht="15" customHeight="1" x14ac:dyDescent="0.2"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</row>
    <row r="514" spans="3:63" ht="15" customHeight="1" x14ac:dyDescent="0.2"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</row>
    <row r="515" spans="3:63" ht="15" customHeight="1" x14ac:dyDescent="0.2"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</row>
    <row r="516" spans="3:63" ht="15" customHeight="1" x14ac:dyDescent="0.2"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</row>
    <row r="517" spans="3:63" ht="15" customHeight="1" x14ac:dyDescent="0.2"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</row>
    <row r="518" spans="3:63" ht="15" customHeight="1" x14ac:dyDescent="0.2"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</row>
    <row r="519" spans="3:63" ht="15" customHeight="1" x14ac:dyDescent="0.2"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</row>
    <row r="520" spans="3:63" ht="15" customHeight="1" x14ac:dyDescent="0.2"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</row>
    <row r="521" spans="3:63" ht="15" customHeight="1" x14ac:dyDescent="0.2"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</row>
    <row r="522" spans="3:63" ht="15" customHeight="1" x14ac:dyDescent="0.2"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  <c r="BK522" s="33"/>
    </row>
    <row r="523" spans="3:63" ht="15" customHeight="1" x14ac:dyDescent="0.2"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  <c r="BK523" s="33"/>
    </row>
    <row r="524" spans="3:63" ht="15" customHeight="1" x14ac:dyDescent="0.2"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</row>
    <row r="525" spans="3:63" ht="15" customHeight="1" x14ac:dyDescent="0.2"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  <c r="BK525" s="33"/>
    </row>
    <row r="526" spans="3:63" ht="15" customHeight="1" x14ac:dyDescent="0.2"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</row>
    <row r="527" spans="3:63" ht="15" customHeight="1" x14ac:dyDescent="0.2"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</row>
    <row r="528" spans="3:63" ht="15" customHeight="1" x14ac:dyDescent="0.2"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</row>
    <row r="529" spans="3:63" ht="15" customHeight="1" x14ac:dyDescent="0.2"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</row>
    <row r="530" spans="3:63" ht="15" customHeight="1" x14ac:dyDescent="0.2"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</row>
    <row r="531" spans="3:63" ht="15" customHeight="1" x14ac:dyDescent="0.2"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</row>
    <row r="532" spans="3:63" ht="15" customHeight="1" x14ac:dyDescent="0.2"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</row>
    <row r="533" spans="3:63" ht="15" customHeight="1" x14ac:dyDescent="0.2"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</row>
    <row r="534" spans="3:63" ht="15" customHeight="1" x14ac:dyDescent="0.2"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  <c r="BK534" s="33"/>
    </row>
    <row r="535" spans="3:63" ht="15" customHeight="1" x14ac:dyDescent="0.2"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  <c r="BK535" s="33"/>
    </row>
    <row r="536" spans="3:63" ht="15" customHeight="1" x14ac:dyDescent="0.2"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</row>
    <row r="537" spans="3:63" ht="15" customHeight="1" x14ac:dyDescent="0.2"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</row>
    <row r="538" spans="3:63" ht="15" customHeight="1" x14ac:dyDescent="0.2"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</row>
    <row r="539" spans="3:63" ht="15" customHeight="1" x14ac:dyDescent="0.2"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</row>
    <row r="540" spans="3:63" ht="15" customHeight="1" x14ac:dyDescent="0.2"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</row>
    <row r="541" spans="3:63" ht="15" customHeight="1" x14ac:dyDescent="0.2"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</row>
    <row r="542" spans="3:63" ht="15" customHeight="1" x14ac:dyDescent="0.2"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  <c r="BK542" s="33"/>
    </row>
    <row r="543" spans="3:63" ht="15" customHeight="1" x14ac:dyDescent="0.2"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  <c r="BK543" s="33"/>
    </row>
    <row r="544" spans="3:63" ht="15" customHeight="1" x14ac:dyDescent="0.2"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  <c r="BK544" s="33"/>
    </row>
    <row r="545" spans="3:63" ht="15" customHeight="1" x14ac:dyDescent="0.2"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  <c r="BK545" s="33"/>
    </row>
    <row r="546" spans="3:63" ht="15" customHeight="1" x14ac:dyDescent="0.2"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  <c r="BK546" s="33"/>
    </row>
    <row r="547" spans="3:63" ht="15" customHeight="1" x14ac:dyDescent="0.2"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  <c r="BK547" s="33"/>
    </row>
    <row r="548" spans="3:63" ht="15" customHeight="1" x14ac:dyDescent="0.2"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33"/>
      <c r="BK548" s="33"/>
    </row>
    <row r="549" spans="3:63" ht="15" customHeight="1" x14ac:dyDescent="0.2"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33"/>
      <c r="BK549" s="33"/>
    </row>
    <row r="550" spans="3:63" ht="15" customHeight="1" x14ac:dyDescent="0.2"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33"/>
      <c r="BK550" s="33"/>
    </row>
    <row r="551" spans="3:63" ht="15" customHeight="1" x14ac:dyDescent="0.2"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33"/>
      <c r="BK551" s="33"/>
    </row>
    <row r="552" spans="3:63" ht="15" customHeight="1" x14ac:dyDescent="0.2"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  <c r="BK552" s="33"/>
    </row>
    <row r="553" spans="3:63" ht="15" customHeight="1" x14ac:dyDescent="0.2"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  <c r="BK553" s="33"/>
    </row>
    <row r="554" spans="3:63" ht="15" customHeight="1" x14ac:dyDescent="0.2"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33"/>
      <c r="BK554" s="33"/>
    </row>
    <row r="555" spans="3:63" ht="15" customHeight="1" x14ac:dyDescent="0.2"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33"/>
      <c r="BK555" s="33"/>
    </row>
    <row r="556" spans="3:63" ht="15" customHeight="1" x14ac:dyDescent="0.2"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33"/>
      <c r="BK556" s="33"/>
    </row>
    <row r="557" spans="3:63" ht="15" customHeight="1" x14ac:dyDescent="0.2"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33"/>
      <c r="BK557" s="33"/>
    </row>
    <row r="558" spans="3:63" ht="15" customHeight="1" x14ac:dyDescent="0.2"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33"/>
      <c r="BK558" s="33"/>
    </row>
    <row r="559" spans="3:63" ht="15" customHeight="1" x14ac:dyDescent="0.2"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33"/>
      <c r="BK559" s="33"/>
    </row>
    <row r="560" spans="3:63" ht="15" customHeight="1" x14ac:dyDescent="0.2"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33"/>
      <c r="BK560" s="33"/>
    </row>
    <row r="561" spans="3:63" ht="15" customHeight="1" x14ac:dyDescent="0.2"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</row>
    <row r="562" spans="3:63" ht="15" customHeight="1" x14ac:dyDescent="0.2"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33"/>
      <c r="BK562" s="33"/>
    </row>
    <row r="563" spans="3:63" ht="15" customHeight="1" x14ac:dyDescent="0.2"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</row>
    <row r="564" spans="3:63" ht="15" customHeight="1" x14ac:dyDescent="0.2"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33"/>
      <c r="BK564" s="33"/>
    </row>
    <row r="565" spans="3:63" ht="15" customHeight="1" x14ac:dyDescent="0.2"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33"/>
      <c r="BK565" s="33"/>
    </row>
    <row r="566" spans="3:63" ht="15" customHeight="1" x14ac:dyDescent="0.2"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</row>
    <row r="567" spans="3:63" ht="15" customHeight="1" x14ac:dyDescent="0.2"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</row>
    <row r="568" spans="3:63" ht="15" customHeight="1" x14ac:dyDescent="0.2"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33"/>
      <c r="BK568" s="33"/>
    </row>
    <row r="569" spans="3:63" ht="15" customHeight="1" x14ac:dyDescent="0.2"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33"/>
      <c r="BK569" s="33"/>
    </row>
    <row r="570" spans="3:63" ht="15" customHeight="1" x14ac:dyDescent="0.2"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33"/>
      <c r="BK570" s="33"/>
    </row>
    <row r="571" spans="3:63" ht="15" customHeight="1" x14ac:dyDescent="0.2"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</row>
    <row r="572" spans="3:63" ht="15" customHeight="1" x14ac:dyDescent="0.2"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</row>
    <row r="573" spans="3:63" ht="15" customHeight="1" x14ac:dyDescent="0.2"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</row>
    <row r="574" spans="3:63" ht="15" customHeight="1" x14ac:dyDescent="0.2"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33"/>
      <c r="BK574" s="33"/>
    </row>
    <row r="575" spans="3:63" ht="15" customHeight="1" x14ac:dyDescent="0.2"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33"/>
      <c r="BK575" s="33"/>
    </row>
    <row r="576" spans="3:63" ht="15" customHeight="1" x14ac:dyDescent="0.2"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33"/>
      <c r="BK576" s="33"/>
    </row>
    <row r="577" spans="3:63" ht="15" customHeight="1" x14ac:dyDescent="0.2"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</row>
    <row r="578" spans="3:63" ht="15" customHeight="1" x14ac:dyDescent="0.2"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</row>
    <row r="579" spans="3:63" ht="15" customHeight="1" x14ac:dyDescent="0.2"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33"/>
      <c r="BK579" s="33"/>
    </row>
    <row r="580" spans="3:63" ht="15" customHeight="1" x14ac:dyDescent="0.2"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33"/>
      <c r="BK580" s="33"/>
    </row>
    <row r="581" spans="3:63" ht="15" customHeight="1" x14ac:dyDescent="0.2"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33"/>
      <c r="BK581" s="33"/>
    </row>
    <row r="582" spans="3:63" ht="15" customHeight="1" x14ac:dyDescent="0.2"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33"/>
      <c r="BK582" s="33"/>
    </row>
    <row r="583" spans="3:63" ht="15" customHeight="1" x14ac:dyDescent="0.2"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33"/>
      <c r="BK583" s="33"/>
    </row>
    <row r="584" spans="3:63" ht="15" customHeight="1" x14ac:dyDescent="0.2"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</row>
    <row r="585" spans="3:63" ht="15" customHeight="1" x14ac:dyDescent="0.2"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33"/>
      <c r="BK585" s="33"/>
    </row>
    <row r="586" spans="3:63" ht="15" customHeight="1" x14ac:dyDescent="0.2"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33"/>
      <c r="BK586" s="33"/>
    </row>
    <row r="587" spans="3:63" ht="15" customHeight="1" x14ac:dyDescent="0.2"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33"/>
      <c r="BK587" s="33"/>
    </row>
    <row r="588" spans="3:63" ht="15" customHeight="1" x14ac:dyDescent="0.2"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33"/>
      <c r="BK588" s="33"/>
    </row>
    <row r="589" spans="3:63" ht="15" customHeight="1" x14ac:dyDescent="0.2"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33"/>
      <c r="BK589" s="33"/>
    </row>
    <row r="590" spans="3:63" ht="15" customHeight="1" x14ac:dyDescent="0.2"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</row>
    <row r="591" spans="3:63" ht="15" customHeight="1" x14ac:dyDescent="0.2"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33"/>
      <c r="BK591" s="33"/>
    </row>
    <row r="592" spans="3:63" ht="15" customHeight="1" x14ac:dyDescent="0.2"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  <c r="BK592" s="33"/>
    </row>
    <row r="593" spans="3:63" ht="15" customHeight="1" x14ac:dyDescent="0.2"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  <c r="BK593" s="33"/>
    </row>
    <row r="594" spans="3:63" ht="15" customHeight="1" x14ac:dyDescent="0.2"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  <c r="BK594" s="33"/>
    </row>
    <row r="595" spans="3:63" ht="15" customHeight="1" x14ac:dyDescent="0.2"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  <c r="BK595" s="33"/>
    </row>
    <row r="596" spans="3:63" ht="15" customHeight="1" x14ac:dyDescent="0.2"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33"/>
      <c r="BK596" s="33"/>
    </row>
    <row r="597" spans="3:63" ht="15" customHeight="1" x14ac:dyDescent="0.2"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33"/>
      <c r="BK597" s="33"/>
    </row>
    <row r="598" spans="3:63" ht="15" customHeight="1" x14ac:dyDescent="0.2"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33"/>
      <c r="BK598" s="33"/>
    </row>
    <row r="599" spans="3:63" ht="15" customHeight="1" x14ac:dyDescent="0.2"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33"/>
      <c r="BK599" s="33"/>
    </row>
    <row r="600" spans="3:63" ht="15" customHeight="1" x14ac:dyDescent="0.2"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33"/>
      <c r="BK600" s="33"/>
    </row>
    <row r="601" spans="3:63" ht="15" customHeight="1" x14ac:dyDescent="0.2"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33"/>
      <c r="BK601" s="33"/>
    </row>
    <row r="602" spans="3:63" ht="15" customHeight="1" x14ac:dyDescent="0.2"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33"/>
      <c r="BK602" s="33"/>
    </row>
    <row r="603" spans="3:63" ht="15" customHeight="1" x14ac:dyDescent="0.2"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33"/>
      <c r="BK603" s="33"/>
    </row>
  </sheetData>
  <pageMargins left="0.7" right="0.7" top="0.75" bottom="0.75" header="0.3" footer="0.3"/>
  <pageSetup scale="1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1"/>
    <pageSetUpPr fitToPage="1"/>
  </sheetPr>
  <dimension ref="B1:AD37"/>
  <sheetViews>
    <sheetView zoomScaleNormal="100" workbookViewId="0">
      <selection activeCell="P5" sqref="P5"/>
    </sheetView>
  </sheetViews>
  <sheetFormatPr baseColWidth="10" defaultColWidth="8.83203125" defaultRowHeight="15" outlineLevelCol="1" x14ac:dyDescent="0.2"/>
  <cols>
    <col min="1" max="1" width="2" customWidth="1"/>
    <col min="2" max="2" width="29.6640625" bestFit="1" customWidth="1"/>
    <col min="3" max="3" width="3.5" customWidth="1"/>
    <col min="4" max="15" width="8.1640625" hidden="1" customWidth="1" outlineLevel="1"/>
    <col min="16" max="16" width="7.5" bestFit="1" customWidth="1" collapsed="1"/>
    <col min="17" max="17" width="7.5" bestFit="1" customWidth="1"/>
    <col min="18" max="18" width="8.1640625" bestFit="1" customWidth="1"/>
    <col min="19" max="20" width="7.5" bestFit="1" customWidth="1"/>
    <col min="21" max="21" width="8.1640625" bestFit="1" customWidth="1"/>
    <col min="22" max="27" width="7.5" bestFit="1" customWidth="1"/>
    <col min="28" max="28" width="2.83203125" customWidth="1"/>
    <col min="29" max="30" width="9.1640625" bestFit="1" customWidth="1"/>
  </cols>
  <sheetData>
    <row r="1" spans="2:30" ht="19" x14ac:dyDescent="0.25">
      <c r="B1" s="16" t="s">
        <v>240</v>
      </c>
      <c r="C1" s="3"/>
      <c r="D1" s="1"/>
      <c r="E1" s="1"/>
      <c r="F1" s="1"/>
      <c r="G1" s="1"/>
      <c r="H1" s="1"/>
      <c r="I1" s="1"/>
      <c r="J1" s="1"/>
      <c r="AC1" s="12"/>
      <c r="AD1" s="12"/>
    </row>
    <row r="2" spans="2:30" ht="7.5" customHeight="1" x14ac:dyDescent="0.2"/>
    <row r="3" spans="2:30" x14ac:dyDescent="0.2">
      <c r="B3" s="60" t="s">
        <v>16</v>
      </c>
      <c r="C3" s="60"/>
      <c r="D3" s="81">
        <v>41640</v>
      </c>
      <c r="E3" s="81">
        <v>41671</v>
      </c>
      <c r="F3" s="81">
        <v>41699</v>
      </c>
      <c r="G3" s="81">
        <v>41730</v>
      </c>
      <c r="H3" s="81">
        <v>41760</v>
      </c>
      <c r="I3" s="81">
        <v>41791</v>
      </c>
      <c r="J3" s="81">
        <v>41821</v>
      </c>
      <c r="K3" s="81">
        <v>41852</v>
      </c>
      <c r="L3" s="81">
        <v>41883</v>
      </c>
      <c r="M3" s="81">
        <v>41913</v>
      </c>
      <c r="N3" s="81">
        <v>41944</v>
      </c>
      <c r="O3" s="81">
        <v>41974</v>
      </c>
      <c r="P3" s="81">
        <v>42005</v>
      </c>
      <c r="Q3" s="81">
        <v>42036</v>
      </c>
      <c r="R3" s="81">
        <v>42064</v>
      </c>
      <c r="S3" s="81">
        <v>42095</v>
      </c>
      <c r="T3" s="81">
        <v>42125</v>
      </c>
      <c r="U3" s="81">
        <v>42156</v>
      </c>
      <c r="V3" s="81">
        <v>42186</v>
      </c>
      <c r="W3" s="81">
        <v>42217</v>
      </c>
      <c r="X3" s="81">
        <v>42248</v>
      </c>
      <c r="Y3" s="81">
        <v>42278</v>
      </c>
      <c r="Z3" s="81">
        <v>42309</v>
      </c>
      <c r="AA3" s="81">
        <v>42339</v>
      </c>
      <c r="AB3" s="60"/>
      <c r="AC3" s="95" t="s">
        <v>144</v>
      </c>
      <c r="AD3" s="95" t="s">
        <v>145</v>
      </c>
    </row>
    <row r="4" spans="2:30" x14ac:dyDescent="0.2">
      <c r="B4" s="24"/>
      <c r="C4" s="87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24"/>
      <c r="AC4" s="71"/>
      <c r="AD4" s="71"/>
    </row>
    <row r="5" spans="2:30" s="2" customFormat="1" x14ac:dyDescent="0.2">
      <c r="B5" s="24" t="s">
        <v>120</v>
      </c>
      <c r="C5" s="87" t="s">
        <v>324</v>
      </c>
      <c r="D5" s="37">
        <v>17150.120000000003</v>
      </c>
      <c r="E5" s="37">
        <v>17467.849999999999</v>
      </c>
      <c r="F5" s="37">
        <v>18420.47</v>
      </c>
      <c r="G5" s="37">
        <v>18011.169999999998</v>
      </c>
      <c r="H5" s="37">
        <v>19042.8</v>
      </c>
      <c r="I5" s="37">
        <v>19117.93</v>
      </c>
      <c r="J5" s="37">
        <v>19572.21</v>
      </c>
      <c r="K5" s="37">
        <v>19607.739999999998</v>
      </c>
      <c r="L5" s="37">
        <v>20026.37</v>
      </c>
      <c r="M5" s="37">
        <v>20029.82</v>
      </c>
      <c r="N5" s="37">
        <v>20419.580000000002</v>
      </c>
      <c r="O5" s="37">
        <v>20397.03</v>
      </c>
      <c r="P5" s="33">
        <f ca="1">Revenue!O21</f>
        <v>31211.65</v>
      </c>
      <c r="Q5" s="33">
        <f ca="1">Revenue!P21</f>
        <v>32003.89</v>
      </c>
      <c r="R5" s="33">
        <f ca="1">Revenue!Q21</f>
        <v>31523.61</v>
      </c>
      <c r="S5" s="33">
        <f ca="1">Revenue!R21</f>
        <v>31767.98</v>
      </c>
      <c r="T5" s="33">
        <f ca="1">Revenue!S21</f>
        <v>32024.58</v>
      </c>
      <c r="U5" s="33">
        <f ca="1">Revenue!T21</f>
        <v>32495.519999999997</v>
      </c>
      <c r="V5" s="33">
        <f ca="1">Revenue!U21</f>
        <v>32449.360000000001</v>
      </c>
      <c r="W5" s="33">
        <f ca="1">Revenue!V21</f>
        <v>32487.83</v>
      </c>
      <c r="X5" s="33">
        <f ca="1">Revenue!W21</f>
        <v>32812.44</v>
      </c>
      <c r="Y5" s="33">
        <f ca="1">Revenue!X21</f>
        <v>32824.6</v>
      </c>
      <c r="Z5" s="33">
        <f ca="1">Revenue!Y21</f>
        <v>33125.54</v>
      </c>
      <c r="AA5" s="33">
        <f ca="1">Revenue!Z21</f>
        <v>33116.380000000005</v>
      </c>
      <c r="AB5" s="24"/>
      <c r="AC5" s="71">
        <f>SUM(D5:O5)</f>
        <v>229263.09</v>
      </c>
      <c r="AD5" s="71">
        <f ca="1">SUM(P5:AA5)</f>
        <v>387843.37999999995</v>
      </c>
    </row>
    <row r="6" spans="2:30" s="2" customFormat="1" x14ac:dyDescent="0.2">
      <c r="B6" s="24" t="s">
        <v>123</v>
      </c>
      <c r="C6" s="87"/>
      <c r="D6" s="37">
        <v>3256.8449012910005</v>
      </c>
      <c r="E6" s="37">
        <v>3320.3883184580973</v>
      </c>
      <c r="F6" s="37">
        <v>3544.2403939084888</v>
      </c>
      <c r="G6" s="37">
        <v>3429.0492618138378</v>
      </c>
      <c r="H6" s="37">
        <v>3675.3772429286546</v>
      </c>
      <c r="I6" s="37">
        <v>3683.7354259319891</v>
      </c>
      <c r="J6" s="37">
        <v>3787.9207906349893</v>
      </c>
      <c r="K6" s="37">
        <v>3788.3656188676887</v>
      </c>
      <c r="L6" s="37">
        <v>3885.4189642771198</v>
      </c>
      <c r="M6" s="37">
        <v>3879.4499751456078</v>
      </c>
      <c r="N6" s="37">
        <v>3970.732884927249</v>
      </c>
      <c r="O6" s="37">
        <v>3959.55350373072</v>
      </c>
      <c r="P6" s="33">
        <f t="shared" ref="P6" ca="1" si="0">P5-P7</f>
        <v>6109.7410000000018</v>
      </c>
      <c r="Q6" s="33">
        <f t="shared" ref="Q6:AA6" ca="1" si="1">Q5-Q7</f>
        <v>6294.6237999999976</v>
      </c>
      <c r="R6" s="33">
        <f t="shared" ca="1" si="1"/>
        <v>6139.020199999999</v>
      </c>
      <c r="S6" s="33">
        <f t="shared" ca="1" si="1"/>
        <v>6214.3041999999987</v>
      </c>
      <c r="T6" s="33">
        <f t="shared" ca="1" si="1"/>
        <v>6238.727600000002</v>
      </c>
      <c r="U6" s="33">
        <f t="shared" ca="1" si="1"/>
        <v>6352.7086599999966</v>
      </c>
      <c r="V6" s="33">
        <f t="shared" ca="1" si="1"/>
        <v>6323.28802</v>
      </c>
      <c r="W6" s="33">
        <f t="shared" ca="1" si="1"/>
        <v>6330.8162200000006</v>
      </c>
      <c r="X6" s="33">
        <f t="shared" ca="1" si="1"/>
        <v>6395.5794000000024</v>
      </c>
      <c r="Y6" s="33">
        <f t="shared" ca="1" si="1"/>
        <v>6397.8788799999966</v>
      </c>
      <c r="Z6" s="33">
        <f t="shared" ca="1" si="1"/>
        <v>6457.9428000000007</v>
      </c>
      <c r="AA6" s="33">
        <f t="shared" ca="1" si="1"/>
        <v>6455.9959400000043</v>
      </c>
      <c r="AB6" s="24"/>
      <c r="AC6" s="71">
        <f>SUM(D6:O6)</f>
        <v>44181.077281915444</v>
      </c>
      <c r="AD6" s="71">
        <f ca="1">SUM(P6:AA6)</f>
        <v>75710.62672</v>
      </c>
    </row>
    <row r="7" spans="2:30" s="2" customFormat="1" x14ac:dyDescent="0.2">
      <c r="B7" s="62" t="s">
        <v>75</v>
      </c>
      <c r="C7" s="88" t="s">
        <v>122</v>
      </c>
      <c r="D7" s="90">
        <f>D5-D6</f>
        <v>13893.275098709002</v>
      </c>
      <c r="E7" s="90">
        <f t="shared" ref="E7:O7" si="2">E5-E6</f>
        <v>14147.461681541901</v>
      </c>
      <c r="F7" s="90">
        <f t="shared" si="2"/>
        <v>14876.229606091512</v>
      </c>
      <c r="G7" s="90">
        <f t="shared" si="2"/>
        <v>14582.12073818616</v>
      </c>
      <c r="H7" s="90">
        <f t="shared" si="2"/>
        <v>15367.422757071345</v>
      </c>
      <c r="I7" s="90">
        <f t="shared" si="2"/>
        <v>15434.194574068011</v>
      </c>
      <c r="J7" s="90">
        <f t="shared" si="2"/>
        <v>15784.28920936501</v>
      </c>
      <c r="K7" s="90">
        <f t="shared" si="2"/>
        <v>15819.374381132309</v>
      </c>
      <c r="L7" s="90">
        <f t="shared" si="2"/>
        <v>16140.951035722879</v>
      </c>
      <c r="M7" s="90">
        <f t="shared" si="2"/>
        <v>16150.370024854392</v>
      </c>
      <c r="N7" s="90">
        <f t="shared" si="2"/>
        <v>16448.847115072753</v>
      </c>
      <c r="O7" s="90">
        <f t="shared" si="2"/>
        <v>16437.476496269279</v>
      </c>
      <c r="P7" s="72">
        <f ca="1">Revenue!O14</f>
        <v>25101.909</v>
      </c>
      <c r="Q7" s="72">
        <f ca="1">Revenue!P14</f>
        <v>25709.266200000002</v>
      </c>
      <c r="R7" s="72">
        <f ca="1">Revenue!Q14</f>
        <v>25384.589800000002</v>
      </c>
      <c r="S7" s="72">
        <f ca="1">Revenue!R14</f>
        <v>25553.675800000001</v>
      </c>
      <c r="T7" s="72">
        <f ca="1">Revenue!S14</f>
        <v>25785.8524</v>
      </c>
      <c r="U7" s="72">
        <f ca="1">Revenue!T14</f>
        <v>26142.81134</v>
      </c>
      <c r="V7" s="72">
        <f ca="1">Revenue!U14</f>
        <v>26126.071980000001</v>
      </c>
      <c r="W7" s="72">
        <f ca="1">Revenue!V14</f>
        <v>26157.013780000001</v>
      </c>
      <c r="X7" s="72">
        <f ca="1">Revenue!W14</f>
        <v>26416.8606</v>
      </c>
      <c r="Y7" s="72">
        <f ca="1">Revenue!X14</f>
        <v>26426.721120000002</v>
      </c>
      <c r="Z7" s="72">
        <f ca="1">Revenue!Y14</f>
        <v>26667.5972</v>
      </c>
      <c r="AA7" s="72">
        <f ca="1">Revenue!Z14</f>
        <v>26660.38406</v>
      </c>
      <c r="AB7" s="62"/>
      <c r="AC7" s="73">
        <f t="shared" ref="AC7:AD7" si="3">AC5-AC6</f>
        <v>185082.01271808456</v>
      </c>
      <c r="AD7" s="73">
        <f t="shared" ca="1" si="3"/>
        <v>312132.75327999995</v>
      </c>
    </row>
    <row r="8" spans="2:30" s="4" customFormat="1" ht="14" x14ac:dyDescent="0.2">
      <c r="B8" s="66" t="s">
        <v>76</v>
      </c>
      <c r="C8" s="66"/>
      <c r="D8" s="106">
        <f>D7/D5</f>
        <v>0.8100978359748503</v>
      </c>
      <c r="E8" s="106">
        <f t="shared" ref="E8:O8" si="4">E7/E5</f>
        <v>0.80991431009207793</v>
      </c>
      <c r="F8" s="106">
        <f t="shared" si="4"/>
        <v>0.80759229303549318</v>
      </c>
      <c r="G8" s="106">
        <f t="shared" si="4"/>
        <v>0.80961540744916416</v>
      </c>
      <c r="H8" s="106">
        <f t="shared" si="4"/>
        <v>0.80699386419388663</v>
      </c>
      <c r="I8" s="106">
        <f t="shared" si="4"/>
        <v>0.80731515253314612</v>
      </c>
      <c r="J8" s="106">
        <f t="shared" si="4"/>
        <v>0.80646432923849731</v>
      </c>
      <c r="K8" s="106">
        <f t="shared" si="4"/>
        <v>0.8067923371654413</v>
      </c>
      <c r="L8" s="106">
        <f t="shared" si="4"/>
        <v>0.80598486074724873</v>
      </c>
      <c r="M8" s="106">
        <f t="shared" si="4"/>
        <v>0.80631628366377694</v>
      </c>
      <c r="N8" s="106">
        <f t="shared" si="4"/>
        <v>0.80554287184519713</v>
      </c>
      <c r="O8" s="106">
        <f t="shared" si="4"/>
        <v>0.80587597783938547</v>
      </c>
      <c r="P8" s="74">
        <f t="shared" ref="P8:AA8" ca="1" si="5">P7/P5</f>
        <v>0.80424806122073</v>
      </c>
      <c r="Q8" s="74">
        <f t="shared" ca="1" si="5"/>
        <v>0.8033169155374551</v>
      </c>
      <c r="R8" s="74">
        <f t="shared" ca="1" si="5"/>
        <v>0.80525643478015374</v>
      </c>
      <c r="S8" s="74">
        <f t="shared" ca="1" si="5"/>
        <v>0.80438466027742406</v>
      </c>
      <c r="T8" s="74">
        <f t="shared" ca="1" si="5"/>
        <v>0.80518940139105644</v>
      </c>
      <c r="U8" s="74">
        <f t="shared" ca="1" si="5"/>
        <v>0.80450509300974415</v>
      </c>
      <c r="V8" s="74">
        <f t="shared" ca="1" si="5"/>
        <v>0.80513365995508079</v>
      </c>
      <c r="W8" s="74">
        <f t="shared" ca="1" si="5"/>
        <v>0.80513268445445574</v>
      </c>
      <c r="X8" s="74">
        <f t="shared" ca="1" si="5"/>
        <v>0.80508674758719556</v>
      </c>
      <c r="Y8" s="74">
        <f t="shared" ca="1" si="5"/>
        <v>0.8050889003978724</v>
      </c>
      <c r="Z8" s="74">
        <f t="shared" ca="1" si="5"/>
        <v>0.8050464143376983</v>
      </c>
      <c r="AA8" s="74">
        <f t="shared" ca="1" si="5"/>
        <v>0.80505127855158076</v>
      </c>
      <c r="AB8" s="66"/>
      <c r="AC8" s="75">
        <f t="shared" ref="AC8:AD8" si="6">AC7/AC5</f>
        <v>0.80729092815631409</v>
      </c>
      <c r="AD8" s="75">
        <f t="shared" ca="1" si="6"/>
        <v>0.80479072062542356</v>
      </c>
    </row>
    <row r="9" spans="2:30" x14ac:dyDescent="0.2">
      <c r="B9" s="24"/>
      <c r="C9" s="24"/>
      <c r="D9" s="37"/>
      <c r="E9" s="37"/>
      <c r="F9" s="37"/>
      <c r="G9" s="37"/>
      <c r="H9" s="37"/>
      <c r="I9" s="37"/>
      <c r="J9" s="37"/>
      <c r="K9" s="37"/>
      <c r="L9" s="37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24"/>
      <c r="AC9" s="71"/>
      <c r="AD9" s="71"/>
    </row>
    <row r="10" spans="2:30" x14ac:dyDescent="0.2">
      <c r="B10" s="25" t="s">
        <v>10</v>
      </c>
      <c r="C10" s="25"/>
      <c r="D10" s="37" t="s">
        <v>77</v>
      </c>
      <c r="E10" s="37"/>
      <c r="F10" s="37"/>
      <c r="G10" s="37"/>
      <c r="H10" s="37"/>
      <c r="I10" s="37"/>
      <c r="J10" s="37"/>
      <c r="K10" s="37"/>
      <c r="L10" s="37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25"/>
      <c r="AC10" s="71"/>
      <c r="AD10" s="71"/>
    </row>
    <row r="11" spans="2:30" x14ac:dyDescent="0.2">
      <c r="B11" s="24" t="s">
        <v>205</v>
      </c>
      <c r="C11" s="56" t="s">
        <v>81</v>
      </c>
      <c r="D11" s="37">
        <v>15136.25</v>
      </c>
      <c r="E11" s="37">
        <v>15136.25</v>
      </c>
      <c r="F11" s="37">
        <v>15136.25</v>
      </c>
      <c r="G11" s="37">
        <v>15136.25</v>
      </c>
      <c r="H11" s="37">
        <v>15136.25</v>
      </c>
      <c r="I11" s="37">
        <v>15136.25</v>
      </c>
      <c r="J11" s="37">
        <v>15136.25</v>
      </c>
      <c r="K11" s="37">
        <v>15136.25</v>
      </c>
      <c r="L11" s="37">
        <v>15136.25</v>
      </c>
      <c r="M11" s="37">
        <v>15136.25</v>
      </c>
      <c r="N11" s="37">
        <v>15136.25</v>
      </c>
      <c r="O11" s="37">
        <v>15136.25</v>
      </c>
      <c r="P11" s="41">
        <f>SUMIF('People Costs'!$C:$C,$C11,'People Costs'!U:U)+SUMIF('Other Costs'!$C:$C,$C11,'Other Costs'!Q:Q)</f>
        <v>12320</v>
      </c>
      <c r="Q11" s="41">
        <f>SUMIF('People Costs'!$C:$C,$C11,'People Costs'!V:V)+SUMIF('Other Costs'!$C:$C,$C11,'Other Costs'!R:R)</f>
        <v>12320</v>
      </c>
      <c r="R11" s="41">
        <f>SUMIF('People Costs'!$C:$C,$C11,'People Costs'!W:W)+SUMIF('Other Costs'!$C:$C,$C11,'Other Costs'!S:S)</f>
        <v>12320</v>
      </c>
      <c r="S11" s="41">
        <f>SUMIF('People Costs'!$C:$C,$C11,'People Costs'!X:X)+SUMIF('Other Costs'!$C:$C,$C11,'Other Costs'!T:T)</f>
        <v>12320</v>
      </c>
      <c r="T11" s="41">
        <f>SUMIF('People Costs'!$C:$C,$C11,'People Costs'!Y:Y)+SUMIF('Other Costs'!$C:$C,$C11,'Other Costs'!U:U)</f>
        <v>12320</v>
      </c>
      <c r="U11" s="41">
        <f>SUMIF('People Costs'!$C:$C,$C11,'People Costs'!Z:Z)+SUMIF('Other Costs'!$C:$C,$C11,'Other Costs'!V:V)</f>
        <v>12320</v>
      </c>
      <c r="V11" s="41">
        <f>SUMIF('People Costs'!$C:$C,$C11,'People Costs'!AA:AA)+SUMIF('Other Costs'!$C:$C,$C11,'Other Costs'!W:W)</f>
        <v>12320</v>
      </c>
      <c r="W11" s="41">
        <f>SUMIF('People Costs'!$C:$C,$C11,'People Costs'!AB:AB)+SUMIF('Other Costs'!$C:$C,$C11,'Other Costs'!X:X)</f>
        <v>12320</v>
      </c>
      <c r="X11" s="41">
        <f>SUMIF('People Costs'!$C:$C,$C11,'People Costs'!AC:AC)+SUMIF('Other Costs'!$C:$C,$C11,'Other Costs'!Y:Y)</f>
        <v>12320</v>
      </c>
      <c r="Y11" s="41">
        <f>SUMIF('People Costs'!$C:$C,$C11,'People Costs'!AD:AD)+SUMIF('Other Costs'!$C:$C,$C11,'Other Costs'!Z:Z)</f>
        <v>12320</v>
      </c>
      <c r="Z11" s="41">
        <f>SUMIF('People Costs'!$C:$C,$C11,'People Costs'!AE:AE)+SUMIF('Other Costs'!$C:$C,$C11,'Other Costs'!AA:AA)</f>
        <v>12320</v>
      </c>
      <c r="AA11" s="41">
        <f>SUMIF('People Costs'!$C:$C,$C11,'People Costs'!AF:AF)+SUMIF('Other Costs'!$C:$C,$C11,'Other Costs'!AB:AB)</f>
        <v>12320</v>
      </c>
      <c r="AB11" s="56"/>
      <c r="AC11" s="71">
        <f t="shared" ref="AC11:AC17" si="7">SUM(D11:O11)</f>
        <v>181635</v>
      </c>
      <c r="AD11" s="71">
        <f t="shared" ref="AD11:AD17" si="8">SUM(P11:AA11)</f>
        <v>147840</v>
      </c>
    </row>
    <row r="12" spans="2:30" x14ac:dyDescent="0.2">
      <c r="B12" s="24" t="s">
        <v>299</v>
      </c>
      <c r="C12" s="56" t="s">
        <v>103</v>
      </c>
      <c r="D12" s="37">
        <v>6671.25</v>
      </c>
      <c r="E12" s="37">
        <v>6671.25</v>
      </c>
      <c r="F12" s="37">
        <v>6671.25</v>
      </c>
      <c r="G12" s="37">
        <v>6671.25</v>
      </c>
      <c r="H12" s="37">
        <v>6671.25</v>
      </c>
      <c r="I12" s="37">
        <v>6671.25</v>
      </c>
      <c r="J12" s="37">
        <v>6671.25</v>
      </c>
      <c r="K12" s="37">
        <v>6671.25</v>
      </c>
      <c r="L12" s="37">
        <v>6671.25</v>
      </c>
      <c r="M12" s="37">
        <v>6671.25</v>
      </c>
      <c r="N12" s="37">
        <v>6671.25</v>
      </c>
      <c r="O12" s="37">
        <v>6671.25</v>
      </c>
      <c r="P12" s="41">
        <f>SUMIF('People Costs'!$C:$C,$C12,'People Costs'!U:U)+SUMIF('Other Costs'!$C:$C,$C12,'Other Costs'!Q:Q)</f>
        <v>100</v>
      </c>
      <c r="Q12" s="41">
        <f>SUMIF('People Costs'!$C:$C,$C12,'People Costs'!V:V)+SUMIF('Other Costs'!$C:$C,$C12,'Other Costs'!R:R)</f>
        <v>100</v>
      </c>
      <c r="R12" s="41">
        <f>SUMIF('People Costs'!$C:$C,$C12,'People Costs'!W:W)+SUMIF('Other Costs'!$C:$C,$C12,'Other Costs'!S:S)</f>
        <v>100</v>
      </c>
      <c r="S12" s="41">
        <f>SUMIF('People Costs'!$C:$C,$C12,'People Costs'!X:X)+SUMIF('Other Costs'!$C:$C,$C12,'Other Costs'!T:T)</f>
        <v>100</v>
      </c>
      <c r="T12" s="41">
        <f>SUMIF('People Costs'!$C:$C,$C12,'People Costs'!Y:Y)+SUMIF('Other Costs'!$C:$C,$C12,'Other Costs'!U:U)</f>
        <v>100</v>
      </c>
      <c r="U12" s="41">
        <f>SUMIF('People Costs'!$C:$C,$C12,'People Costs'!Z:Z)+SUMIF('Other Costs'!$C:$C,$C12,'Other Costs'!V:V)</f>
        <v>100</v>
      </c>
      <c r="V12" s="41">
        <f>SUMIF('People Costs'!$C:$C,$C12,'People Costs'!AA:AA)+SUMIF('Other Costs'!$C:$C,$C12,'Other Costs'!W:W)</f>
        <v>100</v>
      </c>
      <c r="W12" s="41">
        <f>SUMIF('People Costs'!$C:$C,$C12,'People Costs'!AB:AB)+SUMIF('Other Costs'!$C:$C,$C12,'Other Costs'!X:X)</f>
        <v>100</v>
      </c>
      <c r="X12" s="41">
        <f>SUMIF('People Costs'!$C:$C,$C12,'People Costs'!AC:AC)+SUMIF('Other Costs'!$C:$C,$C12,'Other Costs'!Y:Y)</f>
        <v>100</v>
      </c>
      <c r="Y12" s="41">
        <f>SUMIF('People Costs'!$C:$C,$C12,'People Costs'!AD:AD)+SUMIF('Other Costs'!$C:$C,$C12,'Other Costs'!Z:Z)</f>
        <v>100</v>
      </c>
      <c r="Z12" s="41">
        <f>SUMIF('People Costs'!$C:$C,$C12,'People Costs'!AE:AE)+SUMIF('Other Costs'!$C:$C,$C12,'Other Costs'!AA:AA)</f>
        <v>100</v>
      </c>
      <c r="AA12" s="41">
        <f>SUMIF('People Costs'!$C:$C,$C12,'People Costs'!AF:AF)+SUMIF('Other Costs'!$C:$C,$C12,'Other Costs'!AB:AB)</f>
        <v>100</v>
      </c>
      <c r="AB12" s="56"/>
      <c r="AC12" s="71">
        <f t="shared" si="7"/>
        <v>80055</v>
      </c>
      <c r="AD12" s="71">
        <f t="shared" si="8"/>
        <v>1200</v>
      </c>
    </row>
    <row r="13" spans="2:30" x14ac:dyDescent="0.2">
      <c r="B13" s="24" t="s">
        <v>213</v>
      </c>
      <c r="C13" s="56" t="s">
        <v>92</v>
      </c>
      <c r="D13" s="37">
        <v>2816.25</v>
      </c>
      <c r="E13" s="37">
        <v>2816.25</v>
      </c>
      <c r="F13" s="37">
        <v>2816.25</v>
      </c>
      <c r="G13" s="37">
        <v>2816.25</v>
      </c>
      <c r="H13" s="37">
        <v>2816.25</v>
      </c>
      <c r="I13" s="37">
        <v>2816.25</v>
      </c>
      <c r="J13" s="37">
        <v>2816.25</v>
      </c>
      <c r="K13" s="37">
        <v>2816.25</v>
      </c>
      <c r="L13" s="37">
        <v>2816.25</v>
      </c>
      <c r="M13" s="37">
        <v>2816.25</v>
      </c>
      <c r="N13" s="37">
        <v>2816.25</v>
      </c>
      <c r="O13" s="37">
        <v>2816.25</v>
      </c>
      <c r="P13" s="41">
        <f ca="1">SUMIF('People Costs'!$C:$C,$C13,'People Costs'!U:U)+SUMIF('Other Costs'!$C:$C,$C13,'Other Costs'!Q:Q)</f>
        <v>0</v>
      </c>
      <c r="Q13" s="41">
        <f ca="1">SUMIF('People Costs'!$C:$C,$C13,'People Costs'!V:V)+SUMIF('Other Costs'!$C:$C,$C13,'Other Costs'!R:R)</f>
        <v>0</v>
      </c>
      <c r="R13" s="41">
        <f ca="1">SUMIF('People Costs'!$C:$C,$C13,'People Costs'!W:W)+SUMIF('Other Costs'!$C:$C,$C13,'Other Costs'!S:S)</f>
        <v>0</v>
      </c>
      <c r="S13" s="41">
        <f ca="1">SUMIF('People Costs'!$C:$C,$C13,'People Costs'!X:X)+SUMIF('Other Costs'!$C:$C,$C13,'Other Costs'!T:T)</f>
        <v>0</v>
      </c>
      <c r="T13" s="41">
        <f ca="1">SUMIF('People Costs'!$C:$C,$C13,'People Costs'!Y:Y)+SUMIF('Other Costs'!$C:$C,$C13,'Other Costs'!U:U)</f>
        <v>0</v>
      </c>
      <c r="U13" s="41">
        <f ca="1">SUMIF('People Costs'!$C:$C,$C13,'People Costs'!Z:Z)+SUMIF('Other Costs'!$C:$C,$C13,'Other Costs'!V:V)</f>
        <v>0</v>
      </c>
      <c r="V13" s="41">
        <f ca="1">SUMIF('People Costs'!$C:$C,$C13,'People Costs'!AA:AA)+SUMIF('Other Costs'!$C:$C,$C13,'Other Costs'!W:W)</f>
        <v>0</v>
      </c>
      <c r="W13" s="41">
        <f ca="1">SUMIF('People Costs'!$C:$C,$C13,'People Costs'!AB:AB)+SUMIF('Other Costs'!$C:$C,$C13,'Other Costs'!X:X)</f>
        <v>0</v>
      </c>
      <c r="X13" s="41">
        <f ca="1">SUMIF('People Costs'!$C:$C,$C13,'People Costs'!AC:AC)+SUMIF('Other Costs'!$C:$C,$C13,'Other Costs'!Y:Y)</f>
        <v>0</v>
      </c>
      <c r="Y13" s="41">
        <f ca="1">SUMIF('People Costs'!$C:$C,$C13,'People Costs'!AD:AD)+SUMIF('Other Costs'!$C:$C,$C13,'Other Costs'!Z:Z)</f>
        <v>0</v>
      </c>
      <c r="Z13" s="41">
        <f ca="1">SUMIF('People Costs'!$C:$C,$C13,'People Costs'!AE:AE)+SUMIF('Other Costs'!$C:$C,$C13,'Other Costs'!AA:AA)</f>
        <v>0</v>
      </c>
      <c r="AA13" s="41">
        <f ca="1">SUMIF('People Costs'!$C:$C,$C13,'People Costs'!AF:AF)+SUMIF('Other Costs'!$C:$C,$C13,'Other Costs'!AB:AB)</f>
        <v>0</v>
      </c>
      <c r="AB13" s="56"/>
      <c r="AC13" s="71">
        <f t="shared" si="7"/>
        <v>33795</v>
      </c>
      <c r="AD13" s="71">
        <f t="shared" ca="1" si="8"/>
        <v>0</v>
      </c>
    </row>
    <row r="14" spans="2:30" x14ac:dyDescent="0.2">
      <c r="B14" s="24" t="s">
        <v>206</v>
      </c>
      <c r="C14" s="56" t="s">
        <v>113</v>
      </c>
      <c r="D14" s="37">
        <v>5955</v>
      </c>
      <c r="E14" s="37">
        <v>5955</v>
      </c>
      <c r="F14" s="37">
        <v>5955</v>
      </c>
      <c r="G14" s="37">
        <v>5955</v>
      </c>
      <c r="H14" s="37">
        <v>5955</v>
      </c>
      <c r="I14" s="37">
        <v>5955</v>
      </c>
      <c r="J14" s="37">
        <v>5955</v>
      </c>
      <c r="K14" s="37">
        <v>5955</v>
      </c>
      <c r="L14" s="37">
        <v>5955</v>
      </c>
      <c r="M14" s="37">
        <v>5955</v>
      </c>
      <c r="N14" s="37">
        <v>5955</v>
      </c>
      <c r="O14" s="37">
        <v>5955</v>
      </c>
      <c r="P14" s="41">
        <f ca="1">SUMIF('People Costs'!$C:$C,$C14,'People Costs'!U:U)+SUMIF('Other Costs'!$C:$C,$C14,'Other Costs'!Q:Q)</f>
        <v>2933.3333333333335</v>
      </c>
      <c r="Q14" s="41">
        <f ca="1">SUMIF('People Costs'!$C:$C,$C14,'People Costs'!V:V)+SUMIF('Other Costs'!$C:$C,$C14,'Other Costs'!R:R)</f>
        <v>2933.3333333333335</v>
      </c>
      <c r="R14" s="41">
        <f ca="1">SUMIF('People Costs'!$C:$C,$C14,'People Costs'!W:W)+SUMIF('Other Costs'!$C:$C,$C14,'Other Costs'!S:S)</f>
        <v>7933.333333333333</v>
      </c>
      <c r="S14" s="41">
        <f ca="1">SUMIF('People Costs'!$C:$C,$C14,'People Costs'!X:X)+SUMIF('Other Costs'!$C:$C,$C14,'Other Costs'!T:T)</f>
        <v>2933.3333333333335</v>
      </c>
      <c r="T14" s="41">
        <f ca="1">SUMIF('People Costs'!$C:$C,$C14,'People Costs'!Y:Y)+SUMIF('Other Costs'!$C:$C,$C14,'Other Costs'!U:U)</f>
        <v>2933.3333333333335</v>
      </c>
      <c r="U14" s="41">
        <f ca="1">SUMIF('People Costs'!$C:$C,$C14,'People Costs'!Z:Z)+SUMIF('Other Costs'!$C:$C,$C14,'Other Costs'!V:V)</f>
        <v>8933.3333333333321</v>
      </c>
      <c r="V14" s="41">
        <f ca="1">SUMIF('People Costs'!$C:$C,$C14,'People Costs'!AA:AA)+SUMIF('Other Costs'!$C:$C,$C14,'Other Costs'!W:W)</f>
        <v>2933.3333333333335</v>
      </c>
      <c r="W14" s="41">
        <f ca="1">SUMIF('People Costs'!$C:$C,$C14,'People Costs'!AB:AB)+SUMIF('Other Costs'!$C:$C,$C14,'Other Costs'!X:X)</f>
        <v>2933.3333333333335</v>
      </c>
      <c r="X14" s="41">
        <f ca="1">SUMIF('People Costs'!$C:$C,$C14,'People Costs'!AC:AC)+SUMIF('Other Costs'!$C:$C,$C14,'Other Costs'!Y:Y)</f>
        <v>2933.3333333333335</v>
      </c>
      <c r="Y14" s="41">
        <f ca="1">SUMIF('People Costs'!$C:$C,$C14,'People Costs'!AD:AD)+SUMIF('Other Costs'!$C:$C,$C14,'Other Costs'!Z:Z)</f>
        <v>2933.3333333333335</v>
      </c>
      <c r="Z14" s="41">
        <f ca="1">SUMIF('People Costs'!$C:$C,$C14,'People Costs'!AE:AE)+SUMIF('Other Costs'!$C:$C,$C14,'Other Costs'!AA:AA)</f>
        <v>2933.3333333333335</v>
      </c>
      <c r="AA14" s="41">
        <f ca="1">SUMIF('People Costs'!$C:$C,$C14,'People Costs'!AF:AF)+SUMIF('Other Costs'!$C:$C,$C14,'Other Costs'!AB:AB)</f>
        <v>2933.3333333333335</v>
      </c>
      <c r="AB14" s="56"/>
      <c r="AC14" s="71">
        <f t="shared" si="7"/>
        <v>71460</v>
      </c>
      <c r="AD14" s="71">
        <f t="shared" ca="1" si="8"/>
        <v>46200.000000000007</v>
      </c>
    </row>
    <row r="15" spans="2:30" x14ac:dyDescent="0.2">
      <c r="B15" s="24" t="s">
        <v>111</v>
      </c>
      <c r="C15" s="56" t="s">
        <v>199</v>
      </c>
      <c r="D15" s="37">
        <v>1000</v>
      </c>
      <c r="E15" s="37">
        <v>1000</v>
      </c>
      <c r="F15" s="37">
        <v>1500</v>
      </c>
      <c r="G15" s="37">
        <v>1000</v>
      </c>
      <c r="H15" s="37">
        <v>1600</v>
      </c>
      <c r="I15" s="37">
        <v>1500</v>
      </c>
      <c r="J15" s="37">
        <v>1000</v>
      </c>
      <c r="K15" s="37">
        <v>1600</v>
      </c>
      <c r="L15" s="37">
        <v>1000</v>
      </c>
      <c r="M15" s="37">
        <v>1000</v>
      </c>
      <c r="N15" s="37">
        <v>1900</v>
      </c>
      <c r="O15" s="37">
        <v>1000</v>
      </c>
      <c r="P15" s="41">
        <f ca="1">SUMIF('People Costs'!$C:$C,$C15,'People Costs'!U:U)+SUMIF('Other Costs'!$C:$C,$C15,'Other Costs'!Q:Q)</f>
        <v>1000.0000000000002</v>
      </c>
      <c r="Q15" s="41">
        <f ca="1">SUMIF('People Costs'!$C:$C,$C15,'People Costs'!V:V)+SUMIF('Other Costs'!$C:$C,$C15,'Other Costs'!R:R)</f>
        <v>1900.0000000000002</v>
      </c>
      <c r="R15" s="41">
        <f ca="1">SUMIF('People Costs'!$C:$C,$C15,'People Costs'!W:W)+SUMIF('Other Costs'!$C:$C,$C15,'Other Costs'!S:S)</f>
        <v>1000.0000000000002</v>
      </c>
      <c r="S15" s="41">
        <f ca="1">SUMIF('People Costs'!$C:$C,$C15,'People Costs'!X:X)+SUMIF('Other Costs'!$C:$C,$C15,'Other Costs'!T:T)</f>
        <v>1000.0000000000002</v>
      </c>
      <c r="T15" s="41">
        <f ca="1">SUMIF('People Costs'!$C:$C,$C15,'People Costs'!Y:Y)+SUMIF('Other Costs'!$C:$C,$C15,'Other Costs'!U:U)</f>
        <v>1000.0000000000002</v>
      </c>
      <c r="U15" s="41">
        <f ca="1">SUMIF('People Costs'!$C:$C,$C15,'People Costs'!Z:Z)+SUMIF('Other Costs'!$C:$C,$C15,'Other Costs'!V:V)</f>
        <v>1300.0000000000002</v>
      </c>
      <c r="V15" s="41">
        <f ca="1">SUMIF('People Costs'!$C:$C,$C15,'People Costs'!AA:AA)+SUMIF('Other Costs'!$C:$C,$C15,'Other Costs'!W:W)</f>
        <v>1000.0000000000002</v>
      </c>
      <c r="W15" s="41">
        <f ca="1">SUMIF('People Costs'!$C:$C,$C15,'People Costs'!AB:AB)+SUMIF('Other Costs'!$C:$C,$C15,'Other Costs'!X:X)</f>
        <v>1000.0000000000002</v>
      </c>
      <c r="X15" s="41">
        <f ca="1">SUMIF('People Costs'!$C:$C,$C15,'People Costs'!AC:AC)+SUMIF('Other Costs'!$C:$C,$C15,'Other Costs'!Y:Y)</f>
        <v>1000.0000000000002</v>
      </c>
      <c r="Y15" s="41">
        <f ca="1">SUMIF('People Costs'!$C:$C,$C15,'People Costs'!AD:AD)+SUMIF('Other Costs'!$C:$C,$C15,'Other Costs'!Z:Z)</f>
        <v>1000.0000000000002</v>
      </c>
      <c r="Z15" s="41">
        <f ca="1">SUMIF('People Costs'!$C:$C,$C15,'People Costs'!AE:AE)+SUMIF('Other Costs'!$C:$C,$C15,'Other Costs'!AA:AA)</f>
        <v>1000.0000000000002</v>
      </c>
      <c r="AA15" s="41">
        <f ca="1">SUMIF('People Costs'!$C:$C,$C15,'People Costs'!AF:AF)+SUMIF('Other Costs'!$C:$C,$C15,'Other Costs'!AB:AB)</f>
        <v>1000.0000000000002</v>
      </c>
      <c r="AB15" s="56"/>
      <c r="AC15" s="71">
        <f t="shared" si="7"/>
        <v>15100</v>
      </c>
      <c r="AD15" s="71">
        <f t="shared" ca="1" si="8"/>
        <v>13200.000000000002</v>
      </c>
    </row>
    <row r="16" spans="2:30" x14ac:dyDescent="0.2">
      <c r="B16" s="24" t="s">
        <v>5</v>
      </c>
      <c r="C16" s="56" t="s">
        <v>114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41">
        <f>SUMIF('People Costs'!$C:$C,$C16,'People Costs'!U:U)+SUMIF('Other Costs'!$C:$C,$C16,'Other Costs'!Q:Q)</f>
        <v>131.45833333333334</v>
      </c>
      <c r="Q16" s="41">
        <f>SUMIF('People Costs'!$C:$C,$C16,'People Costs'!V:V)+SUMIF('Other Costs'!$C:$C,$C16,'Other Costs'!R:R)</f>
        <v>142.91666666666669</v>
      </c>
      <c r="R16" s="41">
        <f>SUMIF('People Costs'!$C:$C,$C16,'People Costs'!W:W)+SUMIF('Other Costs'!$C:$C,$C16,'Other Costs'!S:S)</f>
        <v>154.375</v>
      </c>
      <c r="S16" s="41">
        <f>SUMIF('People Costs'!$C:$C,$C16,'People Costs'!X:X)+SUMIF('Other Costs'!$C:$C,$C16,'Other Costs'!T:T)</f>
        <v>165.83333333333331</v>
      </c>
      <c r="T16" s="41">
        <f>SUMIF('People Costs'!$C:$C,$C16,'People Costs'!Y:Y)+SUMIF('Other Costs'!$C:$C,$C16,'Other Costs'!U:U)</f>
        <v>177.29166666666669</v>
      </c>
      <c r="U16" s="41">
        <f>SUMIF('People Costs'!$C:$C,$C16,'People Costs'!Z:Z)+SUMIF('Other Costs'!$C:$C,$C16,'Other Costs'!V:V)</f>
        <v>188.75</v>
      </c>
      <c r="V16" s="41">
        <f>SUMIF('People Costs'!$C:$C,$C16,'People Costs'!AA:AA)+SUMIF('Other Costs'!$C:$C,$C16,'Other Costs'!W:W)</f>
        <v>200.20833333333331</v>
      </c>
      <c r="W16" s="41">
        <f>SUMIF('People Costs'!$C:$C,$C16,'People Costs'!AB:AB)+SUMIF('Other Costs'!$C:$C,$C16,'Other Costs'!X:X)</f>
        <v>211.66666666666669</v>
      </c>
      <c r="X16" s="41">
        <f>SUMIF('People Costs'!$C:$C,$C16,'People Costs'!AC:AC)+SUMIF('Other Costs'!$C:$C,$C16,'Other Costs'!Y:Y)</f>
        <v>223.125</v>
      </c>
      <c r="Y16" s="41">
        <f>SUMIF('People Costs'!$C:$C,$C16,'People Costs'!AD:AD)+SUMIF('Other Costs'!$C:$C,$C16,'Other Costs'!Z:Z)</f>
        <v>234.58333333333331</v>
      </c>
      <c r="Z16" s="41">
        <f>SUMIF('People Costs'!$C:$C,$C16,'People Costs'!AE:AE)+SUMIF('Other Costs'!$C:$C,$C16,'Other Costs'!AA:AA)</f>
        <v>246.04166666666669</v>
      </c>
      <c r="AA16" s="41">
        <f>SUMIF('People Costs'!$C:$C,$C16,'People Costs'!AF:AF)+SUMIF('Other Costs'!$C:$C,$C16,'Other Costs'!AB:AB)</f>
        <v>257.5</v>
      </c>
      <c r="AB16" s="56"/>
      <c r="AC16" s="71">
        <f t="shared" si="7"/>
        <v>0</v>
      </c>
      <c r="AD16" s="71">
        <f t="shared" si="8"/>
        <v>2333.75</v>
      </c>
    </row>
    <row r="17" spans="2:30" x14ac:dyDescent="0.2">
      <c r="B17" s="24" t="s">
        <v>6</v>
      </c>
      <c r="C17" s="56" t="s">
        <v>115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41">
        <f>SUMIF('People Costs'!$C:$C,$C17,'People Costs'!U:U)+SUMIF('Other Costs'!$C:$C,$C17,'Other Costs'!Q:Q)</f>
        <v>41.666666666666664</v>
      </c>
      <c r="Q17" s="41">
        <f>SUMIF('People Costs'!$C:$C,$C17,'People Costs'!V:V)+SUMIF('Other Costs'!$C:$C,$C17,'Other Costs'!R:R)</f>
        <v>41.666666666666664</v>
      </c>
      <c r="R17" s="41">
        <f>SUMIF('People Costs'!$C:$C,$C17,'People Costs'!W:W)+SUMIF('Other Costs'!$C:$C,$C17,'Other Costs'!S:S)</f>
        <v>41.666666666666664</v>
      </c>
      <c r="S17" s="41">
        <f>SUMIF('People Costs'!$C:$C,$C17,'People Costs'!X:X)+SUMIF('Other Costs'!$C:$C,$C17,'Other Costs'!T:T)</f>
        <v>41.666666666666664</v>
      </c>
      <c r="T17" s="41">
        <f>SUMIF('People Costs'!$C:$C,$C17,'People Costs'!Y:Y)+SUMIF('Other Costs'!$C:$C,$C17,'Other Costs'!U:U)</f>
        <v>41.666666666666664</v>
      </c>
      <c r="U17" s="41">
        <f>SUMIF('People Costs'!$C:$C,$C17,'People Costs'!Z:Z)+SUMIF('Other Costs'!$C:$C,$C17,'Other Costs'!V:V)</f>
        <v>41.666666666666664</v>
      </c>
      <c r="V17" s="41">
        <f>SUMIF('People Costs'!$C:$C,$C17,'People Costs'!AA:AA)+SUMIF('Other Costs'!$C:$C,$C17,'Other Costs'!W:W)</f>
        <v>41.666666666666664</v>
      </c>
      <c r="W17" s="41">
        <f>SUMIF('People Costs'!$C:$C,$C17,'People Costs'!AB:AB)+SUMIF('Other Costs'!$C:$C,$C17,'Other Costs'!X:X)</f>
        <v>41.666666666666664</v>
      </c>
      <c r="X17" s="41">
        <f>SUMIF('People Costs'!$C:$C,$C17,'People Costs'!AC:AC)+SUMIF('Other Costs'!$C:$C,$C17,'Other Costs'!Y:Y)</f>
        <v>41.666666666666664</v>
      </c>
      <c r="Y17" s="41">
        <f>SUMIF('People Costs'!$C:$C,$C17,'People Costs'!AD:AD)+SUMIF('Other Costs'!$C:$C,$C17,'Other Costs'!Z:Z)</f>
        <v>41.666666666666664</v>
      </c>
      <c r="Z17" s="41">
        <f>SUMIF('People Costs'!$C:$C,$C17,'People Costs'!AE:AE)+SUMIF('Other Costs'!$C:$C,$C17,'Other Costs'!AA:AA)</f>
        <v>41.666666666666664</v>
      </c>
      <c r="AA17" s="41">
        <f>SUMIF('People Costs'!$C:$C,$C17,'People Costs'!AF:AF)+SUMIF('Other Costs'!$C:$C,$C17,'Other Costs'!AB:AB)</f>
        <v>41.666666666666664</v>
      </c>
      <c r="AB17" s="56"/>
      <c r="AC17" s="71">
        <f t="shared" si="7"/>
        <v>0</v>
      </c>
      <c r="AD17" s="71">
        <f t="shared" si="8"/>
        <v>500.00000000000006</v>
      </c>
    </row>
    <row r="18" spans="2:30" x14ac:dyDescent="0.2">
      <c r="B18" s="62" t="s">
        <v>125</v>
      </c>
      <c r="C18" s="76"/>
      <c r="D18" s="90">
        <f>SUM(D11:D17)</f>
        <v>31578.75</v>
      </c>
      <c r="E18" s="90">
        <f t="shared" ref="E18:AA18" si="9">SUM(E11:E17)</f>
        <v>31578.75</v>
      </c>
      <c r="F18" s="90">
        <f t="shared" si="9"/>
        <v>32078.75</v>
      </c>
      <c r="G18" s="90">
        <f t="shared" si="9"/>
        <v>31578.75</v>
      </c>
      <c r="H18" s="90">
        <f t="shared" si="9"/>
        <v>32178.75</v>
      </c>
      <c r="I18" s="90">
        <f t="shared" si="9"/>
        <v>32078.75</v>
      </c>
      <c r="J18" s="90">
        <f t="shared" si="9"/>
        <v>31578.75</v>
      </c>
      <c r="K18" s="90">
        <f t="shared" si="9"/>
        <v>32178.75</v>
      </c>
      <c r="L18" s="90">
        <f t="shared" si="9"/>
        <v>31578.75</v>
      </c>
      <c r="M18" s="90">
        <f t="shared" ref="M18" si="10">SUM(M11:M17)</f>
        <v>31578.75</v>
      </c>
      <c r="N18" s="90">
        <f t="shared" ref="N18" si="11">SUM(N11:N17)</f>
        <v>32478.75</v>
      </c>
      <c r="O18" s="90">
        <f t="shared" ref="O18" si="12">SUM(O11:O17)</f>
        <v>31578.75</v>
      </c>
      <c r="P18" s="63">
        <f t="shared" ca="1" si="9"/>
        <v>16526.458333333336</v>
      </c>
      <c r="Q18" s="63">
        <f t="shared" ca="1" si="9"/>
        <v>17437.916666666672</v>
      </c>
      <c r="R18" s="63">
        <f t="shared" ca="1" si="9"/>
        <v>21549.375</v>
      </c>
      <c r="S18" s="63">
        <f t="shared" ca="1" si="9"/>
        <v>16560.833333333336</v>
      </c>
      <c r="T18" s="63">
        <f t="shared" ca="1" si="9"/>
        <v>16572.291666666668</v>
      </c>
      <c r="U18" s="63">
        <f t="shared" ca="1" si="9"/>
        <v>22883.75</v>
      </c>
      <c r="V18" s="63">
        <f t="shared" ca="1" si="9"/>
        <v>16595.208333333336</v>
      </c>
      <c r="W18" s="63">
        <f t="shared" ca="1" si="9"/>
        <v>16606.666666666668</v>
      </c>
      <c r="X18" s="63">
        <f t="shared" ca="1" si="9"/>
        <v>16618.125000000004</v>
      </c>
      <c r="Y18" s="63">
        <f t="shared" ca="1" si="9"/>
        <v>16629.583333333336</v>
      </c>
      <c r="Z18" s="63">
        <f t="shared" ca="1" si="9"/>
        <v>16641.041666666668</v>
      </c>
      <c r="AA18" s="63">
        <f t="shared" ca="1" si="9"/>
        <v>16652.500000000004</v>
      </c>
      <c r="AB18" s="76"/>
      <c r="AC18" s="73">
        <f>SUM(AC11:AC17)</f>
        <v>382045</v>
      </c>
      <c r="AD18" s="73">
        <f ca="1">SUM(AD11:AD17)</f>
        <v>211273.75</v>
      </c>
    </row>
    <row r="19" spans="2:30" x14ac:dyDescent="0.2">
      <c r="B19" s="24"/>
      <c r="C19" s="56"/>
      <c r="D19" s="37"/>
      <c r="E19" s="37"/>
      <c r="F19" s="37"/>
      <c r="G19" s="37"/>
      <c r="H19" s="37"/>
      <c r="I19" s="37"/>
      <c r="J19" s="37"/>
      <c r="K19" s="37"/>
      <c r="L19" s="37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56"/>
      <c r="AC19" s="71"/>
      <c r="AD19" s="71"/>
    </row>
    <row r="20" spans="2:30" s="2" customFormat="1" x14ac:dyDescent="0.2">
      <c r="B20" s="62" t="s">
        <v>11</v>
      </c>
      <c r="C20" s="62"/>
      <c r="D20" s="90">
        <f t="shared" ref="D20:AA20" si="13">D7-D18</f>
        <v>-17685.474901290996</v>
      </c>
      <c r="E20" s="90">
        <f t="shared" si="13"/>
        <v>-17431.288318458101</v>
      </c>
      <c r="F20" s="90">
        <f t="shared" si="13"/>
        <v>-17202.520393908489</v>
      </c>
      <c r="G20" s="90">
        <f t="shared" si="13"/>
        <v>-16996.62926181384</v>
      </c>
      <c r="H20" s="90">
        <f t="shared" si="13"/>
        <v>-16811.327242928655</v>
      </c>
      <c r="I20" s="90">
        <f t="shared" si="13"/>
        <v>-16644.555425931991</v>
      </c>
      <c r="J20" s="90">
        <f t="shared" si="13"/>
        <v>-15794.46079063499</v>
      </c>
      <c r="K20" s="90">
        <f t="shared" si="13"/>
        <v>-16359.375618867691</v>
      </c>
      <c r="L20" s="90">
        <f t="shared" si="13"/>
        <v>-15437.798964277121</v>
      </c>
      <c r="M20" s="90">
        <f t="shared" si="13"/>
        <v>-15428.379975145608</v>
      </c>
      <c r="N20" s="90">
        <f t="shared" si="13"/>
        <v>-16029.902884927247</v>
      </c>
      <c r="O20" s="90">
        <f t="shared" si="13"/>
        <v>-15141.273503730721</v>
      </c>
      <c r="P20" s="63">
        <f t="shared" ca="1" si="13"/>
        <v>8575.4506666666639</v>
      </c>
      <c r="Q20" s="63">
        <f t="shared" ca="1" si="13"/>
        <v>8271.3495333333303</v>
      </c>
      <c r="R20" s="63">
        <f t="shared" ca="1" si="13"/>
        <v>3835.2148000000016</v>
      </c>
      <c r="S20" s="63">
        <f t="shared" ca="1" si="13"/>
        <v>8992.8424666666651</v>
      </c>
      <c r="T20" s="63">
        <f t="shared" ca="1" si="13"/>
        <v>9213.5607333333319</v>
      </c>
      <c r="U20" s="63">
        <f t="shared" ca="1" si="13"/>
        <v>3259.0613400000002</v>
      </c>
      <c r="V20" s="63">
        <f t="shared" ca="1" si="13"/>
        <v>9530.8636466666649</v>
      </c>
      <c r="W20" s="63">
        <f t="shared" ca="1" si="13"/>
        <v>9550.3471133333333</v>
      </c>
      <c r="X20" s="63">
        <f t="shared" ca="1" si="13"/>
        <v>9798.7355999999963</v>
      </c>
      <c r="Y20" s="63">
        <f t="shared" ca="1" si="13"/>
        <v>9797.1377866666662</v>
      </c>
      <c r="Z20" s="63">
        <f t="shared" ca="1" si="13"/>
        <v>10026.555533333332</v>
      </c>
      <c r="AA20" s="63">
        <f t="shared" ca="1" si="13"/>
        <v>10007.884059999997</v>
      </c>
      <c r="AB20" s="62"/>
      <c r="AC20" s="73">
        <f>AC7-AC18</f>
        <v>-196962.98728191544</v>
      </c>
      <c r="AD20" s="73">
        <f ca="1">AD7-AD18</f>
        <v>100859.00327999995</v>
      </c>
    </row>
    <row r="21" spans="2:30" ht="6.75" customHeight="1" x14ac:dyDescent="0.2">
      <c r="B21" s="24"/>
      <c r="C21" s="24"/>
      <c r="D21" s="37"/>
      <c r="E21" s="37"/>
      <c r="F21" s="37"/>
      <c r="G21" s="37"/>
      <c r="H21" s="37"/>
      <c r="I21" s="37"/>
      <c r="J21" s="37"/>
      <c r="K21" s="37"/>
      <c r="L21" s="37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24"/>
      <c r="AC21" s="71"/>
      <c r="AD21" s="71"/>
    </row>
    <row r="22" spans="2:30" x14ac:dyDescent="0.2">
      <c r="B22" s="25" t="s">
        <v>124</v>
      </c>
      <c r="C22" s="25"/>
      <c r="D22" s="37"/>
      <c r="E22" s="37"/>
      <c r="F22" s="37"/>
      <c r="G22" s="37"/>
      <c r="H22" s="37"/>
      <c r="I22" s="37"/>
      <c r="J22" s="37"/>
      <c r="K22" s="37"/>
      <c r="L22" s="37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25"/>
      <c r="AC22" s="71"/>
      <c r="AD22" s="71"/>
    </row>
    <row r="23" spans="2:30" x14ac:dyDescent="0.2">
      <c r="B23" s="24" t="s">
        <v>4</v>
      </c>
      <c r="C23" s="24"/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24"/>
      <c r="AC23" s="71">
        <f>SUM(D23:O23)</f>
        <v>0</v>
      </c>
      <c r="AD23" s="71">
        <f>SUM(P23:AA23)</f>
        <v>0</v>
      </c>
    </row>
    <row r="24" spans="2:30" x14ac:dyDescent="0.2">
      <c r="B24" s="24" t="s">
        <v>15</v>
      </c>
      <c r="C24" s="24"/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24"/>
      <c r="AC24" s="71">
        <f>SUM(D24:O24)</f>
        <v>0</v>
      </c>
      <c r="AD24" s="71">
        <f>SUM(P24:AA24)</f>
        <v>0</v>
      </c>
    </row>
    <row r="25" spans="2:30" x14ac:dyDescent="0.2">
      <c r="B25" s="24" t="s">
        <v>124</v>
      </c>
      <c r="C25" s="24"/>
      <c r="D25" s="37">
        <v>8586.2900000000009</v>
      </c>
      <c r="E25" s="37">
        <v>2288.96</v>
      </c>
      <c r="F25" s="37">
        <v>2460.6799999999998</v>
      </c>
      <c r="G25" s="37">
        <v>2253.66</v>
      </c>
      <c r="H25" s="37">
        <v>2530.56</v>
      </c>
      <c r="I25" s="37">
        <v>-3932.0499999999997</v>
      </c>
      <c r="J25" s="37">
        <v>2301.09</v>
      </c>
      <c r="K25" s="37">
        <v>2124.6799999999998</v>
      </c>
      <c r="L25" s="37">
        <v>2148.3000000000002</v>
      </c>
      <c r="M25" s="37">
        <v>2149.3000000000002</v>
      </c>
      <c r="N25" s="37">
        <v>2150.3000000000002</v>
      </c>
      <c r="O25" s="37">
        <v>2151.3000000000002</v>
      </c>
      <c r="P25" s="36">
        <v>2000</v>
      </c>
      <c r="Q25" s="36">
        <v>2000</v>
      </c>
      <c r="R25" s="36">
        <v>2000</v>
      </c>
      <c r="S25" s="36">
        <v>2000</v>
      </c>
      <c r="T25" s="36">
        <v>2000</v>
      </c>
      <c r="U25" s="36">
        <v>2000</v>
      </c>
      <c r="V25" s="36">
        <v>2000</v>
      </c>
      <c r="W25" s="36">
        <v>2000</v>
      </c>
      <c r="X25" s="36">
        <v>2000</v>
      </c>
      <c r="Y25" s="36">
        <v>2000</v>
      </c>
      <c r="Z25" s="36">
        <v>2000</v>
      </c>
      <c r="AA25" s="36">
        <v>2000</v>
      </c>
      <c r="AB25" s="24"/>
      <c r="AC25" s="71">
        <f>SUM(D25:O25)</f>
        <v>27213.07</v>
      </c>
      <c r="AD25" s="71">
        <f>SUM(P25:AA25)</f>
        <v>24000</v>
      </c>
    </row>
    <row r="26" spans="2:30" s="2" customFormat="1" x14ac:dyDescent="0.2">
      <c r="B26" s="62" t="s">
        <v>107</v>
      </c>
      <c r="C26" s="62"/>
      <c r="D26" s="90">
        <f t="shared" ref="D26:L26" si="14">SUM(D23:D25)</f>
        <v>8586.2900000000009</v>
      </c>
      <c r="E26" s="90">
        <f t="shared" si="14"/>
        <v>2288.96</v>
      </c>
      <c r="F26" s="90">
        <f t="shared" si="14"/>
        <v>2460.6799999999998</v>
      </c>
      <c r="G26" s="90">
        <f t="shared" si="14"/>
        <v>2253.66</v>
      </c>
      <c r="H26" s="90">
        <f t="shared" si="14"/>
        <v>2530.56</v>
      </c>
      <c r="I26" s="90">
        <f t="shared" si="14"/>
        <v>-3932.0499999999997</v>
      </c>
      <c r="J26" s="90">
        <f t="shared" si="14"/>
        <v>2301.09</v>
      </c>
      <c r="K26" s="90">
        <f t="shared" si="14"/>
        <v>2124.6799999999998</v>
      </c>
      <c r="L26" s="90">
        <f t="shared" si="14"/>
        <v>2148.3000000000002</v>
      </c>
      <c r="M26" s="90">
        <f t="shared" ref="M26:O26" si="15">SUM(M23:M25)</f>
        <v>2149.3000000000002</v>
      </c>
      <c r="N26" s="90">
        <f t="shared" si="15"/>
        <v>2150.3000000000002</v>
      </c>
      <c r="O26" s="90">
        <f t="shared" si="15"/>
        <v>2151.3000000000002</v>
      </c>
      <c r="P26" s="63">
        <f t="shared" ref="P26:AA26" si="16">SUM(P23:P25)</f>
        <v>2000</v>
      </c>
      <c r="Q26" s="63">
        <f t="shared" si="16"/>
        <v>2000</v>
      </c>
      <c r="R26" s="63">
        <f t="shared" si="16"/>
        <v>2000</v>
      </c>
      <c r="S26" s="63">
        <f t="shared" si="16"/>
        <v>2000</v>
      </c>
      <c r="T26" s="63">
        <f t="shared" si="16"/>
        <v>2000</v>
      </c>
      <c r="U26" s="63">
        <f t="shared" si="16"/>
        <v>2000</v>
      </c>
      <c r="V26" s="63">
        <f t="shared" si="16"/>
        <v>2000</v>
      </c>
      <c r="W26" s="63">
        <f t="shared" si="16"/>
        <v>2000</v>
      </c>
      <c r="X26" s="63">
        <f t="shared" si="16"/>
        <v>2000</v>
      </c>
      <c r="Y26" s="63">
        <f t="shared" si="16"/>
        <v>2000</v>
      </c>
      <c r="Z26" s="63">
        <f t="shared" si="16"/>
        <v>2000</v>
      </c>
      <c r="AA26" s="63">
        <f t="shared" si="16"/>
        <v>2000</v>
      </c>
      <c r="AB26" s="62"/>
      <c r="AC26" s="73">
        <f>SUM(AC23:AC25)</f>
        <v>27213.07</v>
      </c>
      <c r="AD26" s="73">
        <f>SUM(AD23:AD25)</f>
        <v>24000</v>
      </c>
    </row>
    <row r="27" spans="2:30" x14ac:dyDescent="0.2">
      <c r="B27" s="24"/>
      <c r="C27" s="24"/>
      <c r="D27" s="37"/>
      <c r="E27" s="37"/>
      <c r="F27" s="37"/>
      <c r="G27" s="37"/>
      <c r="H27" s="37"/>
      <c r="I27" s="37"/>
      <c r="J27" s="37"/>
      <c r="K27" s="37"/>
      <c r="L27" s="37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24"/>
      <c r="AC27" s="71"/>
      <c r="AD27" s="71"/>
    </row>
    <row r="28" spans="2:30" s="2" customFormat="1" x14ac:dyDescent="0.2">
      <c r="B28" s="62" t="s">
        <v>12</v>
      </c>
      <c r="C28" s="62"/>
      <c r="D28" s="90">
        <f t="shared" ref="D28:L28" si="17">D20+D26</f>
        <v>-9099.1849012909952</v>
      </c>
      <c r="E28" s="90">
        <f t="shared" si="17"/>
        <v>-15142.328318458101</v>
      </c>
      <c r="F28" s="90">
        <f t="shared" si="17"/>
        <v>-14741.840393908489</v>
      </c>
      <c r="G28" s="90">
        <f t="shared" si="17"/>
        <v>-14742.96926181384</v>
      </c>
      <c r="H28" s="90">
        <f t="shared" si="17"/>
        <v>-14280.767242928656</v>
      </c>
      <c r="I28" s="90">
        <f t="shared" si="17"/>
        <v>-20576.60542593199</v>
      </c>
      <c r="J28" s="90">
        <f t="shared" si="17"/>
        <v>-13493.37079063499</v>
      </c>
      <c r="K28" s="90">
        <f t="shared" si="17"/>
        <v>-14234.69561886769</v>
      </c>
      <c r="L28" s="90">
        <f t="shared" si="17"/>
        <v>-13289.498964277122</v>
      </c>
      <c r="M28" s="90">
        <f t="shared" ref="M28:O28" si="18">M20+M26</f>
        <v>-13279.079975145607</v>
      </c>
      <c r="N28" s="90">
        <f t="shared" si="18"/>
        <v>-13879.602884927248</v>
      </c>
      <c r="O28" s="90">
        <f t="shared" si="18"/>
        <v>-12989.973503730722</v>
      </c>
      <c r="P28" s="63">
        <f t="shared" ref="P28:AA28" ca="1" si="19">P20+P26</f>
        <v>10575.450666666664</v>
      </c>
      <c r="Q28" s="63">
        <f t="shared" ca="1" si="19"/>
        <v>10271.34953333333</v>
      </c>
      <c r="R28" s="63">
        <f t="shared" ca="1" si="19"/>
        <v>5835.2148000000016</v>
      </c>
      <c r="S28" s="63">
        <f t="shared" ca="1" si="19"/>
        <v>10992.842466666665</v>
      </c>
      <c r="T28" s="63">
        <f t="shared" ca="1" si="19"/>
        <v>11213.560733333332</v>
      </c>
      <c r="U28" s="63">
        <f t="shared" ca="1" si="19"/>
        <v>5259.0613400000002</v>
      </c>
      <c r="V28" s="63">
        <f t="shared" ca="1" si="19"/>
        <v>11530.863646666665</v>
      </c>
      <c r="W28" s="63">
        <f t="shared" ca="1" si="19"/>
        <v>11550.347113333333</v>
      </c>
      <c r="X28" s="63">
        <f t="shared" ca="1" si="19"/>
        <v>11798.735599999996</v>
      </c>
      <c r="Y28" s="63">
        <f t="shared" ca="1" si="19"/>
        <v>11797.137786666666</v>
      </c>
      <c r="Z28" s="63">
        <f t="shared" ca="1" si="19"/>
        <v>12026.555533333332</v>
      </c>
      <c r="AA28" s="63">
        <f t="shared" ca="1" si="19"/>
        <v>12007.884059999997</v>
      </c>
      <c r="AB28" s="62"/>
      <c r="AC28" s="73">
        <f>AC20+AC26</f>
        <v>-169749.91728191543</v>
      </c>
      <c r="AD28" s="73">
        <f ca="1">AD20+AD26</f>
        <v>124859.00327999995</v>
      </c>
    </row>
    <row r="29" spans="2:30" x14ac:dyDescent="0.2">
      <c r="B29" s="24"/>
      <c r="C29" s="24"/>
      <c r="D29" s="37"/>
      <c r="E29" s="37"/>
      <c r="F29" s="37"/>
      <c r="G29" s="37"/>
      <c r="H29" s="37"/>
      <c r="I29" s="37"/>
      <c r="J29" s="37"/>
      <c r="K29" s="37"/>
      <c r="L29" s="37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24"/>
      <c r="AC29" s="71"/>
      <c r="AD29" s="71"/>
    </row>
    <row r="30" spans="2:30" x14ac:dyDescent="0.2">
      <c r="B30" s="25" t="s">
        <v>13</v>
      </c>
      <c r="C30" s="25"/>
      <c r="D30" s="37"/>
      <c r="E30" s="37"/>
      <c r="F30" s="37"/>
      <c r="G30" s="37"/>
      <c r="H30" s="37"/>
      <c r="I30" s="37"/>
      <c r="J30" s="37"/>
      <c r="K30" s="37"/>
      <c r="L30" s="37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25"/>
      <c r="AC30" s="71"/>
      <c r="AD30" s="71"/>
    </row>
    <row r="31" spans="2:30" x14ac:dyDescent="0.2">
      <c r="B31" s="24" t="s">
        <v>14</v>
      </c>
      <c r="C31" s="24"/>
      <c r="D31" s="37">
        <f t="shared" ref="D31:L31" si="20">-D23</f>
        <v>0</v>
      </c>
      <c r="E31" s="37">
        <f t="shared" si="20"/>
        <v>0</v>
      </c>
      <c r="F31" s="37">
        <f t="shared" si="20"/>
        <v>0</v>
      </c>
      <c r="G31" s="37">
        <f t="shared" si="20"/>
        <v>0</v>
      </c>
      <c r="H31" s="37">
        <f t="shared" si="20"/>
        <v>0</v>
      </c>
      <c r="I31" s="37">
        <f t="shared" si="20"/>
        <v>0</v>
      </c>
      <c r="J31" s="37">
        <f t="shared" si="20"/>
        <v>0</v>
      </c>
      <c r="K31" s="37">
        <f t="shared" si="20"/>
        <v>0</v>
      </c>
      <c r="L31" s="37">
        <f t="shared" si="20"/>
        <v>0</v>
      </c>
      <c r="M31" s="37">
        <f t="shared" ref="M31:O31" si="21">-M23</f>
        <v>0</v>
      </c>
      <c r="N31" s="37">
        <f t="shared" si="21"/>
        <v>0</v>
      </c>
      <c r="O31" s="37">
        <f t="shared" si="21"/>
        <v>0</v>
      </c>
      <c r="P31" s="33">
        <f t="shared" ref="P31:AA31" si="22">-P23</f>
        <v>0</v>
      </c>
      <c r="Q31" s="33">
        <f t="shared" si="22"/>
        <v>0</v>
      </c>
      <c r="R31" s="33">
        <f t="shared" si="22"/>
        <v>0</v>
      </c>
      <c r="S31" s="33">
        <f t="shared" si="22"/>
        <v>0</v>
      </c>
      <c r="T31" s="33">
        <f t="shared" si="22"/>
        <v>0</v>
      </c>
      <c r="U31" s="33">
        <f t="shared" si="22"/>
        <v>0</v>
      </c>
      <c r="V31" s="33">
        <f t="shared" si="22"/>
        <v>0</v>
      </c>
      <c r="W31" s="33">
        <f t="shared" si="22"/>
        <v>0</v>
      </c>
      <c r="X31" s="33">
        <f t="shared" si="22"/>
        <v>0</v>
      </c>
      <c r="Y31" s="33">
        <f t="shared" si="22"/>
        <v>0</v>
      </c>
      <c r="Z31" s="33">
        <f t="shared" si="22"/>
        <v>0</v>
      </c>
      <c r="AA31" s="33">
        <f t="shared" si="22"/>
        <v>0</v>
      </c>
      <c r="AB31" s="24"/>
      <c r="AC31" s="71">
        <f>SUM(D31:O31)</f>
        <v>0</v>
      </c>
      <c r="AD31" s="71">
        <f>SUM(P31:AA31)</f>
        <v>0</v>
      </c>
    </row>
    <row r="32" spans="2:30" x14ac:dyDescent="0.2">
      <c r="B32" s="24" t="s">
        <v>15</v>
      </c>
      <c r="C32" s="24"/>
      <c r="D32" s="37">
        <f t="shared" ref="D32:L32" si="23">-D24</f>
        <v>0</v>
      </c>
      <c r="E32" s="37">
        <f t="shared" si="23"/>
        <v>0</v>
      </c>
      <c r="F32" s="37">
        <f t="shared" si="23"/>
        <v>0</v>
      </c>
      <c r="G32" s="37">
        <f t="shared" si="23"/>
        <v>0</v>
      </c>
      <c r="H32" s="37">
        <f t="shared" si="23"/>
        <v>0</v>
      </c>
      <c r="I32" s="37">
        <f t="shared" si="23"/>
        <v>0</v>
      </c>
      <c r="J32" s="37">
        <f t="shared" si="23"/>
        <v>0</v>
      </c>
      <c r="K32" s="37">
        <f t="shared" si="23"/>
        <v>0</v>
      </c>
      <c r="L32" s="37">
        <f t="shared" si="23"/>
        <v>0</v>
      </c>
      <c r="M32" s="37">
        <f t="shared" ref="M32:N32" si="24">-M24</f>
        <v>0</v>
      </c>
      <c r="N32" s="37">
        <f t="shared" si="24"/>
        <v>0</v>
      </c>
      <c r="O32" s="37">
        <f>-O24</f>
        <v>0</v>
      </c>
      <c r="P32" s="33">
        <f t="shared" ref="P32:AA32" si="25">-P24</f>
        <v>0</v>
      </c>
      <c r="Q32" s="33">
        <f t="shared" si="25"/>
        <v>0</v>
      </c>
      <c r="R32" s="33">
        <f t="shared" si="25"/>
        <v>0</v>
      </c>
      <c r="S32" s="33">
        <f t="shared" si="25"/>
        <v>0</v>
      </c>
      <c r="T32" s="33">
        <f t="shared" si="25"/>
        <v>0</v>
      </c>
      <c r="U32" s="33">
        <f t="shared" si="25"/>
        <v>0</v>
      </c>
      <c r="V32" s="33">
        <f t="shared" si="25"/>
        <v>0</v>
      </c>
      <c r="W32" s="33">
        <f t="shared" si="25"/>
        <v>0</v>
      </c>
      <c r="X32" s="33">
        <f t="shared" si="25"/>
        <v>0</v>
      </c>
      <c r="Y32" s="33">
        <f t="shared" si="25"/>
        <v>0</v>
      </c>
      <c r="Z32" s="33">
        <f t="shared" si="25"/>
        <v>0</v>
      </c>
      <c r="AA32" s="33">
        <f t="shared" si="25"/>
        <v>0</v>
      </c>
      <c r="AB32" s="24"/>
      <c r="AC32" s="71">
        <f>SUM(D32:O32)</f>
        <v>0</v>
      </c>
      <c r="AD32" s="71">
        <f>SUM(P32:AA32)</f>
        <v>0</v>
      </c>
    </row>
    <row r="33" spans="2:30" x14ac:dyDescent="0.2">
      <c r="B33" s="24" t="s">
        <v>5</v>
      </c>
      <c r="C33" s="24"/>
      <c r="D33" s="37">
        <f t="shared" ref="D33:L33" si="26">D16</f>
        <v>0</v>
      </c>
      <c r="E33" s="37">
        <f t="shared" si="26"/>
        <v>0</v>
      </c>
      <c r="F33" s="37">
        <f t="shared" si="26"/>
        <v>0</v>
      </c>
      <c r="G33" s="37">
        <f t="shared" si="26"/>
        <v>0</v>
      </c>
      <c r="H33" s="37">
        <f t="shared" si="26"/>
        <v>0</v>
      </c>
      <c r="I33" s="37">
        <f t="shared" si="26"/>
        <v>0</v>
      </c>
      <c r="J33" s="37">
        <f t="shared" si="26"/>
        <v>0</v>
      </c>
      <c r="K33" s="37">
        <f t="shared" si="26"/>
        <v>0</v>
      </c>
      <c r="L33" s="37">
        <f t="shared" si="26"/>
        <v>0</v>
      </c>
      <c r="M33" s="37">
        <f t="shared" ref="M33:O33" si="27">M16</f>
        <v>0</v>
      </c>
      <c r="N33" s="37">
        <f t="shared" si="27"/>
        <v>0</v>
      </c>
      <c r="O33" s="37">
        <f t="shared" si="27"/>
        <v>0</v>
      </c>
      <c r="P33" s="33">
        <f t="shared" ref="P33:AA33" si="28">P16</f>
        <v>131.45833333333334</v>
      </c>
      <c r="Q33" s="33">
        <f t="shared" si="28"/>
        <v>142.91666666666669</v>
      </c>
      <c r="R33" s="33">
        <f t="shared" si="28"/>
        <v>154.375</v>
      </c>
      <c r="S33" s="33">
        <f t="shared" si="28"/>
        <v>165.83333333333331</v>
      </c>
      <c r="T33" s="33">
        <f t="shared" si="28"/>
        <v>177.29166666666669</v>
      </c>
      <c r="U33" s="33">
        <f t="shared" si="28"/>
        <v>188.75</v>
      </c>
      <c r="V33" s="33">
        <f t="shared" si="28"/>
        <v>200.20833333333331</v>
      </c>
      <c r="W33" s="33">
        <f t="shared" si="28"/>
        <v>211.66666666666669</v>
      </c>
      <c r="X33" s="33">
        <f t="shared" si="28"/>
        <v>223.125</v>
      </c>
      <c r="Y33" s="33">
        <f t="shared" si="28"/>
        <v>234.58333333333331</v>
      </c>
      <c r="Z33" s="33">
        <f t="shared" si="28"/>
        <v>246.04166666666669</v>
      </c>
      <c r="AA33" s="33">
        <f t="shared" si="28"/>
        <v>257.5</v>
      </c>
      <c r="AB33" s="24"/>
      <c r="AC33" s="71">
        <f>SUM(D33:O33)</f>
        <v>0</v>
      </c>
      <c r="AD33" s="71">
        <f>SUM(P33:AA33)</f>
        <v>2333.75</v>
      </c>
    </row>
    <row r="34" spans="2:30" x14ac:dyDescent="0.2">
      <c r="B34" s="24" t="s">
        <v>6</v>
      </c>
      <c r="C34" s="24"/>
      <c r="D34" s="37">
        <f t="shared" ref="D34:L34" si="29">D17</f>
        <v>0</v>
      </c>
      <c r="E34" s="37">
        <f t="shared" si="29"/>
        <v>0</v>
      </c>
      <c r="F34" s="37">
        <f t="shared" si="29"/>
        <v>0</v>
      </c>
      <c r="G34" s="37">
        <f t="shared" si="29"/>
        <v>0</v>
      </c>
      <c r="H34" s="37">
        <f t="shared" si="29"/>
        <v>0</v>
      </c>
      <c r="I34" s="37">
        <f t="shared" si="29"/>
        <v>0</v>
      </c>
      <c r="J34" s="37">
        <f t="shared" si="29"/>
        <v>0</v>
      </c>
      <c r="K34" s="37">
        <f t="shared" si="29"/>
        <v>0</v>
      </c>
      <c r="L34" s="37">
        <f t="shared" si="29"/>
        <v>0</v>
      </c>
      <c r="M34" s="37">
        <f t="shared" ref="M34:O34" si="30">M17</f>
        <v>0</v>
      </c>
      <c r="N34" s="37">
        <f t="shared" si="30"/>
        <v>0</v>
      </c>
      <c r="O34" s="37">
        <f t="shared" si="30"/>
        <v>0</v>
      </c>
      <c r="P34" s="33">
        <f t="shared" ref="P34:AA34" si="31">P17</f>
        <v>41.666666666666664</v>
      </c>
      <c r="Q34" s="33">
        <f t="shared" si="31"/>
        <v>41.666666666666664</v>
      </c>
      <c r="R34" s="33">
        <f t="shared" si="31"/>
        <v>41.666666666666664</v>
      </c>
      <c r="S34" s="33">
        <f t="shared" si="31"/>
        <v>41.666666666666664</v>
      </c>
      <c r="T34" s="33">
        <f t="shared" si="31"/>
        <v>41.666666666666664</v>
      </c>
      <c r="U34" s="33">
        <f t="shared" si="31"/>
        <v>41.666666666666664</v>
      </c>
      <c r="V34" s="33">
        <f t="shared" si="31"/>
        <v>41.666666666666664</v>
      </c>
      <c r="W34" s="33">
        <f t="shared" si="31"/>
        <v>41.666666666666664</v>
      </c>
      <c r="X34" s="33">
        <f t="shared" si="31"/>
        <v>41.666666666666664</v>
      </c>
      <c r="Y34" s="33">
        <f t="shared" si="31"/>
        <v>41.666666666666664</v>
      </c>
      <c r="Z34" s="33">
        <f t="shared" si="31"/>
        <v>41.666666666666664</v>
      </c>
      <c r="AA34" s="33">
        <f t="shared" si="31"/>
        <v>41.666666666666664</v>
      </c>
      <c r="AB34" s="24"/>
      <c r="AC34" s="71">
        <f>SUM(D34:O34)</f>
        <v>0</v>
      </c>
      <c r="AD34" s="71">
        <f>SUM(P34:AA34)</f>
        <v>500.00000000000006</v>
      </c>
    </row>
    <row r="35" spans="2:30" s="2" customFormat="1" ht="16" thickBot="1" x14ac:dyDescent="0.25">
      <c r="B35" s="77" t="s">
        <v>13</v>
      </c>
      <c r="C35" s="77"/>
      <c r="D35" s="110">
        <f t="shared" ref="D35:AA35" si="32">SUM(D28:D34)</f>
        <v>-9099.1849012909952</v>
      </c>
      <c r="E35" s="110">
        <f t="shared" si="32"/>
        <v>-15142.328318458101</v>
      </c>
      <c r="F35" s="110">
        <f t="shared" si="32"/>
        <v>-14741.840393908489</v>
      </c>
      <c r="G35" s="110">
        <f t="shared" si="32"/>
        <v>-14742.96926181384</v>
      </c>
      <c r="H35" s="110">
        <f t="shared" si="32"/>
        <v>-14280.767242928656</v>
      </c>
      <c r="I35" s="110">
        <f t="shared" si="32"/>
        <v>-20576.60542593199</v>
      </c>
      <c r="J35" s="110">
        <f t="shared" si="32"/>
        <v>-13493.37079063499</v>
      </c>
      <c r="K35" s="110">
        <f t="shared" si="32"/>
        <v>-14234.69561886769</v>
      </c>
      <c r="L35" s="110">
        <f t="shared" si="32"/>
        <v>-13289.498964277122</v>
      </c>
      <c r="M35" s="110">
        <f t="shared" ref="M35:O35" si="33">SUM(M28:M34)</f>
        <v>-13279.079975145607</v>
      </c>
      <c r="N35" s="110">
        <f t="shared" si="33"/>
        <v>-13879.602884927248</v>
      </c>
      <c r="O35" s="110">
        <f t="shared" si="33"/>
        <v>-12989.973503730722</v>
      </c>
      <c r="P35" s="78">
        <f t="shared" ca="1" si="32"/>
        <v>10748.575666666664</v>
      </c>
      <c r="Q35" s="78">
        <f t="shared" ca="1" si="32"/>
        <v>10455.932866666662</v>
      </c>
      <c r="R35" s="78">
        <f t="shared" ca="1" si="32"/>
        <v>6031.2564666666685</v>
      </c>
      <c r="S35" s="78">
        <f t="shared" ca="1" si="32"/>
        <v>11200.342466666665</v>
      </c>
      <c r="T35" s="78">
        <f t="shared" ca="1" si="32"/>
        <v>11432.519066666664</v>
      </c>
      <c r="U35" s="78">
        <f t="shared" ca="1" si="32"/>
        <v>5489.4780066666672</v>
      </c>
      <c r="V35" s="78">
        <f t="shared" ca="1" si="32"/>
        <v>11772.738646666665</v>
      </c>
      <c r="W35" s="78">
        <f t="shared" ca="1" si="32"/>
        <v>11803.680446666665</v>
      </c>
      <c r="X35" s="78">
        <f t="shared" ca="1" si="32"/>
        <v>12063.527266666662</v>
      </c>
      <c r="Y35" s="78">
        <f t="shared" ca="1" si="32"/>
        <v>12073.387786666666</v>
      </c>
      <c r="Z35" s="78">
        <f t="shared" ca="1" si="32"/>
        <v>12314.263866666664</v>
      </c>
      <c r="AA35" s="78">
        <f t="shared" ca="1" si="32"/>
        <v>12307.050726666663</v>
      </c>
      <c r="AB35" s="77"/>
      <c r="AC35" s="79">
        <f>SUM(AC28:AC34)</f>
        <v>-169749.91728191543</v>
      </c>
      <c r="AD35" s="79">
        <f ca="1">SUM(AD28:AD34)</f>
        <v>127692.75327999995</v>
      </c>
    </row>
    <row r="36" spans="2:30" x14ac:dyDescent="0.2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 spans="2:30" x14ac:dyDescent="0.2">
      <c r="B37" s="25"/>
      <c r="AC37" s="33"/>
      <c r="AD37" s="33"/>
    </row>
  </sheetData>
  <pageMargins left="0.7" right="0.7" top="0.75" bottom="0.75" header="0.3" footer="0.3"/>
  <pageSetup paperSize="119" scale="57" orientation="landscape" r:id="rId1"/>
  <ignoredErrors>
    <ignoredError sqref="AC14:AD25" formulaRange="1"/>
    <ignoredError sqref="AC3:AD3 AC13:AD13 AC11:AD12 AC9:AD9 AD10 AC4:AD8" numberStoredAsText="1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>
    <tabColor rgb="FF0070C0"/>
    <pageSetUpPr fitToPage="1"/>
  </sheetPr>
  <dimension ref="A1:AN530"/>
  <sheetViews>
    <sheetView zoomScaleNormal="100" workbookViewId="0">
      <pane xSplit="2" ySplit="3" topLeftCell="P19" activePane="bottomRight" state="frozen"/>
      <selection activeCell="N45" sqref="N45"/>
      <selection pane="topRight" activeCell="N45" sqref="N45"/>
      <selection pane="bottomLeft" activeCell="N45" sqref="N45"/>
      <selection pane="bottomRight"/>
    </sheetView>
  </sheetViews>
  <sheetFormatPr baseColWidth="10" defaultColWidth="8.83203125" defaultRowHeight="15" outlineLevelCol="1" x14ac:dyDescent="0.2"/>
  <cols>
    <col min="1" max="1" width="3.5" style="56" bestFit="1" customWidth="1"/>
    <col min="2" max="2" width="22.5" bestFit="1" customWidth="1"/>
    <col min="3" max="15" width="8.5" hidden="1" customWidth="1" outlineLevel="1"/>
    <col min="16" max="16" width="8.5" bestFit="1" customWidth="1" collapsed="1"/>
    <col min="17" max="27" width="8.5" bestFit="1" customWidth="1"/>
  </cols>
  <sheetData>
    <row r="1" spans="1:27" ht="19" x14ac:dyDescent="0.25">
      <c r="B1" s="16" t="s">
        <v>60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x14ac:dyDescent="0.2">
      <c r="B2" s="24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</row>
    <row r="3" spans="1:27" x14ac:dyDescent="0.2">
      <c r="B3" s="60" t="s">
        <v>16</v>
      </c>
      <c r="C3" s="59">
        <v>41639</v>
      </c>
      <c r="D3" s="59">
        <v>41670</v>
      </c>
      <c r="E3" s="59">
        <v>41698</v>
      </c>
      <c r="F3" s="59">
        <v>41729</v>
      </c>
      <c r="G3" s="59">
        <v>41759</v>
      </c>
      <c r="H3" s="59">
        <v>41790</v>
      </c>
      <c r="I3" s="59">
        <v>41820</v>
      </c>
      <c r="J3" s="59">
        <v>41851</v>
      </c>
      <c r="K3" s="59">
        <v>41882</v>
      </c>
      <c r="L3" s="59">
        <v>41912</v>
      </c>
      <c r="M3" s="59">
        <v>41943</v>
      </c>
      <c r="N3" s="59">
        <v>41973</v>
      </c>
      <c r="O3" s="59">
        <v>42004</v>
      </c>
      <c r="P3" s="59">
        <v>42035</v>
      </c>
      <c r="Q3" s="59">
        <v>42063</v>
      </c>
      <c r="R3" s="59">
        <v>42094</v>
      </c>
      <c r="S3" s="59">
        <v>42124</v>
      </c>
      <c r="T3" s="59">
        <v>42155</v>
      </c>
      <c r="U3" s="59">
        <v>42185</v>
      </c>
      <c r="V3" s="59">
        <v>42216</v>
      </c>
      <c r="W3" s="59">
        <v>42247</v>
      </c>
      <c r="X3" s="59">
        <v>42277</v>
      </c>
      <c r="Y3" s="59">
        <v>42308</v>
      </c>
      <c r="Z3" s="59">
        <v>42338</v>
      </c>
      <c r="AA3" s="59">
        <v>42369</v>
      </c>
    </row>
    <row r="4" spans="1:27" x14ac:dyDescent="0.2">
      <c r="B4" s="25" t="s">
        <v>17</v>
      </c>
      <c r="C4" s="12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127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167"/>
    </row>
    <row r="5" spans="1:27" x14ac:dyDescent="0.2">
      <c r="B5" s="24"/>
      <c r="C5" s="166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166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168"/>
    </row>
    <row r="6" spans="1:27" x14ac:dyDescent="0.2">
      <c r="B6" s="25" t="s">
        <v>18</v>
      </c>
      <c r="C6" s="12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127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167"/>
    </row>
    <row r="7" spans="1:27" x14ac:dyDescent="0.2">
      <c r="B7" s="24" t="s">
        <v>19</v>
      </c>
      <c r="C7" s="127">
        <v>300000</v>
      </c>
      <c r="D7" s="37">
        <f>CF!C30</f>
        <v>291388.09363204235</v>
      </c>
      <c r="E7" s="37">
        <f>CF!D30</f>
        <v>275829.52131358424</v>
      </c>
      <c r="F7" s="37">
        <f>CF!E30</f>
        <v>260870.51358634242</v>
      </c>
      <c r="G7" s="37">
        <f>CF!F30</f>
        <v>245648.96819119525</v>
      </c>
      <c r="H7" s="37">
        <f>CF!G30</f>
        <v>232295.96441493326</v>
      </c>
      <c r="I7" s="37">
        <f>CF!H30</f>
        <v>211937.24525566795</v>
      </c>
      <c r="J7" s="37">
        <f>CF!I30</f>
        <v>198827.67806503296</v>
      </c>
      <c r="K7" s="37">
        <f>CF!J30</f>
        <v>185554.51671283194</v>
      </c>
      <c r="L7" s="37">
        <f>CF!K30</f>
        <v>172037.44801522148</v>
      </c>
      <c r="M7" s="37">
        <f>CF!L30</f>
        <v>158841.55150674254</v>
      </c>
      <c r="N7" s="37">
        <f>CF!M30</f>
        <v>146255.74688848195</v>
      </c>
      <c r="O7" s="127">
        <f>CF!N30</f>
        <v>132770.07165141791</v>
      </c>
      <c r="P7" s="41">
        <f ca="1">CF!O30</f>
        <v>142006.22451808458</v>
      </c>
      <c r="Q7" s="41">
        <f ca="1">CF!P30</f>
        <v>150941.58298475124</v>
      </c>
      <c r="R7" s="41">
        <f ca="1">CF!Q30</f>
        <v>150303.5010514179</v>
      </c>
      <c r="S7" s="41">
        <f ca="1">CF!R30</f>
        <v>165455.83991808456</v>
      </c>
      <c r="T7" s="41">
        <f ca="1">CF!S30</f>
        <v>176110.30018475122</v>
      </c>
      <c r="U7" s="41">
        <f ca="1">CF!T30</f>
        <v>425112.06659141788</v>
      </c>
      <c r="V7" s="41">
        <f ca="1">CF!U30</f>
        <v>441508.60403808457</v>
      </c>
      <c r="W7" s="41">
        <f ca="1">CF!V30</f>
        <v>452552.78208475123</v>
      </c>
      <c r="X7" s="41">
        <f ca="1">CF!W30</f>
        <v>463841.3661514179</v>
      </c>
      <c r="Y7" s="41">
        <f ca="1">CF!X30</f>
        <v>474840.24313808454</v>
      </c>
      <c r="Z7" s="41">
        <f ca="1">CF!Y30</f>
        <v>486380.31300475122</v>
      </c>
      <c r="AA7" s="167">
        <f ca="1">CF!Z30</f>
        <v>497948.49253141787</v>
      </c>
    </row>
    <row r="8" spans="1:27" x14ac:dyDescent="0.2">
      <c r="B8" s="24" t="s">
        <v>20</v>
      </c>
      <c r="C8" s="127">
        <v>1000</v>
      </c>
      <c r="D8" s="37">
        <f>SUM(PL!C5:D5)*'Cash Timing'!$F$4</f>
        <v>686.00480000000016</v>
      </c>
      <c r="E8" s="37">
        <f>SUM(PL!D5:E5)*'Cash Timing'!$F$4</f>
        <v>1384.7188000000001</v>
      </c>
      <c r="F8" s="37">
        <f>SUM(PL!E5:F5)*'Cash Timing'!$F$4</f>
        <v>1435.5328</v>
      </c>
      <c r="G8" s="37">
        <f>SUM(PL!F5:G5)*'Cash Timing'!$F$4</f>
        <v>1457.2655999999999</v>
      </c>
      <c r="H8" s="37">
        <f>SUM(PL!G5:H5)*'Cash Timing'!$F$4</f>
        <v>1482.1588000000002</v>
      </c>
      <c r="I8" s="37">
        <f>SUM(PL!H5:I5)*'Cash Timing'!$F$4</f>
        <v>1526.4291999999998</v>
      </c>
      <c r="J8" s="37">
        <f>SUM(PL!I5:J5)*'Cash Timing'!$F$4</f>
        <v>1547.6056000000001</v>
      </c>
      <c r="K8" s="37">
        <f>SUM(PL!J5:K5)*'Cash Timing'!$F$4</f>
        <v>1567.1979999999999</v>
      </c>
      <c r="L8" s="37">
        <f>SUM(PL!K5:L5)*'Cash Timing'!$F$4</f>
        <v>1585.3644000000002</v>
      </c>
      <c r="M8" s="37">
        <f>SUM(PL!L5:M5)*'Cash Timing'!$F$4</f>
        <v>1602.2476000000001</v>
      </c>
      <c r="N8" s="37">
        <f>SUM(PL!M5:N5)*'Cash Timing'!$F$4</f>
        <v>1617.9760000000001</v>
      </c>
      <c r="O8" s="127">
        <f>SUM(PL!N5:O5)*'Cash Timing'!$F$4</f>
        <v>1632.6644000000001</v>
      </c>
      <c r="P8" s="41">
        <f ca="1">SUM(PL!O5:P5)*'Cash Timing'!$F$4</f>
        <v>2064.3472000000002</v>
      </c>
      <c r="Q8" s="41">
        <f ca="1">SUM(PL!P5:Q5)*'Cash Timing'!$F$4</f>
        <v>2528.6215999999999</v>
      </c>
      <c r="R8" s="41">
        <f ca="1">SUM(PL!Q5:R5)*'Cash Timing'!$F$4</f>
        <v>2541.1</v>
      </c>
      <c r="S8" s="41">
        <f ca="1">SUM(PL!R5:S5)*'Cash Timing'!$F$4</f>
        <v>2531.6635999999999</v>
      </c>
      <c r="T8" s="41">
        <f ca="1">SUM(PL!S5:T5)*'Cash Timing'!$F$4</f>
        <v>2551.7024000000001</v>
      </c>
      <c r="U8" s="41">
        <f ca="1">SUM(PL!T5:U5)*'Cash Timing'!$F$4</f>
        <v>2580.8040000000001</v>
      </c>
      <c r="V8" s="41">
        <f ca="1">SUM(PL!U5:V5)*'Cash Timing'!$F$4</f>
        <v>2597.7952</v>
      </c>
      <c r="W8" s="41">
        <f ca="1">SUM(PL!V5:W5)*'Cash Timing'!$F$4</f>
        <v>2597.4875999999999</v>
      </c>
      <c r="X8" s="41">
        <f ca="1">SUM(PL!W5:X5)*'Cash Timing'!$F$4</f>
        <v>2612.0108</v>
      </c>
      <c r="Y8" s="41">
        <f ca="1">SUM(PL!X5:Y5)*'Cash Timing'!$F$4</f>
        <v>2625.4816000000005</v>
      </c>
      <c r="Z8" s="41">
        <f ca="1">SUM(PL!Y5:Z5)*'Cash Timing'!$F$4</f>
        <v>2638.0056</v>
      </c>
      <c r="AA8" s="167">
        <f ca="1">SUM(PL!Z5:AA5)*'Cash Timing'!$F$4</f>
        <v>2649.6768000000006</v>
      </c>
    </row>
    <row r="9" spans="1:27" x14ac:dyDescent="0.2">
      <c r="A9" s="56" t="s">
        <v>332</v>
      </c>
      <c r="B9" s="24" t="s">
        <v>21</v>
      </c>
      <c r="C9" s="127">
        <v>2342</v>
      </c>
      <c r="D9" s="37">
        <f>(SUMIF('People Costs'!$D:$D,"PP",'People Costs'!I:I)+SUMIF('Other Costs'!$D:$D,"PP",'Other Costs'!E:E))+SUMIFS('Cash Timing'!$F:$F,'Cash Timing'!$A:$A,$A9,'Cash Timing'!$B:$B,D$3)</f>
        <v>2241.666666666667</v>
      </c>
      <c r="E9" s="37">
        <f>(SUMIF('People Costs'!$D:$D,"PP",'People Costs'!J:J)+SUMIF('Other Costs'!$D:$D,"PP",'Other Costs'!F:F))+SUMIFS('Cash Timing'!$F:$F,'Cash Timing'!$A:$A,$A9,'Cash Timing'!$B:$B,E$3)</f>
        <v>2141.666666666667</v>
      </c>
      <c r="F9" s="37">
        <f>(SUMIF('People Costs'!$D:$D,"PP",'People Costs'!K:K)+SUMIF('Other Costs'!$D:$D,"PP",'Other Costs'!G:G))+SUMIFS('Cash Timing'!$F:$F,'Cash Timing'!$A:$A,$A9,'Cash Timing'!$B:$B,F$3)</f>
        <v>2041.6666666666667</v>
      </c>
      <c r="G9" s="37">
        <f>(SUMIF('People Costs'!$D:$D,"PP",'People Costs'!L:L)+SUMIF('Other Costs'!$D:$D,"PP",'Other Costs'!H:H))+SUMIFS('Cash Timing'!$F:$F,'Cash Timing'!$A:$A,$A9,'Cash Timing'!$B:$B,G$3)</f>
        <v>2241.666666666667</v>
      </c>
      <c r="H9" s="37">
        <f>(SUMIF('People Costs'!$D:$D,"PP",'People Costs'!M:M)+SUMIF('Other Costs'!$D:$D,"PP",'Other Costs'!I:I))+SUMIFS('Cash Timing'!$F:$F,'Cash Timing'!$A:$A,$A9,'Cash Timing'!$B:$B,H$3)</f>
        <v>2141.666666666667</v>
      </c>
      <c r="I9" s="37">
        <f>(SUMIF('People Costs'!$D:$D,"PP",'People Costs'!N:N)+SUMIF('Other Costs'!$D:$D,"PP",'Other Costs'!J:J))+SUMIFS('Cash Timing'!$F:$F,'Cash Timing'!$A:$A,$A9,'Cash Timing'!$B:$B,I$3)</f>
        <v>2041.6666666666667</v>
      </c>
      <c r="J9" s="37">
        <f>(SUMIF('People Costs'!$D:$D,"PP",'People Costs'!O:O)+SUMIF('Other Costs'!$D:$D,"PP",'Other Costs'!K:K))+SUMIFS('Cash Timing'!$F:$F,'Cash Timing'!$A:$A,$A9,'Cash Timing'!$B:$B,J$3)</f>
        <v>1408.3333333333335</v>
      </c>
      <c r="K9" s="37">
        <f>(SUMIF('People Costs'!$D:$D,"PP",'People Costs'!P:P)+SUMIF('Other Costs'!$D:$D,"PP",'Other Costs'!L:L))+SUMIFS('Cash Timing'!$F:$F,'Cash Timing'!$A:$A,$A9,'Cash Timing'!$B:$B,K$3)</f>
        <v>1308.3333333333335</v>
      </c>
      <c r="L9" s="37">
        <f>(SUMIF('People Costs'!$D:$D,"PP",'People Costs'!Q:Q)+SUMIF('Other Costs'!$D:$D,"PP",'Other Costs'!M:M))+SUMIFS('Cash Timing'!$F:$F,'Cash Timing'!$A:$A,$A9,'Cash Timing'!$B:$B,L$3)</f>
        <v>1208.3333333333335</v>
      </c>
      <c r="M9" s="37">
        <f>(SUMIF('People Costs'!$D:$D,"PP",'People Costs'!R:R)+SUMIF('Other Costs'!$D:$D,"PP",'Other Costs'!N:N))+SUMIFS('Cash Timing'!$F:$F,'Cash Timing'!$A:$A,$A9,'Cash Timing'!$B:$B,M$3)</f>
        <v>1408.3333333333335</v>
      </c>
      <c r="N9" s="37">
        <f>(SUMIF('People Costs'!$D:$D,"PP",'People Costs'!S:S)+SUMIF('Other Costs'!$D:$D,"PP",'Other Costs'!O:O))+SUMIFS('Cash Timing'!$F:$F,'Cash Timing'!$A:$A,$A9,'Cash Timing'!$B:$B,N$3)</f>
        <v>1308.3333333333335</v>
      </c>
      <c r="O9" s="127">
        <f>(SUMIF('People Costs'!$D:$D,"PP",'People Costs'!T:T)+SUMIF('Other Costs'!$D:$D,"PP",'Other Costs'!P:P))+SUMIFS('Cash Timing'!$F:$F,'Cash Timing'!$A:$A,$A9,'Cash Timing'!$B:$B,O$3)</f>
        <v>1208.3333333333335</v>
      </c>
      <c r="P9" s="41">
        <f ca="1">(SUMIF('People Costs'!$D:$D,"PP",'People Costs'!U:U)+SUMIF('Other Costs'!$D:$D,"PP",'Other Costs'!Q:Q))+SUMIFS('Cash Timing'!$F:$F,'Cash Timing'!$A:$A,$A9,'Cash Timing'!$B:$B,P$3)</f>
        <v>1433.3333333333335</v>
      </c>
      <c r="Q9" s="41">
        <f ca="1">(SUMIF('People Costs'!$D:$D,"PP",'People Costs'!V:V)+SUMIF('Other Costs'!$D:$D,"PP",'Other Costs'!R:R))+SUMIFS('Cash Timing'!$F:$F,'Cash Timing'!$A:$A,$A9,'Cash Timing'!$B:$B,Q$3)</f>
        <v>1333.3333333333335</v>
      </c>
      <c r="R9" s="41">
        <f ca="1">(SUMIF('People Costs'!$D:$D,"PP",'People Costs'!W:W)+SUMIF('Other Costs'!$D:$D,"PP",'Other Costs'!S:S))+SUMIFS('Cash Timing'!$F:$F,'Cash Timing'!$A:$A,$A9,'Cash Timing'!$B:$B,R$3)</f>
        <v>6233.333333333333</v>
      </c>
      <c r="S9" s="41">
        <f ca="1">(SUMIF('People Costs'!$D:$D,"PP",'People Costs'!X:X)+SUMIF('Other Costs'!$D:$D,"PP",'Other Costs'!T:T))+SUMIFS('Cash Timing'!$F:$F,'Cash Timing'!$A:$A,$A9,'Cash Timing'!$B:$B,S$3)</f>
        <v>1433.3333333333335</v>
      </c>
      <c r="T9" s="41">
        <f ca="1">(SUMIF('People Costs'!$D:$D,"PP",'People Costs'!Y:Y)+SUMIF('Other Costs'!$D:$D,"PP",'Other Costs'!U:U))+SUMIFS('Cash Timing'!$F:$F,'Cash Timing'!$A:$A,$A9,'Cash Timing'!$B:$B,T$3)</f>
        <v>1333.3333333333335</v>
      </c>
      <c r="U9" s="41">
        <f ca="1">(SUMIF('People Costs'!$D:$D,"PP",'People Costs'!Z:Z)+SUMIF('Other Costs'!$D:$D,"PP",'Other Costs'!V:V))+SUMIFS('Cash Timing'!$F:$F,'Cash Timing'!$A:$A,$A9,'Cash Timing'!$B:$B,U$3)</f>
        <v>7233.333333333333</v>
      </c>
      <c r="V9" s="41">
        <f ca="1">(SUMIF('People Costs'!$D:$D,"PP",'People Costs'!AA:AA)+SUMIF('Other Costs'!$D:$D,"PP",'Other Costs'!W:W))+SUMIFS('Cash Timing'!$F:$F,'Cash Timing'!$A:$A,$A9,'Cash Timing'!$B:$B,V$3)</f>
        <v>1433.3333333333335</v>
      </c>
      <c r="W9" s="41">
        <f ca="1">(SUMIF('People Costs'!$D:$D,"PP",'People Costs'!AB:AB)+SUMIF('Other Costs'!$D:$D,"PP",'Other Costs'!X:X))+SUMIFS('Cash Timing'!$F:$F,'Cash Timing'!$A:$A,$A9,'Cash Timing'!$B:$B,W$3)</f>
        <v>1333.3333333333335</v>
      </c>
      <c r="X9" s="41">
        <f ca="1">(SUMIF('People Costs'!$D:$D,"PP",'People Costs'!AC:AC)+SUMIF('Other Costs'!$D:$D,"PP",'Other Costs'!Y:Y))+SUMIFS('Cash Timing'!$F:$F,'Cash Timing'!$A:$A,$A9,'Cash Timing'!$B:$B,X$3)</f>
        <v>1233.3333333333335</v>
      </c>
      <c r="Y9" s="41">
        <f ca="1">(SUMIF('People Costs'!$D:$D,"PP",'People Costs'!AD:AD)+SUMIF('Other Costs'!$D:$D,"PP",'Other Costs'!Z:Z))+SUMIFS('Cash Timing'!$F:$F,'Cash Timing'!$A:$A,$A9,'Cash Timing'!$B:$B,Y$3)</f>
        <v>1433.3333333333335</v>
      </c>
      <c r="Z9" s="41">
        <f ca="1">(SUMIF('People Costs'!$D:$D,"PP",'People Costs'!AE:AE)+SUMIF('Other Costs'!$D:$D,"PP",'Other Costs'!AA:AA))+SUMIFS('Cash Timing'!$F:$F,'Cash Timing'!$A:$A,$A9,'Cash Timing'!$B:$B,Z$3)</f>
        <v>1333.3333333333335</v>
      </c>
      <c r="AA9" s="167">
        <f ca="1">(SUMIF('People Costs'!$D:$D,"PP",'People Costs'!AF:AF)+SUMIF('Other Costs'!$D:$D,"PP",'Other Costs'!AB:AB))+SUMIFS('Cash Timing'!$F:$F,'Cash Timing'!$A:$A,$A9,'Cash Timing'!$B:$B,AA$3)</f>
        <v>1233.3333333333335</v>
      </c>
    </row>
    <row r="10" spans="1:27" x14ac:dyDescent="0.2">
      <c r="B10" s="62" t="s">
        <v>22</v>
      </c>
      <c r="C10" s="128">
        <f t="shared" ref="C10:AA10" si="0">C7+C8+C9</f>
        <v>303342</v>
      </c>
      <c r="D10" s="90">
        <f t="shared" si="0"/>
        <v>294315.76509870903</v>
      </c>
      <c r="E10" s="90">
        <f>E7+E8+E9</f>
        <v>279355.90678025089</v>
      </c>
      <c r="F10" s="90">
        <f t="shared" si="0"/>
        <v>264347.71305300912</v>
      </c>
      <c r="G10" s="90">
        <f t="shared" si="0"/>
        <v>249347.90045786192</v>
      </c>
      <c r="H10" s="90">
        <f t="shared" si="0"/>
        <v>235919.78988159992</v>
      </c>
      <c r="I10" s="90">
        <f t="shared" si="0"/>
        <v>215505.34112233462</v>
      </c>
      <c r="J10" s="90">
        <f t="shared" si="0"/>
        <v>201783.61699836631</v>
      </c>
      <c r="K10" s="90">
        <f t="shared" si="0"/>
        <v>188430.04804616529</v>
      </c>
      <c r="L10" s="90">
        <f t="shared" si="0"/>
        <v>174831.14574855482</v>
      </c>
      <c r="M10" s="90">
        <f t="shared" si="0"/>
        <v>161852.13244007589</v>
      </c>
      <c r="N10" s="90">
        <f t="shared" si="0"/>
        <v>149182.05622181529</v>
      </c>
      <c r="O10" s="128">
        <f t="shared" si="0"/>
        <v>135611.06938475126</v>
      </c>
      <c r="P10" s="72">
        <f t="shared" ca="1" si="0"/>
        <v>145503.90505141791</v>
      </c>
      <c r="Q10" s="72">
        <f t="shared" ca="1" si="0"/>
        <v>154803.53791808459</v>
      </c>
      <c r="R10" s="72">
        <f t="shared" ca="1" si="0"/>
        <v>159077.93438475125</v>
      </c>
      <c r="S10" s="72">
        <f t="shared" ca="1" si="0"/>
        <v>169420.8368514179</v>
      </c>
      <c r="T10" s="72">
        <f t="shared" ca="1" si="0"/>
        <v>179995.33591808457</v>
      </c>
      <c r="U10" s="72">
        <f t="shared" ca="1" si="0"/>
        <v>434926.2039247512</v>
      </c>
      <c r="V10" s="72">
        <f t="shared" ca="1" si="0"/>
        <v>445539.73257141787</v>
      </c>
      <c r="W10" s="72">
        <f t="shared" ca="1" si="0"/>
        <v>456483.60301808454</v>
      </c>
      <c r="X10" s="72">
        <f t="shared" ca="1" si="0"/>
        <v>467686.7102847512</v>
      </c>
      <c r="Y10" s="72">
        <f t="shared" ca="1" si="0"/>
        <v>478899.05807141785</v>
      </c>
      <c r="Z10" s="72">
        <f t="shared" ca="1" si="0"/>
        <v>490351.65193808451</v>
      </c>
      <c r="AA10" s="169">
        <f t="shared" ca="1" si="0"/>
        <v>501831.5026647512</v>
      </c>
    </row>
    <row r="11" spans="1:27" x14ac:dyDescent="0.2">
      <c r="B11" s="24"/>
      <c r="C11" s="12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127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167"/>
    </row>
    <row r="12" spans="1:27" x14ac:dyDescent="0.2">
      <c r="B12" s="25" t="s">
        <v>23</v>
      </c>
      <c r="C12" s="12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127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167"/>
    </row>
    <row r="13" spans="1:27" x14ac:dyDescent="0.2">
      <c r="B13" s="24" t="s">
        <v>73</v>
      </c>
      <c r="C13" s="127">
        <v>100</v>
      </c>
      <c r="D13" s="37">
        <f>C13</f>
        <v>100</v>
      </c>
      <c r="E13" s="37">
        <f t="shared" ref="E13:N13" si="1">D13</f>
        <v>100</v>
      </c>
      <c r="F13" s="37">
        <f t="shared" si="1"/>
        <v>100</v>
      </c>
      <c r="G13" s="37">
        <f t="shared" si="1"/>
        <v>100</v>
      </c>
      <c r="H13" s="37">
        <f t="shared" si="1"/>
        <v>100</v>
      </c>
      <c r="I13" s="37">
        <f t="shared" si="1"/>
        <v>100</v>
      </c>
      <c r="J13" s="37">
        <f t="shared" si="1"/>
        <v>100</v>
      </c>
      <c r="K13" s="37">
        <f t="shared" si="1"/>
        <v>100</v>
      </c>
      <c r="L13" s="37">
        <f t="shared" si="1"/>
        <v>100</v>
      </c>
      <c r="M13" s="37">
        <f t="shared" si="1"/>
        <v>100</v>
      </c>
      <c r="N13" s="37">
        <f t="shared" si="1"/>
        <v>100</v>
      </c>
      <c r="O13" s="127">
        <f t="shared" ref="O13:AA13" si="2">N13</f>
        <v>100</v>
      </c>
      <c r="P13" s="41">
        <f>O13</f>
        <v>100</v>
      </c>
      <c r="Q13" s="41">
        <f t="shared" si="2"/>
        <v>100</v>
      </c>
      <c r="R13" s="41">
        <f t="shared" si="2"/>
        <v>100</v>
      </c>
      <c r="S13" s="41">
        <f t="shared" si="2"/>
        <v>100</v>
      </c>
      <c r="T13" s="41">
        <f t="shared" si="2"/>
        <v>100</v>
      </c>
      <c r="U13" s="41">
        <f t="shared" si="2"/>
        <v>100</v>
      </c>
      <c r="V13" s="41">
        <f t="shared" si="2"/>
        <v>100</v>
      </c>
      <c r="W13" s="41">
        <f t="shared" si="2"/>
        <v>100</v>
      </c>
      <c r="X13" s="41">
        <f t="shared" si="2"/>
        <v>100</v>
      </c>
      <c r="Y13" s="41">
        <f t="shared" si="2"/>
        <v>100</v>
      </c>
      <c r="Z13" s="41">
        <f t="shared" si="2"/>
        <v>100</v>
      </c>
      <c r="AA13" s="167">
        <f t="shared" si="2"/>
        <v>100</v>
      </c>
    </row>
    <row r="14" spans="1:27" x14ac:dyDescent="0.2">
      <c r="B14" s="24" t="s">
        <v>24</v>
      </c>
      <c r="C14" s="127">
        <v>1000</v>
      </c>
      <c r="D14" s="37">
        <f>'Fixed Assets'!E34</f>
        <v>1390</v>
      </c>
      <c r="E14" s="37">
        <f>'Fixed Assets'!F34</f>
        <v>1770</v>
      </c>
      <c r="F14" s="37">
        <f>'Fixed Assets'!G34</f>
        <v>2140</v>
      </c>
      <c r="G14" s="37">
        <f>'Fixed Assets'!H34</f>
        <v>2500</v>
      </c>
      <c r="H14" s="37">
        <f>'Fixed Assets'!I34</f>
        <v>2850</v>
      </c>
      <c r="I14" s="37">
        <f>'Fixed Assets'!J34</f>
        <v>3190</v>
      </c>
      <c r="J14" s="37">
        <f>'Fixed Assets'!K34</f>
        <v>3520</v>
      </c>
      <c r="K14" s="37">
        <f>'Fixed Assets'!L34</f>
        <v>3840</v>
      </c>
      <c r="L14" s="37">
        <f>'Fixed Assets'!M34</f>
        <v>4150</v>
      </c>
      <c r="M14" s="37">
        <f>'Fixed Assets'!N34</f>
        <v>4450</v>
      </c>
      <c r="N14" s="37">
        <f>'Fixed Assets'!O34</f>
        <v>4740</v>
      </c>
      <c r="O14" s="127">
        <f>'Fixed Assets'!P34</f>
        <v>5020</v>
      </c>
      <c r="P14" s="41">
        <f>'Fixed Assets'!Q34</f>
        <v>5301.041666666667</v>
      </c>
      <c r="Q14" s="41">
        <f>'Fixed Assets'!R34</f>
        <v>5570.625</v>
      </c>
      <c r="R14" s="41">
        <f>'Fixed Assets'!S34</f>
        <v>5828.75</v>
      </c>
      <c r="S14" s="41">
        <f>'Fixed Assets'!T34</f>
        <v>6075.416666666667</v>
      </c>
      <c r="T14" s="41">
        <f>'Fixed Assets'!U34</f>
        <v>6310.625</v>
      </c>
      <c r="U14" s="41">
        <f>'Fixed Assets'!V34</f>
        <v>6534.375</v>
      </c>
      <c r="V14" s="41">
        <f>'Fixed Assets'!W34</f>
        <v>6746.666666666667</v>
      </c>
      <c r="W14" s="41">
        <f>'Fixed Assets'!X34</f>
        <v>6947.5</v>
      </c>
      <c r="X14" s="41">
        <f>'Fixed Assets'!Y34</f>
        <v>7136.875</v>
      </c>
      <c r="Y14" s="41">
        <f>'Fixed Assets'!Z34</f>
        <v>7314.7916666666661</v>
      </c>
      <c r="Z14" s="41">
        <f>'Fixed Assets'!AA34</f>
        <v>7481.25</v>
      </c>
      <c r="AA14" s="167">
        <f>'Fixed Assets'!AB34</f>
        <v>7636.25</v>
      </c>
    </row>
    <row r="15" spans="1:27" x14ac:dyDescent="0.2">
      <c r="B15" s="24" t="s">
        <v>25</v>
      </c>
      <c r="C15" s="127">
        <v>0</v>
      </c>
      <c r="D15" s="37">
        <f>'Fixed Assets'!E38</f>
        <v>0</v>
      </c>
      <c r="E15" s="37">
        <f>'Fixed Assets'!F38</f>
        <v>0</v>
      </c>
      <c r="F15" s="37">
        <f>'Fixed Assets'!G38</f>
        <v>958.33333333333337</v>
      </c>
      <c r="G15" s="37">
        <f>'Fixed Assets'!H38</f>
        <v>916.66666666666663</v>
      </c>
      <c r="H15" s="37">
        <f>'Fixed Assets'!I38</f>
        <v>875</v>
      </c>
      <c r="I15" s="37">
        <f>'Fixed Assets'!J38</f>
        <v>833.33333333333337</v>
      </c>
      <c r="J15" s="37">
        <f>'Fixed Assets'!K38</f>
        <v>791.66666666666674</v>
      </c>
      <c r="K15" s="37">
        <f>'Fixed Assets'!L38</f>
        <v>750</v>
      </c>
      <c r="L15" s="37">
        <f>'Fixed Assets'!M38</f>
        <v>708.33333333333337</v>
      </c>
      <c r="M15" s="37">
        <f>'Fixed Assets'!N38</f>
        <v>666.66666666666674</v>
      </c>
      <c r="N15" s="37">
        <f>'Fixed Assets'!O38</f>
        <v>625</v>
      </c>
      <c r="O15" s="127">
        <f>'Fixed Assets'!P38</f>
        <v>583.33333333333326</v>
      </c>
      <c r="P15" s="41">
        <f>'Fixed Assets'!Q38</f>
        <v>541.66666666666663</v>
      </c>
      <c r="Q15" s="41">
        <f>'Fixed Assets'!R38</f>
        <v>499.99999999999994</v>
      </c>
      <c r="R15" s="41">
        <f>'Fixed Assets'!S38</f>
        <v>458.33333333333326</v>
      </c>
      <c r="S15" s="41">
        <f>'Fixed Assets'!T38</f>
        <v>416.66666666666663</v>
      </c>
      <c r="T15" s="41">
        <f>'Fixed Assets'!U38</f>
        <v>375</v>
      </c>
      <c r="U15" s="41">
        <f>'Fixed Assets'!V38</f>
        <v>333.33333333333337</v>
      </c>
      <c r="V15" s="41">
        <f>'Fixed Assets'!W38</f>
        <v>291.66666666666674</v>
      </c>
      <c r="W15" s="41">
        <f>'Fixed Assets'!X38</f>
        <v>250.00000000000011</v>
      </c>
      <c r="X15" s="41">
        <f>'Fixed Assets'!Y38</f>
        <v>208.33333333333348</v>
      </c>
      <c r="Y15" s="41">
        <f>'Fixed Assets'!Z38</f>
        <v>166.66666666666686</v>
      </c>
      <c r="Z15" s="41">
        <f>'Fixed Assets'!AA38</f>
        <v>125.00000000000023</v>
      </c>
      <c r="AA15" s="167">
        <f>'Fixed Assets'!AB38</f>
        <v>83.333333333333599</v>
      </c>
    </row>
    <row r="16" spans="1:27" x14ac:dyDescent="0.2">
      <c r="B16" s="62" t="s">
        <v>26</v>
      </c>
      <c r="C16" s="128">
        <f t="shared" ref="C16:AA16" si="3">SUM(C13:C15)</f>
        <v>1100</v>
      </c>
      <c r="D16" s="90">
        <f t="shared" si="3"/>
        <v>1490</v>
      </c>
      <c r="E16" s="90">
        <f t="shared" si="3"/>
        <v>1870</v>
      </c>
      <c r="F16" s="90">
        <f t="shared" si="3"/>
        <v>3198.3333333333335</v>
      </c>
      <c r="G16" s="90">
        <f t="shared" si="3"/>
        <v>3516.6666666666665</v>
      </c>
      <c r="H16" s="90">
        <f t="shared" si="3"/>
        <v>3825</v>
      </c>
      <c r="I16" s="90">
        <f t="shared" si="3"/>
        <v>4123.333333333333</v>
      </c>
      <c r="J16" s="90">
        <f t="shared" si="3"/>
        <v>4411.666666666667</v>
      </c>
      <c r="K16" s="90">
        <f t="shared" si="3"/>
        <v>4690</v>
      </c>
      <c r="L16" s="90">
        <f t="shared" si="3"/>
        <v>4958.333333333333</v>
      </c>
      <c r="M16" s="90">
        <f t="shared" si="3"/>
        <v>5216.666666666667</v>
      </c>
      <c r="N16" s="90">
        <f t="shared" si="3"/>
        <v>5465</v>
      </c>
      <c r="O16" s="128">
        <f t="shared" si="3"/>
        <v>5703.333333333333</v>
      </c>
      <c r="P16" s="72">
        <f t="shared" si="3"/>
        <v>5942.7083333333339</v>
      </c>
      <c r="Q16" s="72">
        <f t="shared" si="3"/>
        <v>6170.625</v>
      </c>
      <c r="R16" s="72">
        <f t="shared" si="3"/>
        <v>6387.083333333333</v>
      </c>
      <c r="S16" s="72">
        <f t="shared" si="3"/>
        <v>6592.0833333333339</v>
      </c>
      <c r="T16" s="72">
        <f t="shared" si="3"/>
        <v>6785.625</v>
      </c>
      <c r="U16" s="72">
        <f t="shared" si="3"/>
        <v>6967.708333333333</v>
      </c>
      <c r="V16" s="72">
        <f t="shared" si="3"/>
        <v>7138.3333333333339</v>
      </c>
      <c r="W16" s="72">
        <f t="shared" si="3"/>
        <v>7297.5</v>
      </c>
      <c r="X16" s="72">
        <f t="shared" si="3"/>
        <v>7445.2083333333339</v>
      </c>
      <c r="Y16" s="72">
        <f t="shared" si="3"/>
        <v>7581.458333333333</v>
      </c>
      <c r="Z16" s="72">
        <f t="shared" si="3"/>
        <v>7706.25</v>
      </c>
      <c r="AA16" s="169">
        <f t="shared" si="3"/>
        <v>7819.5833333333339</v>
      </c>
    </row>
    <row r="17" spans="1:40" x14ac:dyDescent="0.2">
      <c r="B17" s="24"/>
      <c r="C17" s="12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127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167"/>
    </row>
    <row r="18" spans="1:40" s="2" customFormat="1" ht="16" thickBot="1" x14ac:dyDescent="0.25">
      <c r="A18" s="164"/>
      <c r="B18" s="77" t="s">
        <v>28</v>
      </c>
      <c r="C18" s="129">
        <f t="shared" ref="C18:AA18" si="4">C16+C10</f>
        <v>304442</v>
      </c>
      <c r="D18" s="110">
        <f t="shared" si="4"/>
        <v>295805.76509870903</v>
      </c>
      <c r="E18" s="110">
        <f t="shared" si="4"/>
        <v>281225.90678025089</v>
      </c>
      <c r="F18" s="110">
        <f t="shared" si="4"/>
        <v>267546.04638634244</v>
      </c>
      <c r="G18" s="110">
        <f t="shared" si="4"/>
        <v>252864.56712452858</v>
      </c>
      <c r="H18" s="110">
        <f t="shared" si="4"/>
        <v>239744.78988159992</v>
      </c>
      <c r="I18" s="110">
        <f t="shared" si="4"/>
        <v>219628.67445566796</v>
      </c>
      <c r="J18" s="110">
        <f t="shared" si="4"/>
        <v>206195.28366503297</v>
      </c>
      <c r="K18" s="110">
        <f t="shared" si="4"/>
        <v>193120.04804616529</v>
      </c>
      <c r="L18" s="110">
        <f t="shared" si="4"/>
        <v>179789.47908188816</v>
      </c>
      <c r="M18" s="110">
        <f t="shared" si="4"/>
        <v>167068.79910674255</v>
      </c>
      <c r="N18" s="110">
        <f t="shared" si="4"/>
        <v>154647.05622181529</v>
      </c>
      <c r="O18" s="129">
        <f t="shared" si="4"/>
        <v>141314.4027180846</v>
      </c>
      <c r="P18" s="171">
        <f t="shared" ca="1" si="4"/>
        <v>151446.61338475125</v>
      </c>
      <c r="Q18" s="171">
        <f t="shared" ca="1" si="4"/>
        <v>160974.16291808459</v>
      </c>
      <c r="R18" s="171">
        <f t="shared" ca="1" si="4"/>
        <v>165465.01771808459</v>
      </c>
      <c r="S18" s="171">
        <f t="shared" ca="1" si="4"/>
        <v>176012.92018475124</v>
      </c>
      <c r="T18" s="171">
        <f t="shared" ca="1" si="4"/>
        <v>186780.96091808457</v>
      </c>
      <c r="U18" s="171">
        <f t="shared" ca="1" si="4"/>
        <v>441893.91225808451</v>
      </c>
      <c r="V18" s="171">
        <f t="shared" ca="1" si="4"/>
        <v>452678.06590475119</v>
      </c>
      <c r="W18" s="171">
        <f t="shared" ca="1" si="4"/>
        <v>463781.10301808454</v>
      </c>
      <c r="X18" s="171">
        <f t="shared" ca="1" si="4"/>
        <v>475131.91861808451</v>
      </c>
      <c r="Y18" s="171">
        <f t="shared" ca="1" si="4"/>
        <v>486480.51640475116</v>
      </c>
      <c r="Z18" s="171">
        <f t="shared" ca="1" si="4"/>
        <v>498057.90193808451</v>
      </c>
      <c r="AA18" s="170">
        <f t="shared" ca="1" si="4"/>
        <v>509651.08599808451</v>
      </c>
    </row>
    <row r="19" spans="1:40" x14ac:dyDescent="0.2">
      <c r="B19" s="24"/>
      <c r="C19" s="12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127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167"/>
    </row>
    <row r="20" spans="1:40" x14ac:dyDescent="0.2">
      <c r="B20" s="25" t="s">
        <v>27</v>
      </c>
      <c r="C20" s="12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127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167"/>
    </row>
    <row r="21" spans="1:40" x14ac:dyDescent="0.2">
      <c r="B21" s="24"/>
      <c r="C21" s="12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127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167"/>
    </row>
    <row r="22" spans="1:40" x14ac:dyDescent="0.2">
      <c r="B22" s="25" t="s">
        <v>29</v>
      </c>
      <c r="C22" s="12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127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167"/>
    </row>
    <row r="23" spans="1:40" x14ac:dyDescent="0.2">
      <c r="B23" s="24" t="s">
        <v>30</v>
      </c>
      <c r="C23" s="127">
        <v>2220</v>
      </c>
      <c r="D23" s="37">
        <f>SUMIF('People Costs'!$D:$D,"AP",'People Costs'!I:I)+SUMIF('Other Costs'!$D:$D,"AP",'Other Costs'!E:E)+IFERROR(VLOOKUP(D3,'Cash Timing'!#REF!,4,0),0)</f>
        <v>2220</v>
      </c>
      <c r="E23" s="37">
        <f>SUMIF('People Costs'!$D:$D,"AP",'People Costs'!J:J)+SUMIF('Other Costs'!$D:$D,"AP",'Other Costs'!F:F)+IFERROR(VLOOKUP(E3,'Cash Timing'!#REF!,4,0),0)</f>
        <v>2220</v>
      </c>
      <c r="F23" s="37">
        <f>SUMIF('People Costs'!$D:$D,"AP",'People Costs'!K:K)+SUMIF('Other Costs'!$D:$D,"AP",'Other Costs'!G:G)+IFERROR(VLOOKUP(F3,'Cash Timing'!#REF!,4,0),0)</f>
        <v>2220</v>
      </c>
      <c r="G23" s="37">
        <f>SUMIF('People Costs'!$D:$D,"AP",'People Costs'!L:L)+SUMIF('Other Costs'!$D:$D,"AP",'Other Costs'!H:H)+IFERROR(VLOOKUP(G3,'Cash Timing'!#REF!,4,0),0)</f>
        <v>2220</v>
      </c>
      <c r="H23" s="37">
        <f>SUMIF('People Costs'!$D:$D,"AP",'People Costs'!M:M)+SUMIF('Other Costs'!$D:$D,"AP",'Other Costs'!I:I)+IFERROR(VLOOKUP(H3,'Cash Timing'!#REF!,4,0),0)</f>
        <v>2220</v>
      </c>
      <c r="I23" s="37">
        <f>SUMIF('People Costs'!$D:$D,"AP",'People Costs'!N:N)+SUMIF('Other Costs'!$D:$D,"AP",'Other Costs'!J:J)+IFERROR(VLOOKUP(I3,'Cash Timing'!#REF!,4,0),0)</f>
        <v>2220</v>
      </c>
      <c r="J23" s="37">
        <f>SUMIF('People Costs'!$D:$D,"AP",'People Costs'!O:O)+SUMIF('Other Costs'!$D:$D,"AP",'Other Costs'!K:K)+IFERROR(VLOOKUP(J3,'Cash Timing'!#REF!,4,0),0)</f>
        <v>2220</v>
      </c>
      <c r="K23" s="37">
        <f>SUMIF('People Costs'!$D:$D,"AP",'People Costs'!P:P)+SUMIF('Other Costs'!$D:$D,"AP",'Other Costs'!L:L)+IFERROR(VLOOKUP(K3,'Cash Timing'!#REF!,4,0),0)</f>
        <v>2220</v>
      </c>
      <c r="L23" s="37">
        <f>SUMIF('People Costs'!$D:$D,"AP",'People Costs'!Q:Q)+SUMIF('Other Costs'!$D:$D,"AP",'Other Costs'!M:M)+IFERROR(VLOOKUP(L3,'Cash Timing'!#REF!,4,0),0)</f>
        <v>2220</v>
      </c>
      <c r="M23" s="37">
        <f>SUMIF('People Costs'!$D:$D,"AP",'People Costs'!R:R)+SUMIF('Other Costs'!$D:$D,"AP",'Other Costs'!N:N)+IFERROR(VLOOKUP(M3,'Cash Timing'!#REF!,4,0),0)</f>
        <v>2220</v>
      </c>
      <c r="N23" s="37">
        <f>SUMIF('People Costs'!$D:$D,"AP",'People Costs'!S:S)+SUMIF('Other Costs'!$D:$D,"AP",'Other Costs'!O:O)+IFERROR(VLOOKUP(N3,'Cash Timing'!#REF!,4,0),0)</f>
        <v>2220</v>
      </c>
      <c r="O23" s="127">
        <f>SUMIF('People Costs'!$D:$D,"AP",'People Costs'!T:T)+SUMIF('Other Costs'!$D:$D,"AP",'Other Costs'!P:P)+IFERROR(VLOOKUP(O3,'Cash Timing'!#REF!,4,0),0)</f>
        <v>2220</v>
      </c>
      <c r="P23" s="41">
        <f>SUMIF('People Costs'!$D:$D,"AP",'People Costs'!U:U)+SUMIF('Other Costs'!$D:$D,"AP",'Other Costs'!Q:Q)+IFERROR(VLOOKUP(P3,'Cash Timing'!#REF!,4,0),0)</f>
        <v>2220</v>
      </c>
      <c r="Q23" s="41">
        <f>SUMIF('People Costs'!$D:$D,"AP",'People Costs'!V:V)+SUMIF('Other Costs'!$D:$D,"AP",'Other Costs'!R:R)+IFERROR(VLOOKUP(Q3,'Cash Timing'!#REF!,4,0),0)</f>
        <v>2220</v>
      </c>
      <c r="R23" s="41">
        <f>SUMIF('People Costs'!$D:$D,"AP",'People Costs'!W:W)+SUMIF('Other Costs'!$D:$D,"AP",'Other Costs'!S:S)+IFERROR(VLOOKUP(R3,'Cash Timing'!#REF!,4,0),0)</f>
        <v>2220</v>
      </c>
      <c r="S23" s="41">
        <f>SUMIF('People Costs'!$D:$D,"AP",'People Costs'!X:X)+SUMIF('Other Costs'!$D:$D,"AP",'Other Costs'!T:T)+IFERROR(VLOOKUP(S3,'Cash Timing'!#REF!,4,0),0)</f>
        <v>2220</v>
      </c>
      <c r="T23" s="41">
        <f>SUMIF('People Costs'!$D:$D,"AP",'People Costs'!Y:Y)+SUMIF('Other Costs'!$D:$D,"AP",'Other Costs'!U:U)+IFERROR(VLOOKUP(T3,'Cash Timing'!#REF!,4,0),0)</f>
        <v>2220</v>
      </c>
      <c r="U23" s="41">
        <f>SUMIF('People Costs'!$D:$D,"AP",'People Costs'!Z:Z)+SUMIF('Other Costs'!$D:$D,"AP",'Other Costs'!V:V)+IFERROR(VLOOKUP(U3,'Cash Timing'!#REF!,4,0),0)</f>
        <v>2220</v>
      </c>
      <c r="V23" s="41">
        <f>SUMIF('People Costs'!$D:$D,"AP",'People Costs'!AA:AA)+SUMIF('Other Costs'!$D:$D,"AP",'Other Costs'!W:W)+IFERROR(VLOOKUP(V3,'Cash Timing'!#REF!,4,0),0)</f>
        <v>2220</v>
      </c>
      <c r="W23" s="41">
        <f>SUMIF('People Costs'!$D:$D,"AP",'People Costs'!AB:AB)+SUMIF('Other Costs'!$D:$D,"AP",'Other Costs'!X:X)+IFERROR(VLOOKUP(W3,'Cash Timing'!#REF!,4,0),0)</f>
        <v>2220</v>
      </c>
      <c r="X23" s="41">
        <f>SUMIF('People Costs'!$D:$D,"AP",'People Costs'!AC:AC)+SUMIF('Other Costs'!$D:$D,"AP",'Other Costs'!Y:Y)+IFERROR(VLOOKUP(X3,'Cash Timing'!#REF!,4,0),0)</f>
        <v>2220</v>
      </c>
      <c r="Y23" s="41">
        <f>SUMIF('People Costs'!$D:$D,"AP",'People Costs'!AD:AD)+SUMIF('Other Costs'!$D:$D,"AP",'Other Costs'!Z:Z)+IFERROR(VLOOKUP(Y3,'Cash Timing'!#REF!,4,0),0)</f>
        <v>2220</v>
      </c>
      <c r="Z23" s="41">
        <f>SUMIF('People Costs'!$D:$D,"AP",'People Costs'!AE:AE)+SUMIF('Other Costs'!$D:$D,"AP",'Other Costs'!AA:AA)+IFERROR(VLOOKUP(Z3,'Cash Timing'!#REF!,4,0),0)</f>
        <v>2220</v>
      </c>
      <c r="AA23" s="167">
        <f>SUMIF('People Costs'!$D:$D,"AP",'People Costs'!AF:AF)+SUMIF('Other Costs'!$D:$D,"AP",'Other Costs'!AB:AB)+IFERROR(VLOOKUP(AA3,'Cash Timing'!#REF!,4,0),0)</f>
        <v>2220</v>
      </c>
    </row>
    <row r="24" spans="1:40" x14ac:dyDescent="0.2">
      <c r="B24" s="24" t="s">
        <v>84</v>
      </c>
      <c r="C24" s="127">
        <v>1000</v>
      </c>
      <c r="D24" s="37">
        <f>PL!D15</f>
        <v>1000</v>
      </c>
      <c r="E24" s="37">
        <f>PL!E15</f>
        <v>1000</v>
      </c>
      <c r="F24" s="37">
        <f>PL!F15</f>
        <v>1500</v>
      </c>
      <c r="G24" s="37">
        <f>PL!G15</f>
        <v>1000</v>
      </c>
      <c r="H24" s="37">
        <f>PL!H15</f>
        <v>1600</v>
      </c>
      <c r="I24" s="37">
        <f>PL!I15</f>
        <v>1500</v>
      </c>
      <c r="J24" s="37">
        <f>PL!J15</f>
        <v>1000</v>
      </c>
      <c r="K24" s="37">
        <f>PL!K15</f>
        <v>1600</v>
      </c>
      <c r="L24" s="37">
        <f>PL!L15</f>
        <v>1000</v>
      </c>
      <c r="M24" s="37">
        <f>PL!M15</f>
        <v>1000</v>
      </c>
      <c r="N24" s="37">
        <f>PL!N15</f>
        <v>1900</v>
      </c>
      <c r="O24" s="127">
        <f>PL!O15</f>
        <v>1000</v>
      </c>
      <c r="P24" s="41">
        <f ca="1">PL!P15</f>
        <v>1000.0000000000002</v>
      </c>
      <c r="Q24" s="41">
        <f ca="1">PL!Q15</f>
        <v>1900.0000000000002</v>
      </c>
      <c r="R24" s="41">
        <f ca="1">PL!R15</f>
        <v>1000.0000000000002</v>
      </c>
      <c r="S24" s="41">
        <f ca="1">PL!S15</f>
        <v>1000.0000000000002</v>
      </c>
      <c r="T24" s="41">
        <f ca="1">PL!T15</f>
        <v>1000.0000000000002</v>
      </c>
      <c r="U24" s="41">
        <f ca="1">PL!U15</f>
        <v>1300.0000000000002</v>
      </c>
      <c r="V24" s="41">
        <f ca="1">PL!V15</f>
        <v>1000.0000000000002</v>
      </c>
      <c r="W24" s="41">
        <f ca="1">PL!W15</f>
        <v>1000.0000000000002</v>
      </c>
      <c r="X24" s="41">
        <f ca="1">PL!X15</f>
        <v>1000.0000000000002</v>
      </c>
      <c r="Y24" s="41">
        <f ca="1">PL!Y15</f>
        <v>1000.0000000000002</v>
      </c>
      <c r="Z24" s="41">
        <f ca="1">PL!Z15</f>
        <v>1000.0000000000002</v>
      </c>
      <c r="AA24" s="167">
        <f ca="1">PL!AA15</f>
        <v>1000.0000000000002</v>
      </c>
    </row>
    <row r="25" spans="1:40" x14ac:dyDescent="0.2">
      <c r="B25" s="24" t="s">
        <v>68</v>
      </c>
      <c r="C25" s="127">
        <v>100</v>
      </c>
      <c r="D25" s="37">
        <f>HLOOKUP(D3,'Other Costs'!$B$3:$AC$1048576,MATCH("Utilities",'Other Costs'!$B$3:$B$46,0),0)</f>
        <v>100</v>
      </c>
      <c r="E25" s="37">
        <f>HLOOKUP(E3,'Other Costs'!$B$3:$AC$1048576,MATCH("Utilities",'Other Costs'!$B$3:$B$46,0),0)</f>
        <v>100</v>
      </c>
      <c r="F25" s="37">
        <f>HLOOKUP(F3,'Other Costs'!$B$3:$AC$1048576,MATCH("Utilities",'Other Costs'!$B$3:$B$46,0),0)</f>
        <v>100</v>
      </c>
      <c r="G25" s="37">
        <f>HLOOKUP(G3,'Other Costs'!$B$3:$AC$1048576,MATCH("Utilities",'Other Costs'!$B$3:$B$46,0),0)</f>
        <v>100</v>
      </c>
      <c r="H25" s="37">
        <f>HLOOKUP(H3,'Other Costs'!$B$3:$AC$1048576,MATCH("Utilities",'Other Costs'!$B$3:$B$46,0),0)</f>
        <v>100</v>
      </c>
      <c r="I25" s="37">
        <f>HLOOKUP(I3,'Other Costs'!$B$3:$AC$1048576,MATCH("Utilities",'Other Costs'!$B$3:$B$46,0),0)</f>
        <v>100</v>
      </c>
      <c r="J25" s="37">
        <f>HLOOKUP(J3,'Other Costs'!$B$3:$AC$1048576,MATCH("Utilities",'Other Costs'!$B$3:$B$46,0),0)</f>
        <v>100</v>
      </c>
      <c r="K25" s="37">
        <f>HLOOKUP(K3,'Other Costs'!$B$3:$AC$1048576,MATCH("Utilities",'Other Costs'!$B$3:$B$46,0),0)</f>
        <v>100</v>
      </c>
      <c r="L25" s="37">
        <f>HLOOKUP(L3,'Other Costs'!$B$3:$AC$1048576,MATCH("Utilities",'Other Costs'!$B$3:$B$46,0),0)</f>
        <v>100</v>
      </c>
      <c r="M25" s="37">
        <f>HLOOKUP(M3,'Other Costs'!$B$3:$AC$1048576,MATCH("Utilities",'Other Costs'!$B$3:$B$46,0),0)</f>
        <v>100</v>
      </c>
      <c r="N25" s="37">
        <f>HLOOKUP(N3,'Other Costs'!$B$3:$AC$1048576,MATCH("Utilities",'Other Costs'!$B$3:$B$46,0),0)</f>
        <v>100</v>
      </c>
      <c r="O25" s="127">
        <f>HLOOKUP(O3,'Other Costs'!$B$3:$AC$1048576,MATCH("Utilities",'Other Costs'!$B$3:$B$46,0),0)</f>
        <v>100</v>
      </c>
      <c r="P25" s="41">
        <f>HLOOKUP(P3,'Other Costs'!$B$3:$AC$1048576,MATCH("Utilities",'Other Costs'!$B$3:$B$46,0),0)</f>
        <v>100</v>
      </c>
      <c r="Q25" s="41">
        <f>HLOOKUP(Q3,'Other Costs'!$B$3:$AC$1048576,MATCH("Utilities",'Other Costs'!$B$3:$B$46,0),0)</f>
        <v>100</v>
      </c>
      <c r="R25" s="41">
        <f>HLOOKUP(R3,'Other Costs'!$B$3:$AC$1048576,MATCH("Utilities",'Other Costs'!$B$3:$B$46,0),0)</f>
        <v>100</v>
      </c>
      <c r="S25" s="41">
        <f>HLOOKUP(S3,'Other Costs'!$B$3:$AC$1048576,MATCH("Utilities",'Other Costs'!$B$3:$B$46,0),0)</f>
        <v>100</v>
      </c>
      <c r="T25" s="41">
        <f>HLOOKUP(T3,'Other Costs'!$B$3:$AC$1048576,MATCH("Utilities",'Other Costs'!$B$3:$B$46,0),0)</f>
        <v>100</v>
      </c>
      <c r="U25" s="41">
        <f>HLOOKUP(U3,'Other Costs'!$B$3:$AC$1048576,MATCH("Utilities",'Other Costs'!$B$3:$B$46,0),0)</f>
        <v>100</v>
      </c>
      <c r="V25" s="41">
        <f>HLOOKUP(V3,'Other Costs'!$B$3:$AC$1048576,MATCH("Utilities",'Other Costs'!$B$3:$B$46,0),0)</f>
        <v>100</v>
      </c>
      <c r="W25" s="41">
        <f>HLOOKUP(W3,'Other Costs'!$B$3:$AC$1048576,MATCH("Utilities",'Other Costs'!$B$3:$B$46,0),0)</f>
        <v>100</v>
      </c>
      <c r="X25" s="41">
        <f>HLOOKUP(X3,'Other Costs'!$B$3:$AC$1048576,MATCH("Utilities",'Other Costs'!$B$3:$B$46,0),0)</f>
        <v>100</v>
      </c>
      <c r="Y25" s="41">
        <f>HLOOKUP(Y3,'Other Costs'!$B$3:$AC$1048576,MATCH("Utilities",'Other Costs'!$B$3:$B$46,0),0)</f>
        <v>100</v>
      </c>
      <c r="Z25" s="41">
        <f>HLOOKUP(Z3,'Other Costs'!$B$3:$AC$1048576,MATCH("Utilities",'Other Costs'!$B$3:$B$46,0),0)</f>
        <v>100</v>
      </c>
      <c r="AA25" s="167">
        <f>HLOOKUP(AA3,'Other Costs'!$B$3:$AC$1048576,MATCH("Utilities",'Other Costs'!$B$3:$B$46,0),0)</f>
        <v>100</v>
      </c>
    </row>
    <row r="26" spans="1:40" x14ac:dyDescent="0.2">
      <c r="A26" s="56" t="s">
        <v>330</v>
      </c>
      <c r="B26" s="24" t="s">
        <v>67</v>
      </c>
      <c r="C26" s="127">
        <v>0</v>
      </c>
      <c r="D26" s="37">
        <f>SUMIFS('Cash Timing'!$F:$F,'Cash Timing'!$A:$A,$A26,'Cash Timing'!$B:$B,D$3)</f>
        <v>500</v>
      </c>
      <c r="E26" s="37">
        <f>SUMIFS('Cash Timing'!$F:$F,'Cash Timing'!$A:$A,$A26,'Cash Timing'!$B:$B,E$3)</f>
        <v>1000</v>
      </c>
      <c r="F26" s="37">
        <f>SUMIFS('Cash Timing'!$F:$F,'Cash Timing'!$A:$A,$A26,'Cash Timing'!$B:$B,F$3)</f>
        <v>1500</v>
      </c>
      <c r="G26" s="37">
        <f>SUMIFS('Cash Timing'!$F:$F,'Cash Timing'!$A:$A,$A26,'Cash Timing'!$B:$B,G$3)</f>
        <v>2000</v>
      </c>
      <c r="H26" s="37">
        <f>SUMIFS('Cash Timing'!$F:$F,'Cash Timing'!$A:$A,$A26,'Cash Timing'!$B:$B,H$3)</f>
        <v>2500</v>
      </c>
      <c r="I26" s="37">
        <f>SUMIFS('Cash Timing'!$F:$F,'Cash Timing'!$A:$A,$A26,'Cash Timing'!$B:$B,I$3)</f>
        <v>3000</v>
      </c>
      <c r="J26" s="37">
        <f>SUMIFS('Cash Timing'!$F:$F,'Cash Timing'!$A:$A,$A26,'Cash Timing'!$B:$B,J$3)</f>
        <v>3500</v>
      </c>
      <c r="K26" s="37">
        <f>SUMIFS('Cash Timing'!$F:$F,'Cash Timing'!$A:$A,$A26,'Cash Timing'!$B:$B,K$3)</f>
        <v>4000</v>
      </c>
      <c r="L26" s="37">
        <f>SUMIFS('Cash Timing'!$F:$F,'Cash Timing'!$A:$A,$A26,'Cash Timing'!$B:$B,L$3)</f>
        <v>4500</v>
      </c>
      <c r="M26" s="37">
        <f>SUMIFS('Cash Timing'!$F:$F,'Cash Timing'!$A:$A,$A26,'Cash Timing'!$B:$B,M$3)</f>
        <v>5000</v>
      </c>
      <c r="N26" s="37">
        <f>SUMIFS('Cash Timing'!$F:$F,'Cash Timing'!$A:$A,$A26,'Cash Timing'!$B:$B,N$3)</f>
        <v>5500</v>
      </c>
      <c r="O26" s="127">
        <f>SUMIFS('Cash Timing'!$F:$F,'Cash Timing'!$A:$A,$A26,'Cash Timing'!$B:$B,O$3)</f>
        <v>6000</v>
      </c>
      <c r="P26" s="41">
        <f>SUMIFS('Cash Timing'!$F:$F,'Cash Timing'!$A:$A,$A26,'Cash Timing'!$B:$B,P$3)</f>
        <v>5500</v>
      </c>
      <c r="Q26" s="41">
        <f>SUMIFS('Cash Timing'!$F:$F,'Cash Timing'!$A:$A,$A26,'Cash Timing'!$B:$B,Q$3)</f>
        <v>5000</v>
      </c>
      <c r="R26" s="41">
        <f>SUMIFS('Cash Timing'!$F:$F,'Cash Timing'!$A:$A,$A26,'Cash Timing'!$B:$B,R$3)</f>
        <v>4500</v>
      </c>
      <c r="S26" s="41">
        <f>SUMIFS('Cash Timing'!$F:$F,'Cash Timing'!$A:$A,$A26,'Cash Timing'!$B:$B,S$3)</f>
        <v>4000</v>
      </c>
      <c r="T26" s="41">
        <f>SUMIFS('Cash Timing'!$F:$F,'Cash Timing'!$A:$A,$A26,'Cash Timing'!$B:$B,T$3)</f>
        <v>3500</v>
      </c>
      <c r="U26" s="41">
        <f>SUMIFS('Cash Timing'!$F:$F,'Cash Timing'!$A:$A,$A26,'Cash Timing'!$B:$B,U$3)</f>
        <v>3000</v>
      </c>
      <c r="V26" s="41">
        <f>SUMIFS('Cash Timing'!$F:$F,'Cash Timing'!$A:$A,$A26,'Cash Timing'!$B:$B,V$3)</f>
        <v>2500</v>
      </c>
      <c r="W26" s="41">
        <f>SUMIFS('Cash Timing'!$F:$F,'Cash Timing'!$A:$A,$A26,'Cash Timing'!$B:$B,W$3)</f>
        <v>2000</v>
      </c>
      <c r="X26" s="41">
        <f>SUMIFS('Cash Timing'!$F:$F,'Cash Timing'!$A:$A,$A26,'Cash Timing'!$B:$B,X$3)</f>
        <v>1500</v>
      </c>
      <c r="Y26" s="41">
        <f>SUMIFS('Cash Timing'!$F:$F,'Cash Timing'!$A:$A,$A26,'Cash Timing'!$B:$B,Y$3)</f>
        <v>1000</v>
      </c>
      <c r="Z26" s="41">
        <f>SUMIFS('Cash Timing'!$F:$F,'Cash Timing'!$A:$A,$A26,'Cash Timing'!$B:$B,Z$3)</f>
        <v>500</v>
      </c>
      <c r="AA26" s="167">
        <f>SUMIFS('Cash Timing'!$F:$F,'Cash Timing'!$A:$A,$A26,'Cash Timing'!$B:$B,AA$3)</f>
        <v>0</v>
      </c>
    </row>
    <row r="27" spans="1:40" x14ac:dyDescent="0.2">
      <c r="A27" s="56" t="s">
        <v>331</v>
      </c>
      <c r="B27" s="24" t="s">
        <v>329</v>
      </c>
      <c r="C27" s="127">
        <v>100</v>
      </c>
      <c r="D27" s="37">
        <f>SUMIFS('Cash Timing'!$F:$F,'Cash Timing'!$A:$A,$A27,'Cash Timing'!$B:$B,D$3)</f>
        <v>100</v>
      </c>
      <c r="E27" s="37">
        <f>SUMIFS('Cash Timing'!$F:$F,'Cash Timing'!$A:$A,$A27,'Cash Timing'!$B:$B,E$3)</f>
        <v>200</v>
      </c>
      <c r="F27" s="37">
        <f>SUMIFS('Cash Timing'!$F:$F,'Cash Timing'!$A:$A,$A27,'Cash Timing'!$B:$B,F$3)</f>
        <v>300</v>
      </c>
      <c r="G27" s="37">
        <f>SUMIFS('Cash Timing'!$F:$F,'Cash Timing'!$A:$A,$A27,'Cash Timing'!$B:$B,G$3)</f>
        <v>400</v>
      </c>
      <c r="H27" s="37">
        <f>SUMIFS('Cash Timing'!$F:$F,'Cash Timing'!$A:$A,$A27,'Cash Timing'!$B:$B,H$3)</f>
        <v>500</v>
      </c>
      <c r="I27" s="37">
        <f>SUMIFS('Cash Timing'!$F:$F,'Cash Timing'!$A:$A,$A27,'Cash Timing'!$B:$B,I$3)</f>
        <v>600</v>
      </c>
      <c r="J27" s="37">
        <f>SUMIFS('Cash Timing'!$F:$F,'Cash Timing'!$A:$A,$A27,'Cash Timing'!$B:$B,J$3)</f>
        <v>700</v>
      </c>
      <c r="K27" s="37">
        <f>SUMIFS('Cash Timing'!$F:$F,'Cash Timing'!$A:$A,$A27,'Cash Timing'!$B:$B,K$3)</f>
        <v>800</v>
      </c>
      <c r="L27" s="37">
        <f>SUMIFS('Cash Timing'!$F:$F,'Cash Timing'!$A:$A,$A27,'Cash Timing'!$B:$B,L$3)</f>
        <v>900</v>
      </c>
      <c r="M27" s="37">
        <f>SUMIFS('Cash Timing'!$F:$F,'Cash Timing'!$A:$A,$A27,'Cash Timing'!$B:$B,M$3)</f>
        <v>1000</v>
      </c>
      <c r="N27" s="37">
        <f>SUMIFS('Cash Timing'!$F:$F,'Cash Timing'!$A:$A,$A27,'Cash Timing'!$B:$B,N$3)</f>
        <v>1100</v>
      </c>
      <c r="O27" s="127">
        <f>SUMIFS('Cash Timing'!$F:$F,'Cash Timing'!$A:$A,$A27,'Cash Timing'!$B:$B,O$3)</f>
        <v>1200</v>
      </c>
      <c r="P27" s="41">
        <f>SUMIFS('Cash Timing'!$F:$F,'Cash Timing'!$A:$A,$A27,'Cash Timing'!$B:$B,P$3)</f>
        <v>1300</v>
      </c>
      <c r="Q27" s="41">
        <f>SUMIFS('Cash Timing'!$F:$F,'Cash Timing'!$A:$A,$A27,'Cash Timing'!$B:$B,Q$3)</f>
        <v>200</v>
      </c>
      <c r="R27" s="41">
        <f>SUMIFS('Cash Timing'!$F:$F,'Cash Timing'!$A:$A,$A27,'Cash Timing'!$B:$B,R$3)</f>
        <v>300</v>
      </c>
      <c r="S27" s="41">
        <f>SUMIFS('Cash Timing'!$F:$F,'Cash Timing'!$A:$A,$A27,'Cash Timing'!$B:$B,S$3)</f>
        <v>400</v>
      </c>
      <c r="T27" s="41">
        <f>SUMIFS('Cash Timing'!$F:$F,'Cash Timing'!$A:$A,$A27,'Cash Timing'!$B:$B,T$3)</f>
        <v>500</v>
      </c>
      <c r="U27" s="41">
        <f>SUMIFS('Cash Timing'!$F:$F,'Cash Timing'!$A:$A,$A27,'Cash Timing'!$B:$B,U$3)</f>
        <v>600</v>
      </c>
      <c r="V27" s="41">
        <f>SUMIFS('Cash Timing'!$F:$F,'Cash Timing'!$A:$A,$A27,'Cash Timing'!$B:$B,V$3)</f>
        <v>700</v>
      </c>
      <c r="W27" s="41">
        <f>SUMIFS('Cash Timing'!$F:$F,'Cash Timing'!$A:$A,$A27,'Cash Timing'!$B:$B,W$3)</f>
        <v>800</v>
      </c>
      <c r="X27" s="41">
        <f>SUMIFS('Cash Timing'!$F:$F,'Cash Timing'!$A:$A,$A27,'Cash Timing'!$B:$B,X$3)</f>
        <v>900</v>
      </c>
      <c r="Y27" s="41">
        <f>SUMIFS('Cash Timing'!$F:$F,'Cash Timing'!$A:$A,$A27,'Cash Timing'!$B:$B,Y$3)</f>
        <v>1000</v>
      </c>
      <c r="Z27" s="41">
        <f>SUMIFS('Cash Timing'!$F:$F,'Cash Timing'!$A:$A,$A27,'Cash Timing'!$B:$B,Z$3)</f>
        <v>1100</v>
      </c>
      <c r="AA27" s="167">
        <f>SUMIFS('Cash Timing'!$F:$F,'Cash Timing'!$A:$A,$A27,'Cash Timing'!$B:$B,AA$3)</f>
        <v>1200</v>
      </c>
    </row>
    <row r="28" spans="1:40" x14ac:dyDescent="0.2">
      <c r="B28" s="62" t="s">
        <v>31</v>
      </c>
      <c r="C28" s="128">
        <f t="shared" ref="C28:AA28" si="5">SUM(C23:C27)</f>
        <v>3420</v>
      </c>
      <c r="D28" s="90">
        <f t="shared" si="5"/>
        <v>3920</v>
      </c>
      <c r="E28" s="90">
        <f t="shared" si="5"/>
        <v>4520</v>
      </c>
      <c r="F28" s="90">
        <f t="shared" si="5"/>
        <v>5620</v>
      </c>
      <c r="G28" s="90">
        <f t="shared" si="5"/>
        <v>5720</v>
      </c>
      <c r="H28" s="90">
        <f t="shared" si="5"/>
        <v>6920</v>
      </c>
      <c r="I28" s="90">
        <f t="shared" si="5"/>
        <v>7420</v>
      </c>
      <c r="J28" s="90">
        <f t="shared" si="5"/>
        <v>7520</v>
      </c>
      <c r="K28" s="90">
        <f t="shared" si="5"/>
        <v>8720</v>
      </c>
      <c r="L28" s="90">
        <f t="shared" si="5"/>
        <v>8720</v>
      </c>
      <c r="M28" s="90">
        <f t="shared" si="5"/>
        <v>9320</v>
      </c>
      <c r="N28" s="90">
        <f t="shared" si="5"/>
        <v>10820</v>
      </c>
      <c r="O28" s="128">
        <f t="shared" si="5"/>
        <v>10520</v>
      </c>
      <c r="P28" s="72">
        <f t="shared" ca="1" si="5"/>
        <v>10120</v>
      </c>
      <c r="Q28" s="72">
        <f t="shared" ca="1" si="5"/>
        <v>9420</v>
      </c>
      <c r="R28" s="72">
        <f t="shared" ca="1" si="5"/>
        <v>8120</v>
      </c>
      <c r="S28" s="72">
        <f t="shared" ca="1" si="5"/>
        <v>7720</v>
      </c>
      <c r="T28" s="72">
        <f t="shared" ca="1" si="5"/>
        <v>7320</v>
      </c>
      <c r="U28" s="72">
        <f t="shared" ca="1" si="5"/>
        <v>7220</v>
      </c>
      <c r="V28" s="72">
        <f t="shared" ca="1" si="5"/>
        <v>6520</v>
      </c>
      <c r="W28" s="72">
        <f t="shared" ca="1" si="5"/>
        <v>6120</v>
      </c>
      <c r="X28" s="72">
        <f t="shared" ca="1" si="5"/>
        <v>5720</v>
      </c>
      <c r="Y28" s="72">
        <f t="shared" ca="1" si="5"/>
        <v>5320</v>
      </c>
      <c r="Z28" s="72">
        <f t="shared" ca="1" si="5"/>
        <v>4920</v>
      </c>
      <c r="AA28" s="169">
        <f t="shared" ca="1" si="5"/>
        <v>4520</v>
      </c>
    </row>
    <row r="29" spans="1:40" x14ac:dyDescent="0.2">
      <c r="B29" s="24"/>
      <c r="C29" s="12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127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167"/>
    </row>
    <row r="30" spans="1:40" x14ac:dyDescent="0.2">
      <c r="B30" s="25" t="s">
        <v>32</v>
      </c>
      <c r="C30" s="12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127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167"/>
      <c r="AN30" s="18"/>
    </row>
    <row r="31" spans="1:40" x14ac:dyDescent="0.2">
      <c r="A31" s="164" t="s">
        <v>333</v>
      </c>
      <c r="B31" s="24" t="s">
        <v>80</v>
      </c>
      <c r="C31" s="127">
        <v>1000</v>
      </c>
      <c r="D31" s="37">
        <f>SUMIFS('Cash Timing'!$F:$F,'Cash Timing'!$A:$A,$A31,'Cash Timing'!$B:$B,D$3)</f>
        <v>962.95</v>
      </c>
      <c r="E31" s="37">
        <f>SUMIFS('Cash Timing'!$F:$F,'Cash Timing'!$A:$A,$A31,'Cash Timing'!$B:$B,E$3)</f>
        <v>925.42000000000007</v>
      </c>
      <c r="F31" s="37">
        <f>SUMIFS('Cash Timing'!$F:$F,'Cash Timing'!$A:$A,$A31,'Cash Timing'!$B:$B,F$3)</f>
        <v>887.40000000000009</v>
      </c>
      <c r="G31" s="37">
        <f>SUMIFS('Cash Timing'!$F:$F,'Cash Timing'!$A:$A,$A31,'Cash Timing'!$B:$B,G$3)</f>
        <v>848.8900000000001</v>
      </c>
      <c r="H31" s="37">
        <f>SUMIFS('Cash Timing'!$F:$F,'Cash Timing'!$A:$A,$A31,'Cash Timing'!$B:$B,H$3)</f>
        <v>809.88000000000011</v>
      </c>
      <c r="I31" s="37">
        <f>SUMIFS('Cash Timing'!$F:$F,'Cash Timing'!$A:$A,$A31,'Cash Timing'!$B:$B,I$3)</f>
        <v>770.37000000000012</v>
      </c>
      <c r="J31" s="37">
        <f>SUMIFS('Cash Timing'!$F:$F,'Cash Timing'!$A:$A,$A31,'Cash Timing'!$B:$B,J$3)</f>
        <v>730.35000000000014</v>
      </c>
      <c r="K31" s="37">
        <f>SUMIFS('Cash Timing'!$F:$F,'Cash Timing'!$A:$A,$A31,'Cash Timing'!$B:$B,K$3)</f>
        <v>689.81000000000017</v>
      </c>
      <c r="L31" s="37">
        <f>SUMIFS('Cash Timing'!$F:$F,'Cash Timing'!$A:$A,$A31,'Cash Timing'!$B:$B,L$3)</f>
        <v>648.74000000000012</v>
      </c>
      <c r="M31" s="37">
        <f>SUMIFS('Cash Timing'!$F:$F,'Cash Timing'!$A:$A,$A31,'Cash Timing'!$B:$B,M$3)</f>
        <v>607.1400000000001</v>
      </c>
      <c r="N31" s="37">
        <f>SUMIFS('Cash Timing'!$F:$F,'Cash Timing'!$A:$A,$A31,'Cash Timing'!$B:$B,N$3)</f>
        <v>565.00000000000011</v>
      </c>
      <c r="O31" s="127">
        <f>SUMIFS('Cash Timing'!$F:$F,'Cash Timing'!$A:$A,$A31,'Cash Timing'!$B:$B,O$3)</f>
        <v>522.32000000000016</v>
      </c>
      <c r="P31" s="41">
        <f>SUMIFS('Cash Timing'!$F:$F,'Cash Timing'!$A:$A,$A31,'Cash Timing'!$B:$B,P$3)</f>
        <v>479.08000000000015</v>
      </c>
      <c r="Q31" s="41">
        <f>SUMIFS('Cash Timing'!$F:$F,'Cash Timing'!$A:$A,$A31,'Cash Timing'!$B:$B,Q$3)</f>
        <v>435.28000000000014</v>
      </c>
      <c r="R31" s="41">
        <f>SUMIFS('Cash Timing'!$F:$F,'Cash Timing'!$A:$A,$A31,'Cash Timing'!$B:$B,R$3)</f>
        <v>390.92000000000013</v>
      </c>
      <c r="S31" s="41">
        <f>SUMIFS('Cash Timing'!$F:$F,'Cash Timing'!$A:$A,$A31,'Cash Timing'!$B:$B,S$3)</f>
        <v>345.98000000000013</v>
      </c>
      <c r="T31" s="41">
        <f>SUMIFS('Cash Timing'!$F:$F,'Cash Timing'!$A:$A,$A31,'Cash Timing'!$B:$B,T$3)</f>
        <v>300.46000000000015</v>
      </c>
      <c r="U31" s="41">
        <f>SUMIFS('Cash Timing'!$F:$F,'Cash Timing'!$A:$A,$A31,'Cash Timing'!$B:$B,U$3)</f>
        <v>254.35000000000014</v>
      </c>
      <c r="V31" s="41">
        <f>SUMIFS('Cash Timing'!$F:$F,'Cash Timing'!$A:$A,$A31,'Cash Timing'!$B:$B,V$3)</f>
        <v>207.64000000000013</v>
      </c>
      <c r="W31" s="41">
        <f>SUMIFS('Cash Timing'!$F:$F,'Cash Timing'!$A:$A,$A31,'Cash Timing'!$B:$B,W$3)</f>
        <v>160.33000000000013</v>
      </c>
      <c r="X31" s="41">
        <f>SUMIFS('Cash Timing'!$F:$F,'Cash Timing'!$A:$A,$A31,'Cash Timing'!$B:$B,X$3)</f>
        <v>112.41000000000012</v>
      </c>
      <c r="Y31" s="41">
        <f>SUMIFS('Cash Timing'!$F:$F,'Cash Timing'!$A:$A,$A31,'Cash Timing'!$B:$B,Y$3)</f>
        <v>63.870000000000125</v>
      </c>
      <c r="Z31" s="41">
        <f>SUMIFS('Cash Timing'!$F:$F,'Cash Timing'!$A:$A,$A31,'Cash Timing'!$B:$B,Z$3)</f>
        <v>14.700000000000124</v>
      </c>
      <c r="AA31" s="167">
        <f>SUMIFS('Cash Timing'!$F:$F,'Cash Timing'!$A:$A,$A31,'Cash Timing'!$B:$B,AA$3)</f>
        <v>1.2256862191861728E-13</v>
      </c>
    </row>
    <row r="32" spans="1:40" x14ac:dyDescent="0.2">
      <c r="B32" s="62" t="s">
        <v>33</v>
      </c>
      <c r="C32" s="128">
        <f t="shared" ref="C32:AA32" si="6">SUM(C31)</f>
        <v>1000</v>
      </c>
      <c r="D32" s="90">
        <f t="shared" si="6"/>
        <v>962.95</v>
      </c>
      <c r="E32" s="90">
        <f t="shared" si="6"/>
        <v>925.42000000000007</v>
      </c>
      <c r="F32" s="90">
        <f t="shared" si="6"/>
        <v>887.40000000000009</v>
      </c>
      <c r="G32" s="90">
        <f t="shared" si="6"/>
        <v>848.8900000000001</v>
      </c>
      <c r="H32" s="90">
        <f t="shared" si="6"/>
        <v>809.88000000000011</v>
      </c>
      <c r="I32" s="90">
        <f t="shared" si="6"/>
        <v>770.37000000000012</v>
      </c>
      <c r="J32" s="90">
        <f t="shared" si="6"/>
        <v>730.35000000000014</v>
      </c>
      <c r="K32" s="90">
        <f t="shared" si="6"/>
        <v>689.81000000000017</v>
      </c>
      <c r="L32" s="90">
        <f t="shared" si="6"/>
        <v>648.74000000000012</v>
      </c>
      <c r="M32" s="90">
        <f t="shared" si="6"/>
        <v>607.1400000000001</v>
      </c>
      <c r="N32" s="90">
        <f t="shared" si="6"/>
        <v>565.00000000000011</v>
      </c>
      <c r="O32" s="128">
        <f t="shared" si="6"/>
        <v>522.32000000000016</v>
      </c>
      <c r="P32" s="72">
        <f t="shared" si="6"/>
        <v>479.08000000000015</v>
      </c>
      <c r="Q32" s="72">
        <f t="shared" si="6"/>
        <v>435.28000000000014</v>
      </c>
      <c r="R32" s="72">
        <f t="shared" si="6"/>
        <v>390.92000000000013</v>
      </c>
      <c r="S32" s="72">
        <f t="shared" si="6"/>
        <v>345.98000000000013</v>
      </c>
      <c r="T32" s="72">
        <f t="shared" si="6"/>
        <v>300.46000000000015</v>
      </c>
      <c r="U32" s="72">
        <f t="shared" si="6"/>
        <v>254.35000000000014</v>
      </c>
      <c r="V32" s="72">
        <f t="shared" si="6"/>
        <v>207.64000000000013</v>
      </c>
      <c r="W32" s="72">
        <f t="shared" si="6"/>
        <v>160.33000000000013</v>
      </c>
      <c r="X32" s="72">
        <f t="shared" si="6"/>
        <v>112.41000000000012</v>
      </c>
      <c r="Y32" s="72">
        <f t="shared" si="6"/>
        <v>63.870000000000125</v>
      </c>
      <c r="Z32" s="72">
        <f t="shared" si="6"/>
        <v>14.700000000000124</v>
      </c>
      <c r="AA32" s="169">
        <f t="shared" si="6"/>
        <v>1.2256862191861728E-13</v>
      </c>
    </row>
    <row r="33" spans="1:33" x14ac:dyDescent="0.2">
      <c r="B33" s="24"/>
      <c r="C33" s="12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127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167"/>
    </row>
    <row r="34" spans="1:33" x14ac:dyDescent="0.2">
      <c r="B34" s="25" t="s">
        <v>34</v>
      </c>
      <c r="C34" s="127">
        <f>C18-C28-C32</f>
        <v>300022</v>
      </c>
      <c r="D34" s="37">
        <f>C34+PL!D28+D38</f>
        <v>290922.81509870902</v>
      </c>
      <c r="E34" s="37">
        <f>D34+PL!E28+E38</f>
        <v>275780.48678025091</v>
      </c>
      <c r="F34" s="37">
        <f>E34+PL!F28+F38</f>
        <v>261038.64638634241</v>
      </c>
      <c r="G34" s="37">
        <f>F34+PL!G28+G38</f>
        <v>246295.67712452856</v>
      </c>
      <c r="H34" s="37">
        <f>G34+PL!H28+H38</f>
        <v>232014.90988159992</v>
      </c>
      <c r="I34" s="37">
        <f>H34+PL!I28+I38</f>
        <v>211438.30445566794</v>
      </c>
      <c r="J34" s="37">
        <f>I34+PL!J28+J38</f>
        <v>197944.93366503294</v>
      </c>
      <c r="K34" s="37">
        <f>J34+PL!K28+K38</f>
        <v>183710.23804616524</v>
      </c>
      <c r="L34" s="37">
        <f>K34+PL!L28+L38</f>
        <v>170420.73908188811</v>
      </c>
      <c r="M34" s="37">
        <f>L34+PL!M28+M38</f>
        <v>157141.6591067425</v>
      </c>
      <c r="N34" s="37">
        <f>M34+PL!N28+N38</f>
        <v>143262.05622181526</v>
      </c>
      <c r="O34" s="127">
        <f>N34+PL!O28+O38</f>
        <v>130272.08271808454</v>
      </c>
      <c r="P34" s="41">
        <f ca="1">O34+PL!P28+P38</f>
        <v>140847.53338475121</v>
      </c>
      <c r="Q34" s="41">
        <f ca="1">P34+PL!Q28+Q38</f>
        <v>151118.88291808454</v>
      </c>
      <c r="R34" s="41">
        <f ca="1">Q34+PL!R28+R38</f>
        <v>156954.09771808452</v>
      </c>
      <c r="S34" s="41">
        <f ca="1">R34+PL!S28+S38</f>
        <v>167946.94018475118</v>
      </c>
      <c r="T34" s="41">
        <f ca="1">S34+PL!T28+T38</f>
        <v>179160.50091808452</v>
      </c>
      <c r="U34" s="41">
        <f ca="1">T34+PL!U28+U38</f>
        <v>434419.56225808454</v>
      </c>
      <c r="V34" s="41">
        <f ca="1">U34+PL!V28+V38</f>
        <v>445950.42590475117</v>
      </c>
      <c r="W34" s="41">
        <f ca="1">V34+PL!W28+W38</f>
        <v>457500.77301808452</v>
      </c>
      <c r="X34" s="41">
        <f ca="1">W34+PL!X28+X38</f>
        <v>469299.50861808454</v>
      </c>
      <c r="Y34" s="41">
        <f ca="1">X34+PL!Y28+Y38</f>
        <v>481096.64640475123</v>
      </c>
      <c r="Z34" s="41">
        <f ca="1">Y34+PL!Z28+Z38</f>
        <v>493123.20193808456</v>
      </c>
      <c r="AA34" s="167">
        <f ca="1">Z34+PL!AA28+AA38</f>
        <v>505131.08599808457</v>
      </c>
    </row>
    <row r="35" spans="1:33" x14ac:dyDescent="0.2">
      <c r="B35" s="24"/>
      <c r="C35" s="12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127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167"/>
    </row>
    <row r="36" spans="1:33" s="2" customFormat="1" ht="16" thickBot="1" x14ac:dyDescent="0.25">
      <c r="A36" s="164"/>
      <c r="B36" s="77" t="s">
        <v>35</v>
      </c>
      <c r="C36" s="129">
        <f>C28+C32+C34</f>
        <v>304442</v>
      </c>
      <c r="D36" s="110">
        <f>D28+D32+D34</f>
        <v>295805.76509870903</v>
      </c>
      <c r="E36" s="110">
        <f t="shared" ref="E36:AA36" si="7">E28+E32+E34</f>
        <v>281225.90678025089</v>
      </c>
      <c r="F36" s="110">
        <f>F28+F32+F34</f>
        <v>267546.04638634244</v>
      </c>
      <c r="G36" s="110">
        <f t="shared" si="7"/>
        <v>252864.56712452858</v>
      </c>
      <c r="H36" s="110">
        <f t="shared" si="7"/>
        <v>239744.78988159992</v>
      </c>
      <c r="I36" s="110">
        <f t="shared" si="7"/>
        <v>219628.67445566793</v>
      </c>
      <c r="J36" s="110">
        <f t="shared" si="7"/>
        <v>206195.28366503294</v>
      </c>
      <c r="K36" s="110">
        <f t="shared" si="7"/>
        <v>193120.04804616523</v>
      </c>
      <c r="L36" s="110">
        <f t="shared" si="7"/>
        <v>179789.4790818881</v>
      </c>
      <c r="M36" s="110">
        <f t="shared" si="7"/>
        <v>167068.79910674249</v>
      </c>
      <c r="N36" s="110">
        <f t="shared" si="7"/>
        <v>154647.05622181526</v>
      </c>
      <c r="O36" s="129">
        <f t="shared" si="7"/>
        <v>141314.40271808454</v>
      </c>
      <c r="P36" s="171">
        <f t="shared" ca="1" si="7"/>
        <v>151446.6133847512</v>
      </c>
      <c r="Q36" s="171">
        <f t="shared" ca="1" si="7"/>
        <v>160974.16291808453</v>
      </c>
      <c r="R36" s="171">
        <f t="shared" ca="1" si="7"/>
        <v>165465.01771808453</v>
      </c>
      <c r="S36" s="171">
        <f t="shared" ca="1" si="7"/>
        <v>176012.92018475119</v>
      </c>
      <c r="T36" s="171">
        <f t="shared" ca="1" si="7"/>
        <v>186780.96091808451</v>
      </c>
      <c r="U36" s="171">
        <f t="shared" ca="1" si="7"/>
        <v>441893.91225808451</v>
      </c>
      <c r="V36" s="171">
        <f t="shared" ca="1" si="7"/>
        <v>452678.06590475119</v>
      </c>
      <c r="W36" s="171">
        <f t="shared" ca="1" si="7"/>
        <v>463781.10301808454</v>
      </c>
      <c r="X36" s="171">
        <f t="shared" ca="1" si="7"/>
        <v>475131.91861808451</v>
      </c>
      <c r="Y36" s="171">
        <f t="shared" ca="1" si="7"/>
        <v>486480.51640475122</v>
      </c>
      <c r="Z36" s="171">
        <f t="shared" ca="1" si="7"/>
        <v>498057.90193808457</v>
      </c>
      <c r="AA36" s="170">
        <f t="shared" ca="1" si="7"/>
        <v>509651.08599808457</v>
      </c>
    </row>
    <row r="37" spans="1:33" x14ac:dyDescent="0.2">
      <c r="B37" s="2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spans="1:33" x14ac:dyDescent="0.2">
      <c r="B38" s="24" t="s">
        <v>87</v>
      </c>
      <c r="C38" s="36">
        <v>0</v>
      </c>
      <c r="D38" s="36">
        <v>0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250000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</row>
    <row r="39" spans="1:33" x14ac:dyDescent="0.2">
      <c r="B39" s="2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 spans="1:33" s="1" customFormat="1" x14ac:dyDescent="0.2">
      <c r="A40" s="165"/>
      <c r="B40" s="24" t="s">
        <v>74</v>
      </c>
      <c r="C40" s="33">
        <f t="shared" ref="C40:AA40" si="8">ROUND(C36-C18,0)</f>
        <v>0</v>
      </c>
      <c r="D40" s="33">
        <f t="shared" si="8"/>
        <v>0</v>
      </c>
      <c r="E40" s="33">
        <f t="shared" si="8"/>
        <v>0</v>
      </c>
      <c r="F40" s="33">
        <f t="shared" si="8"/>
        <v>0</v>
      </c>
      <c r="G40" s="33">
        <f t="shared" si="8"/>
        <v>0</v>
      </c>
      <c r="H40" s="33">
        <f t="shared" si="8"/>
        <v>0</v>
      </c>
      <c r="I40" s="33">
        <f t="shared" si="8"/>
        <v>0</v>
      </c>
      <c r="J40" s="33">
        <f t="shared" si="8"/>
        <v>0</v>
      </c>
      <c r="K40" s="33">
        <f t="shared" si="8"/>
        <v>0</v>
      </c>
      <c r="L40" s="33">
        <f t="shared" si="8"/>
        <v>0</v>
      </c>
      <c r="M40" s="33">
        <f t="shared" si="8"/>
        <v>0</v>
      </c>
      <c r="N40" s="33">
        <f t="shared" si="8"/>
        <v>0</v>
      </c>
      <c r="O40" s="33">
        <f t="shared" si="8"/>
        <v>0</v>
      </c>
      <c r="P40" s="33">
        <f t="shared" ca="1" si="8"/>
        <v>0</v>
      </c>
      <c r="Q40" s="33">
        <f t="shared" ca="1" si="8"/>
        <v>0</v>
      </c>
      <c r="R40" s="33">
        <f t="shared" ca="1" si="8"/>
        <v>0</v>
      </c>
      <c r="S40" s="33">
        <f t="shared" ca="1" si="8"/>
        <v>0</v>
      </c>
      <c r="T40" s="33">
        <f t="shared" ca="1" si="8"/>
        <v>0</v>
      </c>
      <c r="U40" s="33">
        <f t="shared" ca="1" si="8"/>
        <v>0</v>
      </c>
      <c r="V40" s="33">
        <f t="shared" ca="1" si="8"/>
        <v>0</v>
      </c>
      <c r="W40" s="33">
        <f t="shared" ca="1" si="8"/>
        <v>0</v>
      </c>
      <c r="X40" s="33">
        <f t="shared" ca="1" si="8"/>
        <v>0</v>
      </c>
      <c r="Y40" s="33">
        <f t="shared" ca="1" si="8"/>
        <v>0</v>
      </c>
      <c r="Z40" s="33">
        <f t="shared" ca="1" si="8"/>
        <v>0</v>
      </c>
      <c r="AA40" s="33">
        <f t="shared" ca="1" si="8"/>
        <v>0</v>
      </c>
    </row>
    <row r="41" spans="1:33" x14ac:dyDescent="0.2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12"/>
      <c r="AC41" s="12"/>
      <c r="AD41" s="12"/>
      <c r="AE41" s="12"/>
      <c r="AF41" s="12"/>
      <c r="AG41" s="12"/>
    </row>
    <row r="42" spans="1:33" x14ac:dyDescent="0.2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12"/>
      <c r="AC42" s="12"/>
      <c r="AD42" s="12"/>
      <c r="AE42" s="12"/>
      <c r="AF42" s="12"/>
      <c r="AG42" s="12"/>
    </row>
    <row r="43" spans="1:33" x14ac:dyDescent="0.2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12"/>
      <c r="AC43" s="12"/>
      <c r="AD43" s="12"/>
      <c r="AE43" s="12"/>
      <c r="AF43" s="12"/>
      <c r="AG43" s="12"/>
    </row>
    <row r="44" spans="1:33" x14ac:dyDescent="0.2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12"/>
      <c r="AC44" s="12"/>
      <c r="AD44" s="12"/>
      <c r="AE44" s="12"/>
      <c r="AF44" s="12"/>
      <c r="AG44" s="12"/>
    </row>
    <row r="45" spans="1:33" x14ac:dyDescent="0.2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12"/>
      <c r="AC45" s="12"/>
      <c r="AD45" s="12"/>
      <c r="AE45" s="12"/>
      <c r="AF45" s="12"/>
      <c r="AG45" s="12"/>
    </row>
    <row r="46" spans="1:33" x14ac:dyDescent="0.2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12"/>
      <c r="AC46" s="12"/>
      <c r="AD46" s="12"/>
      <c r="AE46" s="12"/>
      <c r="AF46" s="12"/>
      <c r="AG46" s="12"/>
    </row>
    <row r="47" spans="1:33" x14ac:dyDescent="0.2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12"/>
      <c r="AC47" s="12"/>
      <c r="AD47" s="12"/>
      <c r="AE47" s="12"/>
      <c r="AF47" s="12"/>
      <c r="AG47" s="12"/>
    </row>
    <row r="48" spans="1:33" x14ac:dyDescent="0.2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12"/>
      <c r="AC48" s="12"/>
      <c r="AD48" s="12"/>
      <c r="AE48" s="12"/>
      <c r="AF48" s="12"/>
      <c r="AG48" s="12"/>
    </row>
    <row r="49" spans="2:33" x14ac:dyDescent="0.2"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12"/>
      <c r="AC49" s="12"/>
      <c r="AD49" s="12"/>
      <c r="AE49" s="12"/>
      <c r="AF49" s="12"/>
      <c r="AG49" s="12"/>
    </row>
    <row r="50" spans="2:33" x14ac:dyDescent="0.2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12"/>
      <c r="AC50" s="12"/>
      <c r="AD50" s="12"/>
      <c r="AE50" s="12"/>
      <c r="AF50" s="12"/>
      <c r="AG50" s="12"/>
    </row>
    <row r="51" spans="2:33" x14ac:dyDescent="0.2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12"/>
      <c r="AC51" s="12"/>
      <c r="AD51" s="12"/>
      <c r="AE51" s="12"/>
      <c r="AF51" s="12"/>
      <c r="AG51" s="12"/>
    </row>
    <row r="52" spans="2:33" x14ac:dyDescent="0.2"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12"/>
      <c r="AC52" s="12"/>
      <c r="AD52" s="12"/>
      <c r="AE52" s="12"/>
      <c r="AF52" s="12"/>
      <c r="AG52" s="12"/>
    </row>
    <row r="53" spans="2:33" x14ac:dyDescent="0.2"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12"/>
      <c r="AC53" s="12"/>
      <c r="AD53" s="12"/>
      <c r="AE53" s="12"/>
      <c r="AF53" s="12"/>
      <c r="AG53" s="12"/>
    </row>
    <row r="54" spans="2:33" x14ac:dyDescent="0.2"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12"/>
      <c r="AC54" s="12"/>
      <c r="AD54" s="12"/>
      <c r="AE54" s="12"/>
      <c r="AF54" s="12"/>
      <c r="AG54" s="12"/>
    </row>
    <row r="55" spans="2:33" x14ac:dyDescent="0.2"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12"/>
      <c r="AC55" s="12"/>
      <c r="AD55" s="12"/>
      <c r="AE55" s="12"/>
      <c r="AF55" s="12"/>
      <c r="AG55" s="12"/>
    </row>
    <row r="56" spans="2:33" x14ac:dyDescent="0.2"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12"/>
      <c r="AC56" s="12"/>
      <c r="AD56" s="12"/>
      <c r="AE56" s="12"/>
      <c r="AF56" s="12"/>
      <c r="AG56" s="12"/>
    </row>
    <row r="57" spans="2:33" x14ac:dyDescent="0.2"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12"/>
      <c r="AC57" s="12"/>
      <c r="AD57" s="12"/>
      <c r="AE57" s="12"/>
      <c r="AF57" s="12"/>
      <c r="AG57" s="12"/>
    </row>
    <row r="58" spans="2:33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2:33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2:33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2:33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2:33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spans="2:33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spans="2:33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spans="2:33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2:33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spans="2:33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spans="2:33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2:33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2:33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2:33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2:33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spans="2:33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spans="2:33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spans="2:33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spans="2:33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spans="2:33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2:33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2:33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2:33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2:33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spans="2:33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2:33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2:33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2:33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2:33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2:33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2:33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2:33" x14ac:dyDescent="0.2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2:33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2:33" x14ac:dyDescent="0.2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2:33" x14ac:dyDescent="0.2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2:33" x14ac:dyDescent="0.2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2:33" x14ac:dyDescent="0.2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2:33" x14ac:dyDescent="0.2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2:33" x14ac:dyDescent="0.2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2:33" x14ac:dyDescent="0.2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2:33" x14ac:dyDescent="0.2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2:33" x14ac:dyDescent="0.2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2:33" x14ac:dyDescent="0.2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2:33" x14ac:dyDescent="0.2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2:33" x14ac:dyDescent="0.2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2:33" x14ac:dyDescent="0.2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2:33" x14ac:dyDescent="0.2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2:33" x14ac:dyDescent="0.2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2:33" x14ac:dyDescent="0.2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2:33" x14ac:dyDescent="0.2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2:33" x14ac:dyDescent="0.2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2:33" x14ac:dyDescent="0.2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2:33" x14ac:dyDescent="0.2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2:33" x14ac:dyDescent="0.2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2:33" x14ac:dyDescent="0.2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2:33" x14ac:dyDescent="0.2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2:33" x14ac:dyDescent="0.2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2:33" x14ac:dyDescent="0.2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2:33" x14ac:dyDescent="0.2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2:33" x14ac:dyDescent="0.2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2:33" x14ac:dyDescent="0.2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2:33" x14ac:dyDescent="0.2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2:33" x14ac:dyDescent="0.2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2:33" x14ac:dyDescent="0.2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2:33" x14ac:dyDescent="0.2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2:33" x14ac:dyDescent="0.2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2:33" x14ac:dyDescent="0.2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2:33" x14ac:dyDescent="0.2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2:33" x14ac:dyDescent="0.2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2:33" x14ac:dyDescent="0.2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2:33" x14ac:dyDescent="0.2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2:33" x14ac:dyDescent="0.2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2:33" x14ac:dyDescent="0.2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2:33" x14ac:dyDescent="0.2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2:33" x14ac:dyDescent="0.2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2:33" x14ac:dyDescent="0.2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2:33" x14ac:dyDescent="0.2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2:33" x14ac:dyDescent="0.2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2:33" x14ac:dyDescent="0.2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2:33" x14ac:dyDescent="0.2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2:33" x14ac:dyDescent="0.2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2:33" x14ac:dyDescent="0.2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2:33" x14ac:dyDescent="0.2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2:33" x14ac:dyDescent="0.2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2:33" x14ac:dyDescent="0.2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2:33" x14ac:dyDescent="0.2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2:33" x14ac:dyDescent="0.2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2:33" x14ac:dyDescent="0.2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2:33" x14ac:dyDescent="0.2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2:33" x14ac:dyDescent="0.2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2:33" x14ac:dyDescent="0.2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2:33" x14ac:dyDescent="0.2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2:33" x14ac:dyDescent="0.2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2:33" x14ac:dyDescent="0.2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2:33" x14ac:dyDescent="0.2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2:33" x14ac:dyDescent="0.2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2:33" x14ac:dyDescent="0.2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2:33" x14ac:dyDescent="0.2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2:33" x14ac:dyDescent="0.2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2:33" x14ac:dyDescent="0.2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2:33" x14ac:dyDescent="0.2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2:33" x14ac:dyDescent="0.2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2:33" x14ac:dyDescent="0.2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2:33" x14ac:dyDescent="0.2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2:33" x14ac:dyDescent="0.2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2:33" x14ac:dyDescent="0.2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2:33" x14ac:dyDescent="0.2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2:33" x14ac:dyDescent="0.2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2:33" x14ac:dyDescent="0.2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2:33" x14ac:dyDescent="0.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2:33" x14ac:dyDescent="0.2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2:33" x14ac:dyDescent="0.2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2:33" x14ac:dyDescent="0.2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2:33" x14ac:dyDescent="0.2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2:33" x14ac:dyDescent="0.2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2:33" x14ac:dyDescent="0.2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2:33" x14ac:dyDescent="0.2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2:33" x14ac:dyDescent="0.2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2:33" x14ac:dyDescent="0.2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2:33" x14ac:dyDescent="0.2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2:33" x14ac:dyDescent="0.2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2:33" x14ac:dyDescent="0.2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2:33" x14ac:dyDescent="0.2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2:33" x14ac:dyDescent="0.2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2:33" x14ac:dyDescent="0.2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2:33" x14ac:dyDescent="0.2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2:33" x14ac:dyDescent="0.2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2:33" x14ac:dyDescent="0.2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2:33" x14ac:dyDescent="0.2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2:33" x14ac:dyDescent="0.2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2:33" x14ac:dyDescent="0.2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2:33" x14ac:dyDescent="0.2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2:33" x14ac:dyDescent="0.2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2:33" x14ac:dyDescent="0.2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2:33" x14ac:dyDescent="0.2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2:33" x14ac:dyDescent="0.2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2:33" x14ac:dyDescent="0.2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2:33" x14ac:dyDescent="0.2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2:33" x14ac:dyDescent="0.2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2:33" x14ac:dyDescent="0.2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2:33" x14ac:dyDescent="0.2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2:33" x14ac:dyDescent="0.2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2:33" x14ac:dyDescent="0.2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2:33" x14ac:dyDescent="0.2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2:33" x14ac:dyDescent="0.2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2:33" x14ac:dyDescent="0.2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2:33" x14ac:dyDescent="0.2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2:33" x14ac:dyDescent="0.2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2:33" x14ac:dyDescent="0.2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2:33" x14ac:dyDescent="0.2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2:33" x14ac:dyDescent="0.2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2:33" x14ac:dyDescent="0.2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2:33" x14ac:dyDescent="0.2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2:33" x14ac:dyDescent="0.2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2:33" x14ac:dyDescent="0.2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2:33" x14ac:dyDescent="0.2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2:33" x14ac:dyDescent="0.2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2:33" x14ac:dyDescent="0.2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2:33" x14ac:dyDescent="0.2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2:33" x14ac:dyDescent="0.2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2:33" x14ac:dyDescent="0.2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2:33" x14ac:dyDescent="0.2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2:33" x14ac:dyDescent="0.2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2:33" x14ac:dyDescent="0.2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2:33" x14ac:dyDescent="0.2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2:33" x14ac:dyDescent="0.2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2:33" x14ac:dyDescent="0.2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2:33" x14ac:dyDescent="0.2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2:33" x14ac:dyDescent="0.2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2:33" x14ac:dyDescent="0.2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2:33" x14ac:dyDescent="0.2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2:33" x14ac:dyDescent="0.2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2:33" x14ac:dyDescent="0.2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2:33" x14ac:dyDescent="0.2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2:33" x14ac:dyDescent="0.2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2:33" x14ac:dyDescent="0.2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2:33" x14ac:dyDescent="0.2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2:33" x14ac:dyDescent="0.2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2:33" x14ac:dyDescent="0.2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2:33" x14ac:dyDescent="0.2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2:33" x14ac:dyDescent="0.2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2:33" x14ac:dyDescent="0.2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2:33" x14ac:dyDescent="0.2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2:33" x14ac:dyDescent="0.2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2:33" x14ac:dyDescent="0.2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2:33" x14ac:dyDescent="0.2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2:33" x14ac:dyDescent="0.2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2:33" x14ac:dyDescent="0.2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2:33" x14ac:dyDescent="0.2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2:33" x14ac:dyDescent="0.2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2:33" x14ac:dyDescent="0.2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2:33" x14ac:dyDescent="0.2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2:33" x14ac:dyDescent="0.2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2:33" x14ac:dyDescent="0.2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2:33" x14ac:dyDescent="0.2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2:33" x14ac:dyDescent="0.2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2:33" x14ac:dyDescent="0.2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2:33" x14ac:dyDescent="0.2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2:33" x14ac:dyDescent="0.2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2:33" x14ac:dyDescent="0.2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2:33" x14ac:dyDescent="0.2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2:33" x14ac:dyDescent="0.2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2:33" x14ac:dyDescent="0.2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2:33" x14ac:dyDescent="0.2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2:33" x14ac:dyDescent="0.2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2:33" x14ac:dyDescent="0.2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2:33" x14ac:dyDescent="0.2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2:33" x14ac:dyDescent="0.2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2:33" x14ac:dyDescent="0.2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2:33" x14ac:dyDescent="0.2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2:33" x14ac:dyDescent="0.2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2:33" x14ac:dyDescent="0.2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2:33" x14ac:dyDescent="0.2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2:33" x14ac:dyDescent="0.2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2:33" x14ac:dyDescent="0.2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2:33" x14ac:dyDescent="0.2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2:33" x14ac:dyDescent="0.2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2:33" x14ac:dyDescent="0.2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2:33" x14ac:dyDescent="0.2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2:33" x14ac:dyDescent="0.2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2:33" x14ac:dyDescent="0.2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2:33" x14ac:dyDescent="0.2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2:33" x14ac:dyDescent="0.2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2:33" x14ac:dyDescent="0.2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2:33" x14ac:dyDescent="0.2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2:33" x14ac:dyDescent="0.2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2:33" x14ac:dyDescent="0.2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2:33" x14ac:dyDescent="0.2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2:33" x14ac:dyDescent="0.2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2:33" x14ac:dyDescent="0.2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2:33" x14ac:dyDescent="0.2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2:33" x14ac:dyDescent="0.2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2:33" x14ac:dyDescent="0.2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2:33" x14ac:dyDescent="0.2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2:33" x14ac:dyDescent="0.2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2:33" x14ac:dyDescent="0.2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2:33" x14ac:dyDescent="0.2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2:33" x14ac:dyDescent="0.2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2:33" x14ac:dyDescent="0.2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2:33" x14ac:dyDescent="0.2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2:33" x14ac:dyDescent="0.2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2:33" x14ac:dyDescent="0.2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2:33" x14ac:dyDescent="0.2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2:33" x14ac:dyDescent="0.2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2:33" x14ac:dyDescent="0.2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2:33" x14ac:dyDescent="0.2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2:33" x14ac:dyDescent="0.2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2:33" x14ac:dyDescent="0.2"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2:33" x14ac:dyDescent="0.2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2:33" x14ac:dyDescent="0.2"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2:33" x14ac:dyDescent="0.2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2:33" x14ac:dyDescent="0.2"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2:33" x14ac:dyDescent="0.2"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2:33" x14ac:dyDescent="0.2"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2:33" x14ac:dyDescent="0.2"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2:33" x14ac:dyDescent="0.2"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2:33" x14ac:dyDescent="0.2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2:33" x14ac:dyDescent="0.2"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2:33" x14ac:dyDescent="0.2"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2:33" x14ac:dyDescent="0.2"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2:33" x14ac:dyDescent="0.2"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2:33" x14ac:dyDescent="0.2"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2:33" x14ac:dyDescent="0.2"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2:33" x14ac:dyDescent="0.2"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2:33" x14ac:dyDescent="0.2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2:33" x14ac:dyDescent="0.2"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2:33" x14ac:dyDescent="0.2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2:33" x14ac:dyDescent="0.2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2:33" x14ac:dyDescent="0.2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2:33" x14ac:dyDescent="0.2"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2:33" x14ac:dyDescent="0.2"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2:33" x14ac:dyDescent="0.2"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2:33" x14ac:dyDescent="0.2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2:33" x14ac:dyDescent="0.2"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2:33" x14ac:dyDescent="0.2"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2:33" x14ac:dyDescent="0.2"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2:33" x14ac:dyDescent="0.2"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2:33" x14ac:dyDescent="0.2"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2:33" x14ac:dyDescent="0.2"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2:33" x14ac:dyDescent="0.2"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2:33" x14ac:dyDescent="0.2"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2:33" x14ac:dyDescent="0.2"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2:33" x14ac:dyDescent="0.2"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2:33" x14ac:dyDescent="0.2"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2:33" x14ac:dyDescent="0.2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2:33" x14ac:dyDescent="0.2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2:33" x14ac:dyDescent="0.2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2:33" x14ac:dyDescent="0.2"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2:33" x14ac:dyDescent="0.2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2:33" x14ac:dyDescent="0.2"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2:33" x14ac:dyDescent="0.2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2:33" x14ac:dyDescent="0.2"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2:33" x14ac:dyDescent="0.2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2:33" x14ac:dyDescent="0.2"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2:33" x14ac:dyDescent="0.2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2:33" x14ac:dyDescent="0.2"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2:33" x14ac:dyDescent="0.2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2:33" x14ac:dyDescent="0.2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2:33" x14ac:dyDescent="0.2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2:33" x14ac:dyDescent="0.2"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2:33" x14ac:dyDescent="0.2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2:33" x14ac:dyDescent="0.2"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2:33" x14ac:dyDescent="0.2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2:33" x14ac:dyDescent="0.2"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2:33" x14ac:dyDescent="0.2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2:33" x14ac:dyDescent="0.2"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2:33" x14ac:dyDescent="0.2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2:33" x14ac:dyDescent="0.2"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2:33" x14ac:dyDescent="0.2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2:33" x14ac:dyDescent="0.2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2:33" x14ac:dyDescent="0.2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2:33" x14ac:dyDescent="0.2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2:33" x14ac:dyDescent="0.2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2:33" x14ac:dyDescent="0.2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2:33" x14ac:dyDescent="0.2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2:33" x14ac:dyDescent="0.2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2:33" x14ac:dyDescent="0.2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2:33" x14ac:dyDescent="0.2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2:33" x14ac:dyDescent="0.2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2:33" x14ac:dyDescent="0.2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2:33" x14ac:dyDescent="0.2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2:33" x14ac:dyDescent="0.2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2:33" x14ac:dyDescent="0.2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2:33" x14ac:dyDescent="0.2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2:33" x14ac:dyDescent="0.2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2:33" x14ac:dyDescent="0.2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2:33" x14ac:dyDescent="0.2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2:33" x14ac:dyDescent="0.2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2:33" x14ac:dyDescent="0.2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2:33" x14ac:dyDescent="0.2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2:33" x14ac:dyDescent="0.2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2:33" x14ac:dyDescent="0.2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2:33" x14ac:dyDescent="0.2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2:33" x14ac:dyDescent="0.2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2:33" x14ac:dyDescent="0.2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2:33" x14ac:dyDescent="0.2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2:33" x14ac:dyDescent="0.2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2:33" x14ac:dyDescent="0.2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2:33" x14ac:dyDescent="0.2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2:33" x14ac:dyDescent="0.2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2:33" x14ac:dyDescent="0.2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2:33" x14ac:dyDescent="0.2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2:33" x14ac:dyDescent="0.2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2:33" x14ac:dyDescent="0.2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2:33" x14ac:dyDescent="0.2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2:33" x14ac:dyDescent="0.2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2:33" x14ac:dyDescent="0.2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2:33" x14ac:dyDescent="0.2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2:33" x14ac:dyDescent="0.2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2:33" x14ac:dyDescent="0.2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2:33" x14ac:dyDescent="0.2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2:33" x14ac:dyDescent="0.2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2:33" x14ac:dyDescent="0.2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2:33" x14ac:dyDescent="0.2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2:33" x14ac:dyDescent="0.2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2:33" x14ac:dyDescent="0.2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2:33" x14ac:dyDescent="0.2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2:33" x14ac:dyDescent="0.2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2:33" x14ac:dyDescent="0.2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2:33" x14ac:dyDescent="0.2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2:33" x14ac:dyDescent="0.2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2:33" x14ac:dyDescent="0.2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2:33" x14ac:dyDescent="0.2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2:33" x14ac:dyDescent="0.2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2:33" x14ac:dyDescent="0.2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2:33" x14ac:dyDescent="0.2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2:33" x14ac:dyDescent="0.2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2:33" x14ac:dyDescent="0.2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2:33" x14ac:dyDescent="0.2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2:33" x14ac:dyDescent="0.2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2:33" x14ac:dyDescent="0.2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2:33" x14ac:dyDescent="0.2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2:33" x14ac:dyDescent="0.2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2:33" x14ac:dyDescent="0.2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2:33" x14ac:dyDescent="0.2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2:33" x14ac:dyDescent="0.2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2:33" x14ac:dyDescent="0.2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2:33" x14ac:dyDescent="0.2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2:33" x14ac:dyDescent="0.2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2:33" x14ac:dyDescent="0.2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2:33" x14ac:dyDescent="0.2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2:33" x14ac:dyDescent="0.2"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2:33" x14ac:dyDescent="0.2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2:33" x14ac:dyDescent="0.2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2:33" x14ac:dyDescent="0.2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2:33" x14ac:dyDescent="0.2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2:33" x14ac:dyDescent="0.2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2:33" x14ac:dyDescent="0.2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2:33" x14ac:dyDescent="0.2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2:33" x14ac:dyDescent="0.2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2:33" x14ac:dyDescent="0.2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2:33" x14ac:dyDescent="0.2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2:33" x14ac:dyDescent="0.2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2:33" x14ac:dyDescent="0.2"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2:33" x14ac:dyDescent="0.2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2:33" x14ac:dyDescent="0.2"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2:33" x14ac:dyDescent="0.2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2:33" x14ac:dyDescent="0.2"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2:33" x14ac:dyDescent="0.2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2:33" x14ac:dyDescent="0.2"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2:33" x14ac:dyDescent="0.2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2:33" x14ac:dyDescent="0.2"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2:33" x14ac:dyDescent="0.2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2:33" x14ac:dyDescent="0.2"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2:33" x14ac:dyDescent="0.2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2:33" x14ac:dyDescent="0.2"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2:33" x14ac:dyDescent="0.2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2:33" x14ac:dyDescent="0.2"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2:33" x14ac:dyDescent="0.2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2:33" x14ac:dyDescent="0.2"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2:33" x14ac:dyDescent="0.2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2:33" x14ac:dyDescent="0.2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2:33" x14ac:dyDescent="0.2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2:33" x14ac:dyDescent="0.2"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2:33" x14ac:dyDescent="0.2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2:33" x14ac:dyDescent="0.2"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2:33" x14ac:dyDescent="0.2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2:33" x14ac:dyDescent="0.2"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2:33" x14ac:dyDescent="0.2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2:33" x14ac:dyDescent="0.2"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2:33" x14ac:dyDescent="0.2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2:33" x14ac:dyDescent="0.2"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2:33" x14ac:dyDescent="0.2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2:33" x14ac:dyDescent="0.2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2:33" x14ac:dyDescent="0.2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2:33" x14ac:dyDescent="0.2"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2:33" x14ac:dyDescent="0.2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2:33" x14ac:dyDescent="0.2"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2:33" x14ac:dyDescent="0.2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2:33" x14ac:dyDescent="0.2"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2:33" x14ac:dyDescent="0.2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2:33" x14ac:dyDescent="0.2"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2:33" x14ac:dyDescent="0.2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2:33" x14ac:dyDescent="0.2"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2:33" x14ac:dyDescent="0.2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2:33" x14ac:dyDescent="0.2"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2:33" x14ac:dyDescent="0.2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2:33" x14ac:dyDescent="0.2"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2:33" x14ac:dyDescent="0.2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2:33" x14ac:dyDescent="0.2"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2:33" x14ac:dyDescent="0.2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2:33" x14ac:dyDescent="0.2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2:33" x14ac:dyDescent="0.2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2:33" x14ac:dyDescent="0.2"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2:33" x14ac:dyDescent="0.2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2:33" x14ac:dyDescent="0.2"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2:33" x14ac:dyDescent="0.2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2:33" x14ac:dyDescent="0.2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2:33" x14ac:dyDescent="0.2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2:33" x14ac:dyDescent="0.2"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2:33" x14ac:dyDescent="0.2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2:33" x14ac:dyDescent="0.2"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2:33" x14ac:dyDescent="0.2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2:33" x14ac:dyDescent="0.2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2:33" x14ac:dyDescent="0.2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2:33" x14ac:dyDescent="0.2"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2:33" x14ac:dyDescent="0.2"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2:33" x14ac:dyDescent="0.2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2:33" x14ac:dyDescent="0.2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2:33" x14ac:dyDescent="0.2"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2:33" x14ac:dyDescent="0.2"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2:33" x14ac:dyDescent="0.2"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2:33" x14ac:dyDescent="0.2"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2:33" x14ac:dyDescent="0.2"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2:33" x14ac:dyDescent="0.2"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2:33" x14ac:dyDescent="0.2"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2:33" x14ac:dyDescent="0.2"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2:33" x14ac:dyDescent="0.2"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2:33" x14ac:dyDescent="0.2"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2:33" x14ac:dyDescent="0.2"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2:33" x14ac:dyDescent="0.2"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2:33" x14ac:dyDescent="0.2"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2:33" x14ac:dyDescent="0.2"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</sheetData>
  <pageMargins left="0.7" right="0.7" top="0.75" bottom="0.75" header="0.3" footer="0.3"/>
  <pageSetup paperSize="119" scale="7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rgb="FF00B050"/>
    <pageSetUpPr fitToPage="1"/>
  </sheetPr>
  <dimension ref="B1:AE3216"/>
  <sheetViews>
    <sheetView zoomScaleNormal="100" workbookViewId="0">
      <pane xSplit="2" ySplit="3" topLeftCell="O4" activePane="bottomRight" state="frozen"/>
      <selection activeCell="N45" sqref="N45"/>
      <selection pane="topRight" activeCell="N45" sqref="N45"/>
      <selection pane="bottomLeft" activeCell="N45" sqref="N45"/>
      <selection pane="bottomRight" activeCell="O3" sqref="O3"/>
    </sheetView>
  </sheetViews>
  <sheetFormatPr baseColWidth="10" defaultColWidth="8.83203125" defaultRowHeight="15" outlineLevelCol="1" x14ac:dyDescent="0.2"/>
  <cols>
    <col min="1" max="1" width="2" customWidth="1"/>
    <col min="2" max="2" width="40.83203125" bestFit="1" customWidth="1"/>
    <col min="3" max="14" width="8.5" hidden="1" customWidth="1" outlineLevel="1"/>
    <col min="15" max="15" width="8.5" bestFit="1" customWidth="1" collapsed="1"/>
    <col min="16" max="17" width="8.5" bestFit="1" customWidth="1"/>
    <col min="18" max="19" width="7.5" bestFit="1" customWidth="1"/>
    <col min="20" max="26" width="8.5" bestFit="1" customWidth="1"/>
    <col min="27" max="27" width="2.83203125" customWidth="1"/>
    <col min="28" max="28" width="9.1640625" bestFit="1" customWidth="1"/>
    <col min="29" max="29" width="8.5" bestFit="1" customWidth="1"/>
  </cols>
  <sheetData>
    <row r="1" spans="2:29" ht="19" x14ac:dyDescent="0.25">
      <c r="B1" s="16" t="s">
        <v>224</v>
      </c>
    </row>
    <row r="3" spans="2:29" x14ac:dyDescent="0.2">
      <c r="B3" s="60" t="s">
        <v>16</v>
      </c>
      <c r="C3" s="59">
        <v>41640</v>
      </c>
      <c r="D3" s="59">
        <v>41671</v>
      </c>
      <c r="E3" s="59">
        <v>41699</v>
      </c>
      <c r="F3" s="59">
        <v>41730</v>
      </c>
      <c r="G3" s="59">
        <v>41760</v>
      </c>
      <c r="H3" s="59">
        <v>41791</v>
      </c>
      <c r="I3" s="59">
        <v>41821</v>
      </c>
      <c r="J3" s="59">
        <v>41852</v>
      </c>
      <c r="K3" s="59">
        <v>41883</v>
      </c>
      <c r="L3" s="59">
        <v>41913</v>
      </c>
      <c r="M3" s="59">
        <v>41944</v>
      </c>
      <c r="N3" s="59">
        <v>41974</v>
      </c>
      <c r="O3" s="59">
        <v>42005</v>
      </c>
      <c r="P3" s="59">
        <v>42036</v>
      </c>
      <c r="Q3" s="59">
        <v>42064</v>
      </c>
      <c r="R3" s="59">
        <v>42095</v>
      </c>
      <c r="S3" s="59">
        <v>42125</v>
      </c>
      <c r="T3" s="59">
        <v>42156</v>
      </c>
      <c r="U3" s="59">
        <v>42186</v>
      </c>
      <c r="V3" s="59">
        <v>42217</v>
      </c>
      <c r="W3" s="59">
        <v>42248</v>
      </c>
      <c r="X3" s="59">
        <v>42278</v>
      </c>
      <c r="Y3" s="59">
        <v>42309</v>
      </c>
      <c r="Z3" s="59">
        <v>42339</v>
      </c>
      <c r="AA3" s="45"/>
      <c r="AB3" s="96" t="s">
        <v>144</v>
      </c>
      <c r="AC3" s="96" t="s">
        <v>145</v>
      </c>
    </row>
    <row r="4" spans="2:29" x14ac:dyDescent="0.2">
      <c r="B4" s="25" t="s">
        <v>36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84"/>
      <c r="AC4" s="84"/>
    </row>
    <row r="5" spans="2:29" x14ac:dyDescent="0.2">
      <c r="B5" s="24" t="s">
        <v>12</v>
      </c>
      <c r="C5" s="37">
        <f>PL!D28</f>
        <v>-9099.1849012909952</v>
      </c>
      <c r="D5" s="37">
        <f>PL!E28</f>
        <v>-15142.328318458101</v>
      </c>
      <c r="E5" s="37">
        <f>PL!F28</f>
        <v>-14741.840393908489</v>
      </c>
      <c r="F5" s="37">
        <f>PL!G28</f>
        <v>-14742.96926181384</v>
      </c>
      <c r="G5" s="37">
        <f>PL!H28</f>
        <v>-14280.767242928656</v>
      </c>
      <c r="H5" s="37">
        <f>PL!I28</f>
        <v>-20576.60542593199</v>
      </c>
      <c r="I5" s="37">
        <f>PL!J28</f>
        <v>-13493.37079063499</v>
      </c>
      <c r="J5" s="37">
        <f>PL!K28</f>
        <v>-14234.69561886769</v>
      </c>
      <c r="K5" s="37">
        <f>PL!L28</f>
        <v>-13289.498964277122</v>
      </c>
      <c r="L5" s="37">
        <f>PL!M28</f>
        <v>-13279.079975145607</v>
      </c>
      <c r="M5" s="37">
        <f>PL!N28</f>
        <v>-13879.602884927248</v>
      </c>
      <c r="N5" s="37">
        <f>PL!O28</f>
        <v>-12989.973503730722</v>
      </c>
      <c r="O5" s="33">
        <f ca="1">PL!P28</f>
        <v>10575.450666666664</v>
      </c>
      <c r="P5" s="33">
        <f ca="1">PL!Q28</f>
        <v>10271.34953333333</v>
      </c>
      <c r="Q5" s="33">
        <f ca="1">PL!R28</f>
        <v>5835.2148000000016</v>
      </c>
      <c r="R5" s="33">
        <f ca="1">PL!S28</f>
        <v>10992.842466666665</v>
      </c>
      <c r="S5" s="33">
        <f ca="1">PL!T28</f>
        <v>11213.560733333332</v>
      </c>
      <c r="T5" s="33">
        <f ca="1">PL!U28</f>
        <v>5259.0613400000002</v>
      </c>
      <c r="U5" s="33">
        <f ca="1">PL!V28</f>
        <v>11530.863646666665</v>
      </c>
      <c r="V5" s="33">
        <f ca="1">PL!W28</f>
        <v>11550.347113333333</v>
      </c>
      <c r="W5" s="33">
        <f ca="1">PL!X28</f>
        <v>11798.735599999996</v>
      </c>
      <c r="X5" s="33">
        <f ca="1">PL!Y28</f>
        <v>11797.137786666666</v>
      </c>
      <c r="Y5" s="33">
        <f ca="1">PL!Z28</f>
        <v>12026.555533333332</v>
      </c>
      <c r="Z5" s="33">
        <f ca="1">PL!AA28</f>
        <v>12007.884059999997</v>
      </c>
      <c r="AA5" s="33"/>
      <c r="AB5" s="84">
        <f>SUM(C5:N5)</f>
        <v>-169749.91728191543</v>
      </c>
      <c r="AC5" s="84">
        <f ca="1">SUM(O5:Z5)</f>
        <v>124859.00327999999</v>
      </c>
    </row>
    <row r="6" spans="2:29" x14ac:dyDescent="0.2">
      <c r="B6" s="24" t="s">
        <v>5</v>
      </c>
      <c r="C6" s="37">
        <f>'Other Costs'!E8</f>
        <v>10</v>
      </c>
      <c r="D6" s="37">
        <f>'Other Costs'!F8</f>
        <v>20</v>
      </c>
      <c r="E6" s="37">
        <f>'Other Costs'!G8</f>
        <v>30</v>
      </c>
      <c r="F6" s="37">
        <f>'Other Costs'!H8</f>
        <v>40</v>
      </c>
      <c r="G6" s="37">
        <f>'Other Costs'!I8</f>
        <v>50</v>
      </c>
      <c r="H6" s="37">
        <f>'Other Costs'!J8</f>
        <v>60</v>
      </c>
      <c r="I6" s="37">
        <f>'Other Costs'!K8</f>
        <v>70</v>
      </c>
      <c r="J6" s="37">
        <f>'Other Costs'!L8</f>
        <v>80</v>
      </c>
      <c r="K6" s="37">
        <f>'Other Costs'!M8</f>
        <v>90</v>
      </c>
      <c r="L6" s="37">
        <f>'Other Costs'!N8</f>
        <v>100</v>
      </c>
      <c r="M6" s="37">
        <f>'Other Costs'!O8</f>
        <v>110</v>
      </c>
      <c r="N6" s="37">
        <f>'Other Costs'!P8</f>
        <v>120</v>
      </c>
      <c r="O6" s="33">
        <f>'Other Costs'!Q8</f>
        <v>131.45833333333334</v>
      </c>
      <c r="P6" s="33">
        <f>'Other Costs'!R8</f>
        <v>142.91666666666669</v>
      </c>
      <c r="Q6" s="33">
        <f>'Other Costs'!S8</f>
        <v>154.375</v>
      </c>
      <c r="R6" s="33">
        <f>'Other Costs'!T8</f>
        <v>165.83333333333331</v>
      </c>
      <c r="S6" s="33">
        <f>'Other Costs'!U8</f>
        <v>177.29166666666669</v>
      </c>
      <c r="T6" s="33">
        <f>'Other Costs'!V8</f>
        <v>188.75</v>
      </c>
      <c r="U6" s="33">
        <f>'Other Costs'!W8</f>
        <v>200.20833333333331</v>
      </c>
      <c r="V6" s="33">
        <f>'Other Costs'!X8</f>
        <v>211.66666666666669</v>
      </c>
      <c r="W6" s="33">
        <f>'Other Costs'!Y8</f>
        <v>223.125</v>
      </c>
      <c r="X6" s="33">
        <f>'Other Costs'!Z8</f>
        <v>234.58333333333331</v>
      </c>
      <c r="Y6" s="33">
        <f>'Other Costs'!AA8</f>
        <v>246.04166666666669</v>
      </c>
      <c r="Z6" s="33">
        <f>'Other Costs'!AB8</f>
        <v>257.5</v>
      </c>
      <c r="AA6" s="33"/>
      <c r="AB6" s="84">
        <f t="shared" ref="AB6:AB13" si="0">SUM(C6:N6)</f>
        <v>780</v>
      </c>
      <c r="AC6" s="84">
        <f t="shared" ref="AC6:AC13" si="1">SUM(O6:Z6)</f>
        <v>2333.75</v>
      </c>
    </row>
    <row r="7" spans="2:29" x14ac:dyDescent="0.2">
      <c r="B7" s="24" t="s">
        <v>6</v>
      </c>
      <c r="C7" s="37">
        <f>'Other Costs'!E9</f>
        <v>0</v>
      </c>
      <c r="D7" s="37">
        <f>'Other Costs'!F9</f>
        <v>0</v>
      </c>
      <c r="E7" s="37">
        <f>'Other Costs'!G9</f>
        <v>41.666666666666664</v>
      </c>
      <c r="F7" s="37">
        <f>'Other Costs'!H9</f>
        <v>41.666666666666664</v>
      </c>
      <c r="G7" s="37">
        <f>'Other Costs'!I9</f>
        <v>41.666666666666664</v>
      </c>
      <c r="H7" s="37">
        <f>'Other Costs'!J9</f>
        <v>41.666666666666664</v>
      </c>
      <c r="I7" s="37">
        <f>'Other Costs'!K9</f>
        <v>41.666666666666664</v>
      </c>
      <c r="J7" s="37">
        <f>'Other Costs'!L9</f>
        <v>41.666666666666664</v>
      </c>
      <c r="K7" s="37">
        <f>'Other Costs'!M9</f>
        <v>41.666666666666664</v>
      </c>
      <c r="L7" s="37">
        <f>'Other Costs'!N9</f>
        <v>41.666666666666664</v>
      </c>
      <c r="M7" s="37">
        <f>'Other Costs'!O9</f>
        <v>41.666666666666664</v>
      </c>
      <c r="N7" s="37">
        <f>'Other Costs'!P9</f>
        <v>41.666666666666664</v>
      </c>
      <c r="O7" s="33">
        <f>'Other Costs'!Q9</f>
        <v>41.666666666666664</v>
      </c>
      <c r="P7" s="33">
        <f>'Other Costs'!R9</f>
        <v>41.666666666666664</v>
      </c>
      <c r="Q7" s="33">
        <f>'Other Costs'!S9</f>
        <v>41.666666666666664</v>
      </c>
      <c r="R7" s="33">
        <f>'Other Costs'!T9</f>
        <v>41.666666666666664</v>
      </c>
      <c r="S7" s="33">
        <f>'Other Costs'!U9</f>
        <v>41.666666666666664</v>
      </c>
      <c r="T7" s="33">
        <f>'Other Costs'!V9</f>
        <v>41.666666666666664</v>
      </c>
      <c r="U7" s="33">
        <f>'Other Costs'!W9</f>
        <v>41.666666666666664</v>
      </c>
      <c r="V7" s="33">
        <f>'Other Costs'!X9</f>
        <v>41.666666666666664</v>
      </c>
      <c r="W7" s="33">
        <f>'Other Costs'!Y9</f>
        <v>41.666666666666664</v>
      </c>
      <c r="X7" s="33">
        <f>'Other Costs'!Z9</f>
        <v>41.666666666666664</v>
      </c>
      <c r="Y7" s="33">
        <f>'Other Costs'!AA9</f>
        <v>41.666666666666664</v>
      </c>
      <c r="Z7" s="33">
        <f>'Other Costs'!AB9</f>
        <v>41.666666666666664</v>
      </c>
      <c r="AA7" s="33"/>
      <c r="AB7" s="84">
        <f t="shared" si="0"/>
        <v>416.66666666666669</v>
      </c>
      <c r="AC7" s="84">
        <f t="shared" si="1"/>
        <v>500.00000000000006</v>
      </c>
    </row>
    <row r="8" spans="2:29" x14ac:dyDescent="0.2">
      <c r="B8" s="66" t="s">
        <v>71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84">
        <f t="shared" si="0"/>
        <v>0</v>
      </c>
      <c r="AC8" s="84">
        <f t="shared" si="1"/>
        <v>0</v>
      </c>
    </row>
    <row r="9" spans="2:29" x14ac:dyDescent="0.2">
      <c r="B9" s="24" t="s">
        <v>40</v>
      </c>
      <c r="C9" s="37">
        <f>-(BS!D8-BS!C8)</f>
        <v>313.99519999999984</v>
      </c>
      <c r="D9" s="37">
        <f>-(BS!E8-BS!D8)</f>
        <v>-698.71399999999994</v>
      </c>
      <c r="E9" s="37">
        <f>-(BS!F8-BS!E8)</f>
        <v>-50.813999999999851</v>
      </c>
      <c r="F9" s="37">
        <f>-(BS!G8-BS!F8)</f>
        <v>-21.732799999999997</v>
      </c>
      <c r="G9" s="37">
        <f>-(BS!H8-BS!G8)</f>
        <v>-24.893200000000206</v>
      </c>
      <c r="H9" s="37">
        <f>-(BS!I8-BS!H8)</f>
        <v>-44.270399999999654</v>
      </c>
      <c r="I9" s="37">
        <f>-(BS!J8-BS!I8)</f>
        <v>-21.176400000000285</v>
      </c>
      <c r="J9" s="37">
        <f>-(BS!K8-BS!J8)</f>
        <v>-19.59239999999977</v>
      </c>
      <c r="K9" s="37">
        <f>-(BS!L8-BS!K8)</f>
        <v>-18.166400000000294</v>
      </c>
      <c r="L9" s="37">
        <f>-(BS!M8-BS!L8)</f>
        <v>-16.883199999999988</v>
      </c>
      <c r="M9" s="37">
        <f>-(BS!N8-BS!M8)</f>
        <v>-15.728399999999965</v>
      </c>
      <c r="N9" s="37">
        <f>-(BS!O8-BS!N8)</f>
        <v>-14.688400000000001</v>
      </c>
      <c r="O9" s="33">
        <f ca="1">-(BS!P8-BS!O8)</f>
        <v>-431.68280000000004</v>
      </c>
      <c r="P9" s="33">
        <f ca="1">-(BS!Q8-BS!P8)</f>
        <v>-464.27439999999979</v>
      </c>
      <c r="Q9" s="33">
        <f ca="1">-(BS!R8-BS!Q8)</f>
        <v>-12.478399999999965</v>
      </c>
      <c r="R9" s="33">
        <f ca="1">-(BS!S8-BS!R8)</f>
        <v>9.4364000000000487</v>
      </c>
      <c r="S9" s="33">
        <f ca="1">-(BS!T8-BS!S8)</f>
        <v>-20.038800000000265</v>
      </c>
      <c r="T9" s="33">
        <f ca="1">-(BS!U8-BS!T8)</f>
        <v>-29.101599999999962</v>
      </c>
      <c r="U9" s="33">
        <f ca="1">-(BS!V8-BS!U8)</f>
        <v>-16.991199999999935</v>
      </c>
      <c r="V9" s="33">
        <f ca="1">-(BS!W8-BS!V8)</f>
        <v>0.30760000000009313</v>
      </c>
      <c r="W9" s="33">
        <f ca="1">-(BS!X8-BS!W8)</f>
        <v>-14.523200000000088</v>
      </c>
      <c r="X9" s="33">
        <f ca="1">-(BS!Y8-BS!X8)</f>
        <v>-13.470800000000509</v>
      </c>
      <c r="Y9" s="33">
        <f ca="1">-(BS!Z8-BS!Y8)</f>
        <v>-12.523999999999432</v>
      </c>
      <c r="Z9" s="33">
        <f ca="1">-(BS!AA8-BS!Z8)</f>
        <v>-11.671200000000681</v>
      </c>
      <c r="AA9" s="33"/>
      <c r="AB9" s="84">
        <f t="shared" si="0"/>
        <v>-632.66440000000011</v>
      </c>
      <c r="AC9" s="84">
        <f t="shared" ca="1" si="1"/>
        <v>-1017.0124000000005</v>
      </c>
    </row>
    <row r="10" spans="2:29" x14ac:dyDescent="0.2">
      <c r="B10" s="24" t="s">
        <v>41</v>
      </c>
      <c r="C10" s="37">
        <f>-(BS!D9-BS!C9)-(BS!D13-BS!C13)</f>
        <v>100.33333333333303</v>
      </c>
      <c r="D10" s="37">
        <f>-(BS!E9-BS!D9)-(BS!E13-BS!D13)</f>
        <v>100</v>
      </c>
      <c r="E10" s="37">
        <f>-(BS!F9-BS!E9)-(BS!F13-BS!E13)</f>
        <v>100.00000000000023</v>
      </c>
      <c r="F10" s="37">
        <f>-(BS!G9-BS!F9)-(BS!G13-BS!F13)</f>
        <v>-200.00000000000023</v>
      </c>
      <c r="G10" s="37">
        <f>-(BS!H9-BS!G9)-(BS!H13-BS!G13)</f>
        <v>100</v>
      </c>
      <c r="H10" s="37">
        <f>-(BS!I9-BS!H9)-(BS!I13-BS!H13)</f>
        <v>100.00000000000023</v>
      </c>
      <c r="I10" s="37">
        <f>-(BS!J9-BS!I9)-(BS!J13-BS!I13)</f>
        <v>633.33333333333326</v>
      </c>
      <c r="J10" s="37">
        <f>-(BS!K9-BS!J9)-(BS!K13-BS!J13)</f>
        <v>100</v>
      </c>
      <c r="K10" s="37">
        <f>-(BS!L9-BS!K9)-(BS!L13-BS!K13)</f>
        <v>100</v>
      </c>
      <c r="L10" s="37">
        <f>-(BS!M9-BS!L9)-(BS!M13-BS!L13)</f>
        <v>-200</v>
      </c>
      <c r="M10" s="37">
        <f>-(BS!N9-BS!M9)-(BS!N13-BS!M13)</f>
        <v>100</v>
      </c>
      <c r="N10" s="37">
        <f>-(BS!O9-BS!N9)-(BS!O13-BS!N13)</f>
        <v>100</v>
      </c>
      <c r="O10" s="33">
        <f ca="1">-(BS!P9-BS!O9)-(BS!P13-BS!O13)</f>
        <v>-225</v>
      </c>
      <c r="P10" s="33">
        <f ca="1">-(BS!Q9-BS!P9)-(BS!Q13-BS!P13)</f>
        <v>100</v>
      </c>
      <c r="Q10" s="33">
        <f ca="1">-(BS!R9-BS!Q9)-(BS!R13-BS!Q13)</f>
        <v>-4900</v>
      </c>
      <c r="R10" s="33">
        <f ca="1">-(BS!S9-BS!R9)-(BS!S13-BS!R13)</f>
        <v>4800</v>
      </c>
      <c r="S10" s="33">
        <f ca="1">-(BS!T9-BS!S9)-(BS!T13-BS!S13)</f>
        <v>100</v>
      </c>
      <c r="T10" s="33">
        <f ca="1">-(BS!U9-BS!T9)-(BS!U13-BS!T13)</f>
        <v>-5900</v>
      </c>
      <c r="U10" s="33">
        <f ca="1">-(BS!V9-BS!U9)-(BS!V13-BS!U13)</f>
        <v>5800</v>
      </c>
      <c r="V10" s="33">
        <f ca="1">-(BS!W9-BS!V9)-(BS!W13-BS!V13)</f>
        <v>100</v>
      </c>
      <c r="W10" s="33">
        <f ca="1">-(BS!X9-BS!W9)-(BS!X13-BS!W13)</f>
        <v>100</v>
      </c>
      <c r="X10" s="33">
        <f ca="1">-(BS!Y9-BS!X9)-(BS!Y13-BS!X13)</f>
        <v>-200</v>
      </c>
      <c r="Y10" s="33">
        <f ca="1">-(BS!Z9-BS!Y9)-(BS!Z13-BS!Y13)</f>
        <v>100</v>
      </c>
      <c r="Z10" s="33">
        <f ca="1">-(BS!AA9-BS!Z9)-(BS!AA13-BS!Z13)</f>
        <v>100</v>
      </c>
      <c r="AA10" s="33"/>
      <c r="AB10" s="84">
        <f t="shared" si="0"/>
        <v>1133.6666666666665</v>
      </c>
      <c r="AC10" s="84">
        <f t="shared" ca="1" si="1"/>
        <v>-25</v>
      </c>
    </row>
    <row r="11" spans="2:29" x14ac:dyDescent="0.2">
      <c r="B11" s="66" t="s">
        <v>72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84">
        <f t="shared" si="0"/>
        <v>0</v>
      </c>
      <c r="AC11" s="84">
        <f t="shared" si="1"/>
        <v>0</v>
      </c>
    </row>
    <row r="12" spans="2:29" x14ac:dyDescent="0.2">
      <c r="B12" s="24" t="s">
        <v>42</v>
      </c>
      <c r="C12" s="37">
        <f>BS!D23-BS!C23</f>
        <v>0</v>
      </c>
      <c r="D12" s="37">
        <f>BS!E23-BS!D23</f>
        <v>0</v>
      </c>
      <c r="E12" s="37">
        <f>BS!F23-BS!E23</f>
        <v>0</v>
      </c>
      <c r="F12" s="37">
        <f>BS!G23-BS!F23</f>
        <v>0</v>
      </c>
      <c r="G12" s="37">
        <f>BS!H23-BS!G23</f>
        <v>0</v>
      </c>
      <c r="H12" s="37">
        <f>BS!I23-BS!H23</f>
        <v>0</v>
      </c>
      <c r="I12" s="37">
        <f>BS!J23-BS!I23</f>
        <v>0</v>
      </c>
      <c r="J12" s="37">
        <f>BS!K23-BS!J23</f>
        <v>0</v>
      </c>
      <c r="K12" s="37">
        <f>BS!L23-BS!K23</f>
        <v>0</v>
      </c>
      <c r="L12" s="37">
        <f>BS!M23-BS!L23</f>
        <v>0</v>
      </c>
      <c r="M12" s="37">
        <f>BS!N23-BS!M23</f>
        <v>0</v>
      </c>
      <c r="N12" s="37">
        <f>BS!O23-BS!N23</f>
        <v>0</v>
      </c>
      <c r="O12" s="33">
        <f>BS!P23-BS!O23</f>
        <v>0</v>
      </c>
      <c r="P12" s="33">
        <f>BS!Q23-BS!P23</f>
        <v>0</v>
      </c>
      <c r="Q12" s="33">
        <f>BS!R23-BS!Q23</f>
        <v>0</v>
      </c>
      <c r="R12" s="33">
        <f>BS!S23-BS!R23</f>
        <v>0</v>
      </c>
      <c r="S12" s="33">
        <f>BS!T23-BS!S23</f>
        <v>0</v>
      </c>
      <c r="T12" s="33">
        <f>BS!U23-BS!T23</f>
        <v>0</v>
      </c>
      <c r="U12" s="33">
        <f>BS!V23-BS!U23</f>
        <v>0</v>
      </c>
      <c r="V12" s="33">
        <f>BS!W23-BS!V23</f>
        <v>0</v>
      </c>
      <c r="W12" s="33">
        <f>BS!X23-BS!W23</f>
        <v>0</v>
      </c>
      <c r="X12" s="33">
        <f>BS!Y23-BS!X23</f>
        <v>0</v>
      </c>
      <c r="Y12" s="33">
        <f>BS!Z23-BS!Y23</f>
        <v>0</v>
      </c>
      <c r="Z12" s="33">
        <f>BS!AA23-BS!Z23</f>
        <v>0</v>
      </c>
      <c r="AA12" s="33"/>
      <c r="AB12" s="84">
        <f t="shared" si="0"/>
        <v>0</v>
      </c>
      <c r="AC12" s="84">
        <f t="shared" si="1"/>
        <v>0</v>
      </c>
    </row>
    <row r="13" spans="2:29" x14ac:dyDescent="0.2">
      <c r="B13" s="24" t="s">
        <v>43</v>
      </c>
      <c r="C13" s="37">
        <f>SUM(BS!D24:D27)-SUM(BS!C24:C27)</f>
        <v>500</v>
      </c>
      <c r="D13" s="37">
        <f>SUM(BS!E24:E27)-SUM(BS!D24:D27)</f>
        <v>600</v>
      </c>
      <c r="E13" s="37">
        <f>SUM(BS!F24:F27)-SUM(BS!E24:E27)</f>
        <v>1100</v>
      </c>
      <c r="F13" s="37">
        <f>SUM(BS!G24:G27)-SUM(BS!F24:F27)</f>
        <v>100</v>
      </c>
      <c r="G13" s="37">
        <f>SUM(BS!H24:H27)-SUM(BS!G24:G27)</f>
        <v>1200</v>
      </c>
      <c r="H13" s="37">
        <f>SUM(BS!I24:I27)-SUM(BS!H24:H27)</f>
        <v>500</v>
      </c>
      <c r="I13" s="37">
        <f>SUM(BS!J24:J27)-SUM(BS!I24:I27)</f>
        <v>100</v>
      </c>
      <c r="J13" s="37">
        <f>SUM(BS!K24:K27)-SUM(BS!J24:J27)</f>
        <v>1200</v>
      </c>
      <c r="K13" s="37">
        <f>SUM(BS!L24:L27)-SUM(BS!K24:K27)</f>
        <v>0</v>
      </c>
      <c r="L13" s="37">
        <f>SUM(BS!M24:M27)-SUM(BS!L24:L27)</f>
        <v>600</v>
      </c>
      <c r="M13" s="37">
        <f>SUM(BS!N24:N27)-SUM(BS!M24:M27)</f>
        <v>1500</v>
      </c>
      <c r="N13" s="37">
        <f>SUM(BS!O24:O27)-SUM(BS!N24:N27)</f>
        <v>-300</v>
      </c>
      <c r="O13" s="33">
        <f ca="1">SUM(BS!P24:P27)-SUM(BS!O24:O27)</f>
        <v>-400</v>
      </c>
      <c r="P13" s="33">
        <f ca="1">SUM(BS!Q24:Q27)-SUM(BS!P24:P27)</f>
        <v>-700</v>
      </c>
      <c r="Q13" s="33">
        <f ca="1">SUM(BS!R24:R27)-SUM(BS!Q24:Q27)</f>
        <v>-1300</v>
      </c>
      <c r="R13" s="33">
        <f ca="1">SUM(BS!S24:S27)-SUM(BS!R24:R27)</f>
        <v>-400</v>
      </c>
      <c r="S13" s="33">
        <f ca="1">SUM(BS!T24:T27)-SUM(BS!S24:S27)</f>
        <v>-400</v>
      </c>
      <c r="T13" s="33">
        <f ca="1">SUM(BS!U24:U27)-SUM(BS!T24:T27)</f>
        <v>-100</v>
      </c>
      <c r="U13" s="33">
        <f ca="1">SUM(BS!V24:V27)-SUM(BS!U24:U27)</f>
        <v>-700</v>
      </c>
      <c r="V13" s="33">
        <f ca="1">SUM(BS!W24:W27)-SUM(BS!V24:V27)</f>
        <v>-400</v>
      </c>
      <c r="W13" s="33">
        <f ca="1">SUM(BS!X24:X27)-SUM(BS!W24:W27)</f>
        <v>-400</v>
      </c>
      <c r="X13" s="33">
        <f ca="1">SUM(BS!Y24:Y27)-SUM(BS!X24:X27)</f>
        <v>-400</v>
      </c>
      <c r="Y13" s="33">
        <f ca="1">SUM(BS!Z24:Z27)-SUM(BS!Y24:Y27)</f>
        <v>-400</v>
      </c>
      <c r="Z13" s="33">
        <f ca="1">SUM(BS!AA24:AA27)-SUM(BS!Z24:Z27)</f>
        <v>-400</v>
      </c>
      <c r="AA13" s="33"/>
      <c r="AB13" s="84">
        <f t="shared" si="0"/>
        <v>7100</v>
      </c>
      <c r="AC13" s="84">
        <f t="shared" ca="1" si="1"/>
        <v>-6000</v>
      </c>
    </row>
    <row r="14" spans="2:29" x14ac:dyDescent="0.2">
      <c r="B14" s="62" t="s">
        <v>37</v>
      </c>
      <c r="C14" s="90">
        <f t="shared" ref="C14:Z14" si="2">SUM(C5:C13)</f>
        <v>-8174.8563679576619</v>
      </c>
      <c r="D14" s="90">
        <f t="shared" si="2"/>
        <v>-15121.042318458101</v>
      </c>
      <c r="E14" s="90">
        <f t="shared" si="2"/>
        <v>-13520.987727241823</v>
      </c>
      <c r="F14" s="90">
        <f t="shared" si="2"/>
        <v>-14783.035395147173</v>
      </c>
      <c r="G14" s="90">
        <f t="shared" si="2"/>
        <v>-12913.99377626199</v>
      </c>
      <c r="H14" s="90">
        <f t="shared" si="2"/>
        <v>-19919.209159265323</v>
      </c>
      <c r="I14" s="90">
        <f t="shared" si="2"/>
        <v>-12669.54719063499</v>
      </c>
      <c r="J14" s="90">
        <f t="shared" si="2"/>
        <v>-12832.621352201024</v>
      </c>
      <c r="K14" s="90">
        <f t="shared" si="2"/>
        <v>-13075.998697610456</v>
      </c>
      <c r="L14" s="90">
        <f t="shared" si="2"/>
        <v>-12754.296508478941</v>
      </c>
      <c r="M14" s="90">
        <f t="shared" si="2"/>
        <v>-12143.664618260582</v>
      </c>
      <c r="N14" s="90">
        <f t="shared" si="2"/>
        <v>-13042.995237064057</v>
      </c>
      <c r="O14" s="63">
        <f t="shared" ca="1" si="2"/>
        <v>9691.8928666666634</v>
      </c>
      <c r="P14" s="63">
        <f t="shared" ca="1" si="2"/>
        <v>9391.6584666666622</v>
      </c>
      <c r="Q14" s="63">
        <f t="shared" ca="1" si="2"/>
        <v>-181.22193333333144</v>
      </c>
      <c r="R14" s="63">
        <f t="shared" ca="1" si="2"/>
        <v>15609.778866666666</v>
      </c>
      <c r="S14" s="63">
        <f t="shared" ca="1" si="2"/>
        <v>11112.480266666664</v>
      </c>
      <c r="T14" s="63">
        <f t="shared" ca="1" si="2"/>
        <v>-539.62359333333279</v>
      </c>
      <c r="U14" s="63">
        <f t="shared" ca="1" si="2"/>
        <v>16855.747446666664</v>
      </c>
      <c r="V14" s="63">
        <f t="shared" ca="1" si="2"/>
        <v>11503.988046666665</v>
      </c>
      <c r="W14" s="63">
        <f t="shared" ca="1" si="2"/>
        <v>11749.004066666663</v>
      </c>
      <c r="X14" s="63">
        <f t="shared" ca="1" si="2"/>
        <v>11459.916986666665</v>
      </c>
      <c r="Y14" s="63">
        <f t="shared" ca="1" si="2"/>
        <v>12001.739866666665</v>
      </c>
      <c r="Z14" s="63">
        <f t="shared" ca="1" si="2"/>
        <v>11995.379526666662</v>
      </c>
      <c r="AA14" s="39"/>
      <c r="AB14" s="92">
        <f t="shared" ref="AB14:AC14" si="3">SUM(AB5:AB13)</f>
        <v>-160952.24834858213</v>
      </c>
      <c r="AC14" s="92">
        <f t="shared" ca="1" si="3"/>
        <v>120650.74087999998</v>
      </c>
    </row>
    <row r="15" spans="2:29" x14ac:dyDescent="0.2">
      <c r="B15" s="24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84"/>
      <c r="AC15" s="84"/>
    </row>
    <row r="16" spans="2:29" x14ac:dyDescent="0.2">
      <c r="B16" s="25" t="s">
        <v>38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83"/>
      <c r="AC16" s="83"/>
    </row>
    <row r="17" spans="2:31" x14ac:dyDescent="0.2">
      <c r="B17" s="24" t="s">
        <v>8</v>
      </c>
      <c r="C17" s="37">
        <f>-'Fixed Assets'!E13</f>
        <v>-400</v>
      </c>
      <c r="D17" s="37">
        <f>-'Fixed Assets'!F13</f>
        <v>-400</v>
      </c>
      <c r="E17" s="37">
        <f>-'Fixed Assets'!G13</f>
        <v>-400</v>
      </c>
      <c r="F17" s="37">
        <f>-'Fixed Assets'!H13</f>
        <v>-400</v>
      </c>
      <c r="G17" s="37">
        <f>-'Fixed Assets'!I13</f>
        <v>-400</v>
      </c>
      <c r="H17" s="37">
        <f>-'Fixed Assets'!J13</f>
        <v>-400</v>
      </c>
      <c r="I17" s="37">
        <f>-'Fixed Assets'!K13</f>
        <v>-400</v>
      </c>
      <c r="J17" s="37">
        <f>-'Fixed Assets'!L13</f>
        <v>-400</v>
      </c>
      <c r="K17" s="37">
        <f>-'Fixed Assets'!M13</f>
        <v>-400</v>
      </c>
      <c r="L17" s="37">
        <f>-'Fixed Assets'!N13</f>
        <v>-400</v>
      </c>
      <c r="M17" s="37">
        <f>-'Fixed Assets'!O13</f>
        <v>-400</v>
      </c>
      <c r="N17" s="37">
        <f>-'Fixed Assets'!P13</f>
        <v>-400</v>
      </c>
      <c r="O17" s="33">
        <f>-'Fixed Assets'!Q13</f>
        <v>-412.5</v>
      </c>
      <c r="P17" s="33">
        <f>-'Fixed Assets'!R13</f>
        <v>-412.5</v>
      </c>
      <c r="Q17" s="33">
        <f>-'Fixed Assets'!S13</f>
        <v>-412.5</v>
      </c>
      <c r="R17" s="33">
        <f>-'Fixed Assets'!T13</f>
        <v>-412.5</v>
      </c>
      <c r="S17" s="33">
        <f>-'Fixed Assets'!U13</f>
        <v>-412.5</v>
      </c>
      <c r="T17" s="33">
        <f>-'Fixed Assets'!V13</f>
        <v>-412.5</v>
      </c>
      <c r="U17" s="33">
        <f>-'Fixed Assets'!W13</f>
        <v>-412.5</v>
      </c>
      <c r="V17" s="33">
        <f>-'Fixed Assets'!X13</f>
        <v>-412.5</v>
      </c>
      <c r="W17" s="33">
        <f>-'Fixed Assets'!Y13</f>
        <v>-412.5</v>
      </c>
      <c r="X17" s="33">
        <f>-'Fixed Assets'!Z13</f>
        <v>-412.5</v>
      </c>
      <c r="Y17" s="33">
        <f>-'Fixed Assets'!AA13</f>
        <v>-412.5</v>
      </c>
      <c r="Z17" s="33">
        <f>-'Fixed Assets'!AB13</f>
        <v>-412.5</v>
      </c>
      <c r="AA17" s="33"/>
      <c r="AB17" s="84">
        <f t="shared" ref="AB17:AB18" si="4">SUM(C17:N17)</f>
        <v>-4800</v>
      </c>
      <c r="AC17" s="84">
        <f t="shared" ref="AC17:AC18" si="5">SUM(O17:Z17)</f>
        <v>-4950</v>
      </c>
    </row>
    <row r="18" spans="2:31" x14ac:dyDescent="0.2">
      <c r="B18" s="24" t="s">
        <v>39</v>
      </c>
      <c r="C18" s="37">
        <f>-'Fixed Assets'!E17</f>
        <v>0</v>
      </c>
      <c r="D18" s="37">
        <f>-'Fixed Assets'!F17</f>
        <v>0</v>
      </c>
      <c r="E18" s="37">
        <f>-'Fixed Assets'!G17</f>
        <v>-1000</v>
      </c>
      <c r="F18" s="37">
        <f>-'Fixed Assets'!H17</f>
        <v>0</v>
      </c>
      <c r="G18" s="37">
        <f>-'Fixed Assets'!I17</f>
        <v>0</v>
      </c>
      <c r="H18" s="37">
        <f>-'Fixed Assets'!J17</f>
        <v>0</v>
      </c>
      <c r="I18" s="37">
        <f>-'Fixed Assets'!K17</f>
        <v>0</v>
      </c>
      <c r="J18" s="37">
        <f>-'Fixed Assets'!L17</f>
        <v>0</v>
      </c>
      <c r="K18" s="37">
        <f>-'Fixed Assets'!M17</f>
        <v>0</v>
      </c>
      <c r="L18" s="37">
        <f>-'Fixed Assets'!N17</f>
        <v>0</v>
      </c>
      <c r="M18" s="37">
        <f>-'Fixed Assets'!O17</f>
        <v>0</v>
      </c>
      <c r="N18" s="37">
        <f>-'Fixed Assets'!P17</f>
        <v>0</v>
      </c>
      <c r="O18" s="33">
        <f>-'Fixed Assets'!Q17</f>
        <v>0</v>
      </c>
      <c r="P18" s="33">
        <f>-'Fixed Assets'!R17</f>
        <v>0</v>
      </c>
      <c r="Q18" s="33">
        <f>-'Fixed Assets'!S17</f>
        <v>0</v>
      </c>
      <c r="R18" s="33">
        <f>-'Fixed Assets'!T17</f>
        <v>0</v>
      </c>
      <c r="S18" s="33">
        <f>-'Fixed Assets'!U17</f>
        <v>0</v>
      </c>
      <c r="T18" s="33">
        <f>-'Fixed Assets'!V17</f>
        <v>0</v>
      </c>
      <c r="U18" s="33">
        <f>-'Fixed Assets'!W17</f>
        <v>0</v>
      </c>
      <c r="V18" s="33">
        <f>-'Fixed Assets'!X17</f>
        <v>0</v>
      </c>
      <c r="W18" s="33">
        <f>-'Fixed Assets'!Y17</f>
        <v>0</v>
      </c>
      <c r="X18" s="33">
        <f>-'Fixed Assets'!Z17</f>
        <v>0</v>
      </c>
      <c r="Y18" s="33">
        <f>-'Fixed Assets'!AA17</f>
        <v>0</v>
      </c>
      <c r="Z18" s="33">
        <f>-'Fixed Assets'!AB17</f>
        <v>0</v>
      </c>
      <c r="AA18" s="33"/>
      <c r="AB18" s="84">
        <f t="shared" si="4"/>
        <v>-1000</v>
      </c>
      <c r="AC18" s="84">
        <f t="shared" si="5"/>
        <v>0</v>
      </c>
    </row>
    <row r="19" spans="2:31" x14ac:dyDescent="0.2">
      <c r="B19" s="62" t="s">
        <v>44</v>
      </c>
      <c r="C19" s="90">
        <f t="shared" ref="C19:AC19" si="6">SUM(C17:C18)</f>
        <v>-400</v>
      </c>
      <c r="D19" s="90">
        <f t="shared" si="6"/>
        <v>-400</v>
      </c>
      <c r="E19" s="90">
        <f t="shared" si="6"/>
        <v>-1400</v>
      </c>
      <c r="F19" s="90">
        <f t="shared" si="6"/>
        <v>-400</v>
      </c>
      <c r="G19" s="90">
        <f t="shared" si="6"/>
        <v>-400</v>
      </c>
      <c r="H19" s="90">
        <f t="shared" si="6"/>
        <v>-400</v>
      </c>
      <c r="I19" s="90">
        <f t="shared" si="6"/>
        <v>-400</v>
      </c>
      <c r="J19" s="90">
        <f t="shared" si="6"/>
        <v>-400</v>
      </c>
      <c r="K19" s="90">
        <f t="shared" si="6"/>
        <v>-400</v>
      </c>
      <c r="L19" s="90">
        <f t="shared" si="6"/>
        <v>-400</v>
      </c>
      <c r="M19" s="90">
        <f t="shared" si="6"/>
        <v>-400</v>
      </c>
      <c r="N19" s="90">
        <f t="shared" si="6"/>
        <v>-400</v>
      </c>
      <c r="O19" s="63">
        <f t="shared" si="6"/>
        <v>-412.5</v>
      </c>
      <c r="P19" s="63">
        <f t="shared" si="6"/>
        <v>-412.5</v>
      </c>
      <c r="Q19" s="63">
        <f t="shared" si="6"/>
        <v>-412.5</v>
      </c>
      <c r="R19" s="63">
        <f t="shared" si="6"/>
        <v>-412.5</v>
      </c>
      <c r="S19" s="63">
        <f t="shared" si="6"/>
        <v>-412.5</v>
      </c>
      <c r="T19" s="63">
        <f t="shared" si="6"/>
        <v>-412.5</v>
      </c>
      <c r="U19" s="63">
        <f t="shared" si="6"/>
        <v>-412.5</v>
      </c>
      <c r="V19" s="63">
        <f t="shared" si="6"/>
        <v>-412.5</v>
      </c>
      <c r="W19" s="63">
        <f t="shared" si="6"/>
        <v>-412.5</v>
      </c>
      <c r="X19" s="63">
        <f t="shared" si="6"/>
        <v>-412.5</v>
      </c>
      <c r="Y19" s="63">
        <f t="shared" si="6"/>
        <v>-412.5</v>
      </c>
      <c r="Z19" s="63">
        <f t="shared" si="6"/>
        <v>-412.5</v>
      </c>
      <c r="AA19" s="33"/>
      <c r="AB19" s="92">
        <f t="shared" si="6"/>
        <v>-5800</v>
      </c>
      <c r="AC19" s="92">
        <f t="shared" si="6"/>
        <v>-4950</v>
      </c>
    </row>
    <row r="20" spans="2:31" x14ac:dyDescent="0.2">
      <c r="B20" s="24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24"/>
      <c r="AB20" s="84"/>
      <c r="AC20" s="84"/>
    </row>
    <row r="21" spans="2:31" x14ac:dyDescent="0.2">
      <c r="B21" s="25" t="s">
        <v>45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24"/>
      <c r="AB21" s="84"/>
      <c r="AC21" s="84"/>
    </row>
    <row r="22" spans="2:31" x14ac:dyDescent="0.2">
      <c r="B22" s="24" t="s">
        <v>86</v>
      </c>
      <c r="C22" s="37">
        <f>BS!D38</f>
        <v>0</v>
      </c>
      <c r="D22" s="37">
        <f>BS!E38</f>
        <v>0</v>
      </c>
      <c r="E22" s="37">
        <f>BS!F38</f>
        <v>0</v>
      </c>
      <c r="F22" s="37">
        <f>BS!G38</f>
        <v>0</v>
      </c>
      <c r="G22" s="37">
        <f>BS!H38</f>
        <v>0</v>
      </c>
      <c r="H22" s="37">
        <f>BS!I38</f>
        <v>0</v>
      </c>
      <c r="I22" s="37">
        <f>BS!J38</f>
        <v>0</v>
      </c>
      <c r="J22" s="37">
        <f>BS!K38</f>
        <v>0</v>
      </c>
      <c r="K22" s="37">
        <f>BS!L38</f>
        <v>0</v>
      </c>
      <c r="L22" s="37">
        <f>BS!M38</f>
        <v>0</v>
      </c>
      <c r="M22" s="37">
        <f>BS!N38</f>
        <v>0</v>
      </c>
      <c r="N22" s="37">
        <f>BS!O38</f>
        <v>0</v>
      </c>
      <c r="O22" s="33">
        <f>BS!P38</f>
        <v>0</v>
      </c>
      <c r="P22" s="33">
        <f>BS!Q38</f>
        <v>0</v>
      </c>
      <c r="Q22" s="33">
        <f>BS!R38</f>
        <v>0</v>
      </c>
      <c r="R22" s="33">
        <f>BS!S38</f>
        <v>0</v>
      </c>
      <c r="S22" s="33">
        <f>BS!T38</f>
        <v>0</v>
      </c>
      <c r="T22" s="33">
        <f>BS!U38</f>
        <v>250000</v>
      </c>
      <c r="U22" s="33">
        <f>BS!V38</f>
        <v>0</v>
      </c>
      <c r="V22" s="33">
        <f>BS!W38</f>
        <v>0</v>
      </c>
      <c r="W22" s="33">
        <f>BS!X38</f>
        <v>0</v>
      </c>
      <c r="X22" s="33">
        <f>BS!Y38</f>
        <v>0</v>
      </c>
      <c r="Y22" s="33">
        <f>BS!Z38</f>
        <v>0</v>
      </c>
      <c r="Z22" s="33">
        <f>BS!AA38</f>
        <v>0</v>
      </c>
      <c r="AA22" s="33"/>
      <c r="AB22" s="84">
        <f t="shared" ref="AB22:AB23" si="7">SUM(C22:N22)</f>
        <v>0</v>
      </c>
      <c r="AC22" s="84">
        <f t="shared" ref="AC22:AC23" si="8">SUM(O22:Z22)</f>
        <v>250000</v>
      </c>
    </row>
    <row r="23" spans="2:31" x14ac:dyDescent="0.2">
      <c r="B23" s="24" t="s">
        <v>91</v>
      </c>
      <c r="C23" s="37">
        <f>BS!D31-BS!C31</f>
        <v>-37.049999999999955</v>
      </c>
      <c r="D23" s="37">
        <f>BS!E31-BS!D31</f>
        <v>-37.529999999999973</v>
      </c>
      <c r="E23" s="37">
        <f>BS!F31-BS!E31</f>
        <v>-38.019999999999982</v>
      </c>
      <c r="F23" s="37">
        <f>BS!G31-BS!F31</f>
        <v>-38.509999999999991</v>
      </c>
      <c r="G23" s="37">
        <f>BS!H31-BS!G31</f>
        <v>-39.009999999999991</v>
      </c>
      <c r="H23" s="37">
        <f>BS!I31-BS!H31</f>
        <v>-39.509999999999991</v>
      </c>
      <c r="I23" s="37">
        <f>BS!J31-BS!I31</f>
        <v>-40.019999999999982</v>
      </c>
      <c r="J23" s="37">
        <f>BS!K31-BS!J31</f>
        <v>-40.539999999999964</v>
      </c>
      <c r="K23" s="37">
        <f>BS!L31-BS!K31</f>
        <v>-41.07000000000005</v>
      </c>
      <c r="L23" s="37">
        <f>BS!M31-BS!L31</f>
        <v>-41.600000000000023</v>
      </c>
      <c r="M23" s="37">
        <f>BS!N31-BS!M31</f>
        <v>-42.139999999999986</v>
      </c>
      <c r="N23" s="37">
        <f>BS!O31-BS!N31</f>
        <v>-42.67999999999995</v>
      </c>
      <c r="O23" s="41">
        <f>BS!P31-BS!O31</f>
        <v>-43.240000000000009</v>
      </c>
      <c r="P23" s="41">
        <f>BS!Q31-BS!P31</f>
        <v>-43.800000000000011</v>
      </c>
      <c r="Q23" s="41">
        <f>BS!R31-BS!Q31</f>
        <v>-44.360000000000014</v>
      </c>
      <c r="R23" s="41">
        <f>BS!S31-BS!R31</f>
        <v>-44.94</v>
      </c>
      <c r="S23" s="41">
        <f>BS!T31-BS!S31</f>
        <v>-45.519999999999982</v>
      </c>
      <c r="T23" s="41">
        <f>BS!U31-BS!T31</f>
        <v>-46.110000000000014</v>
      </c>
      <c r="U23" s="41">
        <f>BS!V31-BS!U31</f>
        <v>-46.710000000000008</v>
      </c>
      <c r="V23" s="41">
        <f>BS!W31-BS!V31</f>
        <v>-47.31</v>
      </c>
      <c r="W23" s="41">
        <f>BS!X31-BS!W31</f>
        <v>-47.92</v>
      </c>
      <c r="X23" s="41">
        <f>BS!Y31-BS!X31</f>
        <v>-48.54</v>
      </c>
      <c r="Y23" s="41">
        <f>BS!Z31-BS!Y31</f>
        <v>-49.17</v>
      </c>
      <c r="Z23" s="41">
        <f>BS!AA31-BS!Z31</f>
        <v>-14.700000000000001</v>
      </c>
      <c r="AA23" s="41"/>
      <c r="AB23" s="167">
        <f t="shared" si="7"/>
        <v>-477.67999999999984</v>
      </c>
      <c r="AC23" s="167">
        <f t="shared" si="8"/>
        <v>-522.32000000000016</v>
      </c>
      <c r="AD23" s="8"/>
      <c r="AE23" s="8"/>
    </row>
    <row r="24" spans="2:31" x14ac:dyDescent="0.2">
      <c r="B24" s="24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84"/>
      <c r="AC24" s="84"/>
    </row>
    <row r="25" spans="2:31" x14ac:dyDescent="0.2">
      <c r="B25" s="62" t="s">
        <v>46</v>
      </c>
      <c r="C25" s="90">
        <f t="shared" ref="C25:Z25" si="9">SUM(C22:C23)</f>
        <v>-37.049999999999955</v>
      </c>
      <c r="D25" s="90">
        <f t="shared" si="9"/>
        <v>-37.529999999999973</v>
      </c>
      <c r="E25" s="90">
        <f t="shared" si="9"/>
        <v>-38.019999999999982</v>
      </c>
      <c r="F25" s="90">
        <f t="shared" si="9"/>
        <v>-38.509999999999991</v>
      </c>
      <c r="G25" s="90">
        <f t="shared" si="9"/>
        <v>-39.009999999999991</v>
      </c>
      <c r="H25" s="90">
        <f t="shared" si="9"/>
        <v>-39.509999999999991</v>
      </c>
      <c r="I25" s="90">
        <f t="shared" si="9"/>
        <v>-40.019999999999982</v>
      </c>
      <c r="J25" s="90">
        <f t="shared" si="9"/>
        <v>-40.539999999999964</v>
      </c>
      <c r="K25" s="90">
        <f t="shared" si="9"/>
        <v>-41.07000000000005</v>
      </c>
      <c r="L25" s="90">
        <f t="shared" si="9"/>
        <v>-41.600000000000023</v>
      </c>
      <c r="M25" s="90">
        <f t="shared" si="9"/>
        <v>-42.139999999999986</v>
      </c>
      <c r="N25" s="90">
        <f t="shared" si="9"/>
        <v>-42.67999999999995</v>
      </c>
      <c r="O25" s="63">
        <f t="shared" si="9"/>
        <v>-43.240000000000009</v>
      </c>
      <c r="P25" s="63">
        <f t="shared" si="9"/>
        <v>-43.800000000000011</v>
      </c>
      <c r="Q25" s="63">
        <f t="shared" si="9"/>
        <v>-44.360000000000014</v>
      </c>
      <c r="R25" s="63">
        <f t="shared" si="9"/>
        <v>-44.94</v>
      </c>
      <c r="S25" s="63">
        <f t="shared" si="9"/>
        <v>-45.519999999999982</v>
      </c>
      <c r="T25" s="63">
        <f t="shared" si="9"/>
        <v>249953.89</v>
      </c>
      <c r="U25" s="63">
        <f t="shared" si="9"/>
        <v>-46.710000000000008</v>
      </c>
      <c r="V25" s="63">
        <f t="shared" si="9"/>
        <v>-47.31</v>
      </c>
      <c r="W25" s="63">
        <f t="shared" si="9"/>
        <v>-47.92</v>
      </c>
      <c r="X25" s="63">
        <f t="shared" si="9"/>
        <v>-48.54</v>
      </c>
      <c r="Y25" s="63">
        <f t="shared" si="9"/>
        <v>-49.17</v>
      </c>
      <c r="Z25" s="63">
        <f t="shared" si="9"/>
        <v>-14.700000000000001</v>
      </c>
      <c r="AA25" s="33"/>
      <c r="AB25" s="92">
        <f>SUM(AB22:AB23)</f>
        <v>-477.67999999999984</v>
      </c>
      <c r="AC25" s="92">
        <f>SUM(AC22:AC23)</f>
        <v>249477.68</v>
      </c>
    </row>
    <row r="26" spans="2:31" x14ac:dyDescent="0.2">
      <c r="B26" s="24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24"/>
      <c r="AB26" s="84"/>
      <c r="AC26" s="84"/>
    </row>
    <row r="27" spans="2:31" ht="16" thickBot="1" x14ac:dyDescent="0.25">
      <c r="B27" s="77" t="s">
        <v>47</v>
      </c>
      <c r="C27" s="172">
        <f t="shared" ref="C27:Z27" si="10">C25+C19+C14</f>
        <v>-8611.9063679576611</v>
      </c>
      <c r="D27" s="172">
        <f t="shared" si="10"/>
        <v>-15558.572318458102</v>
      </c>
      <c r="E27" s="172">
        <f t="shared" si="10"/>
        <v>-14959.007727241824</v>
      </c>
      <c r="F27" s="172">
        <f t="shared" si="10"/>
        <v>-15221.545395147174</v>
      </c>
      <c r="G27" s="172">
        <f t="shared" si="10"/>
        <v>-13353.00377626199</v>
      </c>
      <c r="H27" s="172">
        <f t="shared" si="10"/>
        <v>-20358.719159265322</v>
      </c>
      <c r="I27" s="172">
        <f t="shared" si="10"/>
        <v>-13109.567190634991</v>
      </c>
      <c r="J27" s="172">
        <f t="shared" si="10"/>
        <v>-13273.161352201023</v>
      </c>
      <c r="K27" s="172">
        <f t="shared" si="10"/>
        <v>-13517.068697610455</v>
      </c>
      <c r="L27" s="172">
        <f t="shared" si="10"/>
        <v>-13195.896508478942</v>
      </c>
      <c r="M27" s="172">
        <f t="shared" si="10"/>
        <v>-12585.804618260581</v>
      </c>
      <c r="N27" s="172">
        <f t="shared" si="10"/>
        <v>-13485.675237064057</v>
      </c>
      <c r="O27" s="91">
        <f t="shared" ca="1" si="10"/>
        <v>9236.1528666666636</v>
      </c>
      <c r="P27" s="91">
        <f t="shared" ca="1" si="10"/>
        <v>8935.3584666666629</v>
      </c>
      <c r="Q27" s="91">
        <f t="shared" ca="1" si="10"/>
        <v>-638.08193333333145</v>
      </c>
      <c r="R27" s="91">
        <f t="shared" ca="1" si="10"/>
        <v>15152.338866666665</v>
      </c>
      <c r="S27" s="91">
        <f t="shared" ca="1" si="10"/>
        <v>10654.460266666663</v>
      </c>
      <c r="T27" s="91">
        <f t="shared" ca="1" si="10"/>
        <v>249001.76640666669</v>
      </c>
      <c r="U27" s="91">
        <f t="shared" ca="1" si="10"/>
        <v>16396.537446666665</v>
      </c>
      <c r="V27" s="91">
        <f t="shared" ca="1" si="10"/>
        <v>11044.178046666666</v>
      </c>
      <c r="W27" s="91">
        <f t="shared" ca="1" si="10"/>
        <v>11288.584066666663</v>
      </c>
      <c r="X27" s="91">
        <f t="shared" ca="1" si="10"/>
        <v>10998.876986666664</v>
      </c>
      <c r="Y27" s="91">
        <f t="shared" ca="1" si="10"/>
        <v>11540.069866666665</v>
      </c>
      <c r="Z27" s="91">
        <f t="shared" ca="1" si="10"/>
        <v>11568.179526666661</v>
      </c>
      <c r="AA27" s="33"/>
      <c r="AB27" s="97">
        <f>AB25+AB19+AB14</f>
        <v>-167229.92834858212</v>
      </c>
      <c r="AC27" s="97">
        <f ca="1">AC25+AC19+AC14</f>
        <v>365178.42087999999</v>
      </c>
    </row>
    <row r="28" spans="2:31" x14ac:dyDescent="0.2">
      <c r="B28" s="24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24"/>
      <c r="AB28" s="24"/>
      <c r="AC28" s="24"/>
      <c r="AD28" s="24"/>
    </row>
    <row r="29" spans="2:31" x14ac:dyDescent="0.2">
      <c r="B29" s="25" t="s">
        <v>48</v>
      </c>
      <c r="C29" s="37">
        <f>BS!C7</f>
        <v>300000</v>
      </c>
      <c r="D29" s="37">
        <f t="shared" ref="D29:Z29" si="11">C30</f>
        <v>291388.09363204235</v>
      </c>
      <c r="E29" s="37">
        <f t="shared" si="11"/>
        <v>275829.52131358424</v>
      </c>
      <c r="F29" s="37">
        <f t="shared" si="11"/>
        <v>260870.51358634242</v>
      </c>
      <c r="G29" s="37">
        <f t="shared" si="11"/>
        <v>245648.96819119525</v>
      </c>
      <c r="H29" s="37">
        <f t="shared" si="11"/>
        <v>232295.96441493326</v>
      </c>
      <c r="I29" s="37">
        <f t="shared" si="11"/>
        <v>211937.24525566795</v>
      </c>
      <c r="J29" s="37">
        <f t="shared" si="11"/>
        <v>198827.67806503296</v>
      </c>
      <c r="K29" s="37">
        <f t="shared" si="11"/>
        <v>185554.51671283194</v>
      </c>
      <c r="L29" s="37">
        <f t="shared" si="11"/>
        <v>172037.44801522148</v>
      </c>
      <c r="M29" s="37">
        <f t="shared" si="11"/>
        <v>158841.55150674254</v>
      </c>
      <c r="N29" s="37">
        <f t="shared" si="11"/>
        <v>146255.74688848195</v>
      </c>
      <c r="O29" s="33">
        <f t="shared" si="11"/>
        <v>132770.07165141791</v>
      </c>
      <c r="P29" s="33">
        <f t="shared" ca="1" si="11"/>
        <v>142006.22451808458</v>
      </c>
      <c r="Q29" s="33">
        <f t="shared" ca="1" si="11"/>
        <v>150941.58298475124</v>
      </c>
      <c r="R29" s="33">
        <f t="shared" ca="1" si="11"/>
        <v>150303.5010514179</v>
      </c>
      <c r="S29" s="33">
        <f t="shared" ca="1" si="11"/>
        <v>165455.83991808456</v>
      </c>
      <c r="T29" s="33">
        <f t="shared" ca="1" si="11"/>
        <v>176110.30018475122</v>
      </c>
      <c r="U29" s="33">
        <f t="shared" ca="1" si="11"/>
        <v>425112.06659141788</v>
      </c>
      <c r="V29" s="33">
        <f t="shared" ca="1" si="11"/>
        <v>441508.60403808457</v>
      </c>
      <c r="W29" s="33">
        <f t="shared" ca="1" si="11"/>
        <v>452552.78208475123</v>
      </c>
      <c r="X29" s="33">
        <f t="shared" ca="1" si="11"/>
        <v>463841.3661514179</v>
      </c>
      <c r="Y29" s="33">
        <f t="shared" ca="1" si="11"/>
        <v>474840.24313808454</v>
      </c>
      <c r="Z29" s="33">
        <f t="shared" ca="1" si="11"/>
        <v>486380.31300475122</v>
      </c>
      <c r="AA29" s="24"/>
      <c r="AB29" s="24"/>
      <c r="AC29" s="24"/>
      <c r="AD29" s="24"/>
    </row>
    <row r="30" spans="2:31" x14ac:dyDescent="0.2">
      <c r="B30" s="25" t="s">
        <v>49</v>
      </c>
      <c r="C30" s="37">
        <f>C29+C27</f>
        <v>291388.09363204235</v>
      </c>
      <c r="D30" s="37">
        <f t="shared" ref="D30:Z30" si="12">D29+D27</f>
        <v>275829.52131358424</v>
      </c>
      <c r="E30" s="37">
        <f t="shared" si="12"/>
        <v>260870.51358634242</v>
      </c>
      <c r="F30" s="37">
        <f t="shared" si="12"/>
        <v>245648.96819119525</v>
      </c>
      <c r="G30" s="37">
        <f t="shared" si="12"/>
        <v>232295.96441493326</v>
      </c>
      <c r="H30" s="37">
        <f t="shared" si="12"/>
        <v>211937.24525566795</v>
      </c>
      <c r="I30" s="37">
        <f t="shared" si="12"/>
        <v>198827.67806503296</v>
      </c>
      <c r="J30" s="37">
        <f t="shared" si="12"/>
        <v>185554.51671283194</v>
      </c>
      <c r="K30" s="37">
        <f t="shared" si="12"/>
        <v>172037.44801522148</v>
      </c>
      <c r="L30" s="37">
        <f t="shared" si="12"/>
        <v>158841.55150674254</v>
      </c>
      <c r="M30" s="37">
        <f t="shared" si="12"/>
        <v>146255.74688848195</v>
      </c>
      <c r="N30" s="37">
        <f t="shared" si="12"/>
        <v>132770.07165141791</v>
      </c>
      <c r="O30" s="33">
        <f t="shared" ca="1" si="12"/>
        <v>142006.22451808458</v>
      </c>
      <c r="P30" s="33">
        <f t="shared" ca="1" si="12"/>
        <v>150941.58298475124</v>
      </c>
      <c r="Q30" s="33">
        <f t="shared" ca="1" si="12"/>
        <v>150303.5010514179</v>
      </c>
      <c r="R30" s="33">
        <f t="shared" ca="1" si="12"/>
        <v>165455.83991808456</v>
      </c>
      <c r="S30" s="33">
        <f t="shared" ca="1" si="12"/>
        <v>176110.30018475122</v>
      </c>
      <c r="T30" s="33">
        <f t="shared" ca="1" si="12"/>
        <v>425112.06659141788</v>
      </c>
      <c r="U30" s="33">
        <f t="shared" ca="1" si="12"/>
        <v>441508.60403808457</v>
      </c>
      <c r="V30" s="33">
        <f t="shared" ca="1" si="12"/>
        <v>452552.78208475123</v>
      </c>
      <c r="W30" s="33">
        <f t="shared" ca="1" si="12"/>
        <v>463841.3661514179</v>
      </c>
      <c r="X30" s="33">
        <f t="shared" ca="1" si="12"/>
        <v>474840.24313808454</v>
      </c>
      <c r="Y30" s="33">
        <f t="shared" ca="1" si="12"/>
        <v>486380.31300475122</v>
      </c>
      <c r="Z30" s="33">
        <f t="shared" ca="1" si="12"/>
        <v>497948.49253141787</v>
      </c>
      <c r="AA30" s="24"/>
      <c r="AB30" s="24"/>
      <c r="AC30" s="24"/>
      <c r="AD30" s="24"/>
    </row>
    <row r="31" spans="2:31" s="1" customFormat="1" x14ac:dyDescent="0.2">
      <c r="AA31" s="24"/>
      <c r="AB31" s="24"/>
      <c r="AC31" s="24"/>
      <c r="AD31" s="24"/>
    </row>
    <row r="32" spans="2:31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  <row r="43" s="1" customFormat="1" x14ac:dyDescent="0.2"/>
    <row r="44" s="1" customFormat="1" x14ac:dyDescent="0.2"/>
    <row r="45" s="1" customFormat="1" x14ac:dyDescent="0.2"/>
    <row r="46" s="1" customFormat="1" x14ac:dyDescent="0.2"/>
    <row r="47" s="1" customFormat="1" x14ac:dyDescent="0.2"/>
    <row r="48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  <row r="363" s="1" customFormat="1" x14ac:dyDescent="0.2"/>
    <row r="364" s="1" customFormat="1" x14ac:dyDescent="0.2"/>
    <row r="365" s="1" customFormat="1" x14ac:dyDescent="0.2"/>
    <row r="366" s="1" customFormat="1" x14ac:dyDescent="0.2"/>
    <row r="367" s="1" customFormat="1" x14ac:dyDescent="0.2"/>
    <row r="368" s="1" customFormat="1" x14ac:dyDescent="0.2"/>
    <row r="369" s="1" customFormat="1" x14ac:dyDescent="0.2"/>
    <row r="370" s="1" customFormat="1" x14ac:dyDescent="0.2"/>
    <row r="371" s="1" customFormat="1" x14ac:dyDescent="0.2"/>
    <row r="372" s="1" customFormat="1" x14ac:dyDescent="0.2"/>
    <row r="373" s="1" customFormat="1" x14ac:dyDescent="0.2"/>
    <row r="374" s="1" customFormat="1" x14ac:dyDescent="0.2"/>
    <row r="375" s="1" customFormat="1" x14ac:dyDescent="0.2"/>
    <row r="376" s="1" customFormat="1" x14ac:dyDescent="0.2"/>
    <row r="377" s="1" customFormat="1" x14ac:dyDescent="0.2"/>
    <row r="378" s="1" customFormat="1" x14ac:dyDescent="0.2"/>
    <row r="379" s="1" customFormat="1" x14ac:dyDescent="0.2"/>
    <row r="380" s="1" customFormat="1" x14ac:dyDescent="0.2"/>
    <row r="381" s="1" customFormat="1" x14ac:dyDescent="0.2"/>
    <row r="382" s="1" customFormat="1" x14ac:dyDescent="0.2"/>
    <row r="383" s="1" customFormat="1" x14ac:dyDescent="0.2"/>
    <row r="384" s="1" customFormat="1" x14ac:dyDescent="0.2"/>
    <row r="385" s="1" customFormat="1" x14ac:dyDescent="0.2"/>
    <row r="386" s="1" customFormat="1" x14ac:dyDescent="0.2"/>
    <row r="387" s="1" customFormat="1" x14ac:dyDescent="0.2"/>
    <row r="388" s="1" customFormat="1" x14ac:dyDescent="0.2"/>
    <row r="389" s="1" customFormat="1" x14ac:dyDescent="0.2"/>
    <row r="390" s="1" customFormat="1" x14ac:dyDescent="0.2"/>
    <row r="391" s="1" customFormat="1" x14ac:dyDescent="0.2"/>
    <row r="392" s="1" customFormat="1" x14ac:dyDescent="0.2"/>
    <row r="393" s="1" customFormat="1" x14ac:dyDescent="0.2"/>
    <row r="394" s="1" customFormat="1" x14ac:dyDescent="0.2"/>
    <row r="395" s="1" customFormat="1" x14ac:dyDescent="0.2"/>
    <row r="396" s="1" customFormat="1" x14ac:dyDescent="0.2"/>
    <row r="397" s="1" customFormat="1" x14ac:dyDescent="0.2"/>
    <row r="398" s="1" customFormat="1" x14ac:dyDescent="0.2"/>
    <row r="399" s="1" customFormat="1" x14ac:dyDescent="0.2"/>
    <row r="400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  <row r="410" s="1" customFormat="1" x14ac:dyDescent="0.2"/>
    <row r="411" s="1" customFormat="1" x14ac:dyDescent="0.2"/>
    <row r="412" s="1" customFormat="1" x14ac:dyDescent="0.2"/>
    <row r="413" s="1" customFormat="1" x14ac:dyDescent="0.2"/>
    <row r="414" s="1" customFormat="1" x14ac:dyDescent="0.2"/>
    <row r="415" s="1" customFormat="1" x14ac:dyDescent="0.2"/>
    <row r="416" s="1" customFormat="1" x14ac:dyDescent="0.2"/>
    <row r="417" s="1" customFormat="1" x14ac:dyDescent="0.2"/>
    <row r="418" s="1" customFormat="1" x14ac:dyDescent="0.2"/>
    <row r="419" s="1" customFormat="1" x14ac:dyDescent="0.2"/>
    <row r="420" s="1" customFormat="1" x14ac:dyDescent="0.2"/>
    <row r="421" s="1" customFormat="1" x14ac:dyDescent="0.2"/>
    <row r="422" s="1" customFormat="1" x14ac:dyDescent="0.2"/>
    <row r="423" s="1" customFormat="1" x14ac:dyDescent="0.2"/>
    <row r="424" s="1" customFormat="1" x14ac:dyDescent="0.2"/>
    <row r="425" s="1" customFormat="1" x14ac:dyDescent="0.2"/>
    <row r="426" s="1" customFormat="1" x14ac:dyDescent="0.2"/>
    <row r="427" s="1" customFormat="1" x14ac:dyDescent="0.2"/>
    <row r="428" s="1" customFormat="1" x14ac:dyDescent="0.2"/>
    <row r="429" s="1" customFormat="1" x14ac:dyDescent="0.2"/>
    <row r="430" s="1" customFormat="1" x14ac:dyDescent="0.2"/>
    <row r="431" s="1" customFormat="1" x14ac:dyDescent="0.2"/>
    <row r="432" s="1" customFormat="1" x14ac:dyDescent="0.2"/>
    <row r="433" s="1" customFormat="1" x14ac:dyDescent="0.2"/>
    <row r="434" s="1" customFormat="1" x14ac:dyDescent="0.2"/>
    <row r="435" s="1" customFormat="1" x14ac:dyDescent="0.2"/>
    <row r="436" s="1" customFormat="1" x14ac:dyDescent="0.2"/>
    <row r="437" s="1" customFormat="1" x14ac:dyDescent="0.2"/>
    <row r="438" s="1" customFormat="1" x14ac:dyDescent="0.2"/>
    <row r="439" s="1" customFormat="1" x14ac:dyDescent="0.2"/>
    <row r="440" s="1" customFormat="1" x14ac:dyDescent="0.2"/>
    <row r="441" s="1" customFormat="1" x14ac:dyDescent="0.2"/>
    <row r="442" s="1" customFormat="1" x14ac:dyDescent="0.2"/>
    <row r="443" s="1" customFormat="1" x14ac:dyDescent="0.2"/>
    <row r="444" s="1" customFormat="1" x14ac:dyDescent="0.2"/>
    <row r="445" s="1" customFormat="1" x14ac:dyDescent="0.2"/>
    <row r="446" s="1" customFormat="1" x14ac:dyDescent="0.2"/>
    <row r="447" s="1" customFormat="1" x14ac:dyDescent="0.2"/>
    <row r="448" s="1" customFormat="1" x14ac:dyDescent="0.2"/>
    <row r="449" s="1" customFormat="1" x14ac:dyDescent="0.2"/>
    <row r="450" s="1" customFormat="1" x14ac:dyDescent="0.2"/>
    <row r="451" s="1" customFormat="1" x14ac:dyDescent="0.2"/>
    <row r="452" s="1" customFormat="1" x14ac:dyDescent="0.2"/>
    <row r="453" s="1" customFormat="1" x14ac:dyDescent="0.2"/>
    <row r="454" s="1" customFormat="1" x14ac:dyDescent="0.2"/>
    <row r="455" s="1" customFormat="1" x14ac:dyDescent="0.2"/>
    <row r="456" s="1" customFormat="1" x14ac:dyDescent="0.2"/>
    <row r="457" s="1" customFormat="1" x14ac:dyDescent="0.2"/>
    <row r="458" s="1" customFormat="1" x14ac:dyDescent="0.2"/>
    <row r="459" s="1" customFormat="1" x14ac:dyDescent="0.2"/>
    <row r="460" s="1" customFormat="1" x14ac:dyDescent="0.2"/>
    <row r="461" s="1" customFormat="1" x14ac:dyDescent="0.2"/>
    <row r="462" s="1" customFormat="1" x14ac:dyDescent="0.2"/>
    <row r="463" s="1" customFormat="1" x14ac:dyDescent="0.2"/>
    <row r="464" s="1" customFormat="1" x14ac:dyDescent="0.2"/>
    <row r="465" s="1" customFormat="1" x14ac:dyDescent="0.2"/>
    <row r="466" s="1" customFormat="1" x14ac:dyDescent="0.2"/>
    <row r="467" s="1" customFormat="1" x14ac:dyDescent="0.2"/>
    <row r="468" s="1" customFormat="1" x14ac:dyDescent="0.2"/>
    <row r="469" s="1" customFormat="1" x14ac:dyDescent="0.2"/>
    <row r="470" s="1" customFormat="1" x14ac:dyDescent="0.2"/>
    <row r="471" s="1" customFormat="1" x14ac:dyDescent="0.2"/>
    <row r="472" s="1" customFormat="1" x14ac:dyDescent="0.2"/>
    <row r="473" s="1" customFormat="1" x14ac:dyDescent="0.2"/>
    <row r="474" s="1" customFormat="1" x14ac:dyDescent="0.2"/>
    <row r="475" s="1" customFormat="1" x14ac:dyDescent="0.2"/>
    <row r="476" s="1" customFormat="1" x14ac:dyDescent="0.2"/>
    <row r="477" s="1" customFormat="1" x14ac:dyDescent="0.2"/>
    <row r="478" s="1" customFormat="1" x14ac:dyDescent="0.2"/>
    <row r="479" s="1" customFormat="1" x14ac:dyDescent="0.2"/>
    <row r="480" s="1" customFormat="1" x14ac:dyDescent="0.2"/>
    <row r="481" s="1" customFormat="1" x14ac:dyDescent="0.2"/>
    <row r="482" s="1" customFormat="1" x14ac:dyDescent="0.2"/>
    <row r="483" s="1" customFormat="1" x14ac:dyDescent="0.2"/>
    <row r="484" s="1" customFormat="1" x14ac:dyDescent="0.2"/>
    <row r="485" s="1" customFormat="1" x14ac:dyDescent="0.2"/>
    <row r="486" s="1" customFormat="1" x14ac:dyDescent="0.2"/>
    <row r="487" s="1" customFormat="1" x14ac:dyDescent="0.2"/>
    <row r="488" s="1" customFormat="1" x14ac:dyDescent="0.2"/>
    <row r="489" s="1" customFormat="1" x14ac:dyDescent="0.2"/>
    <row r="490" s="1" customFormat="1" x14ac:dyDescent="0.2"/>
    <row r="491" s="1" customFormat="1" x14ac:dyDescent="0.2"/>
    <row r="492" s="1" customFormat="1" x14ac:dyDescent="0.2"/>
    <row r="493" s="1" customFormat="1" x14ac:dyDescent="0.2"/>
    <row r="494" s="1" customFormat="1" x14ac:dyDescent="0.2"/>
    <row r="495" s="1" customFormat="1" x14ac:dyDescent="0.2"/>
    <row r="496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  <row r="510" s="1" customFormat="1" x14ac:dyDescent="0.2"/>
    <row r="511" s="1" customFormat="1" x14ac:dyDescent="0.2"/>
    <row r="512" s="1" customFormat="1" x14ac:dyDescent="0.2"/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  <row r="589" s="1" customFormat="1" x14ac:dyDescent="0.2"/>
    <row r="590" s="1" customFormat="1" x14ac:dyDescent="0.2"/>
    <row r="591" s="1" customFormat="1" x14ac:dyDescent="0.2"/>
    <row r="592" s="1" customFormat="1" x14ac:dyDescent="0.2"/>
    <row r="593" s="1" customFormat="1" x14ac:dyDescent="0.2"/>
    <row r="594" s="1" customFormat="1" x14ac:dyDescent="0.2"/>
    <row r="595" s="1" customFormat="1" x14ac:dyDescent="0.2"/>
    <row r="596" s="1" customFormat="1" x14ac:dyDescent="0.2"/>
    <row r="597" s="1" customFormat="1" x14ac:dyDescent="0.2"/>
    <row r="598" s="1" customFormat="1" x14ac:dyDescent="0.2"/>
    <row r="599" s="1" customFormat="1" x14ac:dyDescent="0.2"/>
    <row r="600" s="1" customFormat="1" x14ac:dyDescent="0.2"/>
    <row r="601" s="1" customFormat="1" x14ac:dyDescent="0.2"/>
    <row r="602" s="1" customFormat="1" x14ac:dyDescent="0.2"/>
    <row r="603" s="1" customFormat="1" x14ac:dyDescent="0.2"/>
    <row r="604" s="1" customFormat="1" x14ac:dyDescent="0.2"/>
    <row r="605" s="1" customFormat="1" x14ac:dyDescent="0.2"/>
    <row r="606" s="1" customFormat="1" x14ac:dyDescent="0.2"/>
    <row r="607" s="1" customFormat="1" x14ac:dyDescent="0.2"/>
    <row r="608" s="1" customFormat="1" x14ac:dyDescent="0.2"/>
    <row r="609" s="1" customFormat="1" x14ac:dyDescent="0.2"/>
    <row r="610" s="1" customFormat="1" x14ac:dyDescent="0.2"/>
    <row r="611" s="1" customFormat="1" x14ac:dyDescent="0.2"/>
    <row r="612" s="1" customFormat="1" x14ac:dyDescent="0.2"/>
    <row r="613" s="1" customFormat="1" x14ac:dyDescent="0.2"/>
    <row r="614" s="1" customFormat="1" x14ac:dyDescent="0.2"/>
    <row r="615" s="1" customFormat="1" x14ac:dyDescent="0.2"/>
    <row r="616" s="1" customFormat="1" x14ac:dyDescent="0.2"/>
    <row r="617" s="1" customFormat="1" x14ac:dyDescent="0.2"/>
    <row r="618" s="1" customFormat="1" x14ac:dyDescent="0.2"/>
    <row r="619" s="1" customFormat="1" x14ac:dyDescent="0.2"/>
    <row r="620" s="1" customFormat="1" x14ac:dyDescent="0.2"/>
    <row r="621" s="1" customFormat="1" x14ac:dyDescent="0.2"/>
    <row r="622" s="1" customFormat="1" x14ac:dyDescent="0.2"/>
    <row r="623" s="1" customFormat="1" x14ac:dyDescent="0.2"/>
    <row r="624" s="1" customFormat="1" x14ac:dyDescent="0.2"/>
    <row r="625" s="1" customFormat="1" x14ac:dyDescent="0.2"/>
    <row r="626" s="1" customFormat="1" x14ac:dyDescent="0.2"/>
    <row r="627" s="1" customFormat="1" x14ac:dyDescent="0.2"/>
    <row r="628" s="1" customFormat="1" x14ac:dyDescent="0.2"/>
    <row r="629" s="1" customFormat="1" x14ac:dyDescent="0.2"/>
    <row r="630" s="1" customFormat="1" x14ac:dyDescent="0.2"/>
    <row r="631" s="1" customFormat="1" x14ac:dyDescent="0.2"/>
    <row r="632" s="1" customFormat="1" x14ac:dyDescent="0.2"/>
    <row r="633" s="1" customFormat="1" x14ac:dyDescent="0.2"/>
    <row r="634" s="1" customFormat="1" x14ac:dyDescent="0.2"/>
    <row r="635" s="1" customFormat="1" x14ac:dyDescent="0.2"/>
    <row r="636" s="1" customFormat="1" x14ac:dyDescent="0.2"/>
    <row r="637" s="1" customFormat="1" x14ac:dyDescent="0.2"/>
    <row r="638" s="1" customFormat="1" x14ac:dyDescent="0.2"/>
    <row r="639" s="1" customFormat="1" x14ac:dyDescent="0.2"/>
    <row r="640" s="1" customFormat="1" x14ac:dyDescent="0.2"/>
    <row r="641" s="1" customFormat="1" x14ac:dyDescent="0.2"/>
    <row r="642" s="1" customFormat="1" x14ac:dyDescent="0.2"/>
    <row r="643" s="1" customFormat="1" x14ac:dyDescent="0.2"/>
    <row r="644" s="1" customFormat="1" x14ac:dyDescent="0.2"/>
    <row r="645" s="1" customFormat="1" x14ac:dyDescent="0.2"/>
    <row r="646" s="1" customFormat="1" x14ac:dyDescent="0.2"/>
    <row r="647" s="1" customFormat="1" x14ac:dyDescent="0.2"/>
    <row r="648" s="1" customFormat="1" x14ac:dyDescent="0.2"/>
    <row r="649" s="1" customFormat="1" x14ac:dyDescent="0.2"/>
    <row r="650" s="1" customFormat="1" x14ac:dyDescent="0.2"/>
    <row r="651" s="1" customFormat="1" x14ac:dyDescent="0.2"/>
    <row r="652" s="1" customFormat="1" x14ac:dyDescent="0.2"/>
    <row r="653" s="1" customFormat="1" x14ac:dyDescent="0.2"/>
    <row r="654" s="1" customFormat="1" x14ac:dyDescent="0.2"/>
    <row r="655" s="1" customFormat="1" x14ac:dyDescent="0.2"/>
    <row r="656" s="1" customFormat="1" x14ac:dyDescent="0.2"/>
    <row r="657" s="1" customFormat="1" x14ac:dyDescent="0.2"/>
    <row r="658" s="1" customFormat="1" x14ac:dyDescent="0.2"/>
    <row r="659" s="1" customFormat="1" x14ac:dyDescent="0.2"/>
    <row r="660" s="1" customFormat="1" x14ac:dyDescent="0.2"/>
    <row r="661" s="1" customFormat="1" x14ac:dyDescent="0.2"/>
    <row r="662" s="1" customFormat="1" x14ac:dyDescent="0.2"/>
    <row r="663" s="1" customFormat="1" x14ac:dyDescent="0.2"/>
    <row r="664" s="1" customFormat="1" x14ac:dyDescent="0.2"/>
    <row r="665" s="1" customFormat="1" x14ac:dyDescent="0.2"/>
    <row r="666" s="1" customFormat="1" x14ac:dyDescent="0.2"/>
    <row r="667" s="1" customFormat="1" x14ac:dyDescent="0.2"/>
    <row r="668" s="1" customFormat="1" x14ac:dyDescent="0.2"/>
    <row r="669" s="1" customFormat="1" x14ac:dyDescent="0.2"/>
    <row r="670" s="1" customFormat="1" x14ac:dyDescent="0.2"/>
    <row r="671" s="1" customFormat="1" x14ac:dyDescent="0.2"/>
    <row r="672" s="1" customFormat="1" x14ac:dyDescent="0.2"/>
    <row r="673" s="1" customFormat="1" x14ac:dyDescent="0.2"/>
    <row r="674" s="1" customFormat="1" x14ac:dyDescent="0.2"/>
    <row r="675" s="1" customFormat="1" x14ac:dyDescent="0.2"/>
    <row r="676" s="1" customFormat="1" x14ac:dyDescent="0.2"/>
    <row r="677" s="1" customFormat="1" x14ac:dyDescent="0.2"/>
    <row r="678" s="1" customFormat="1" x14ac:dyDescent="0.2"/>
    <row r="679" s="1" customFormat="1" x14ac:dyDescent="0.2"/>
    <row r="680" s="1" customFormat="1" x14ac:dyDescent="0.2"/>
    <row r="681" s="1" customFormat="1" x14ac:dyDescent="0.2"/>
    <row r="682" s="1" customFormat="1" x14ac:dyDescent="0.2"/>
    <row r="683" s="1" customFormat="1" x14ac:dyDescent="0.2"/>
    <row r="684" s="1" customFormat="1" x14ac:dyDescent="0.2"/>
    <row r="685" s="1" customFormat="1" x14ac:dyDescent="0.2"/>
    <row r="686" s="1" customFormat="1" x14ac:dyDescent="0.2"/>
    <row r="687" s="1" customFormat="1" x14ac:dyDescent="0.2"/>
    <row r="688" s="1" customFormat="1" x14ac:dyDescent="0.2"/>
    <row r="689" s="1" customFormat="1" x14ac:dyDescent="0.2"/>
    <row r="690" s="1" customFormat="1" x14ac:dyDescent="0.2"/>
    <row r="691" s="1" customFormat="1" x14ac:dyDescent="0.2"/>
    <row r="692" s="1" customFormat="1" x14ac:dyDescent="0.2"/>
    <row r="693" s="1" customFormat="1" x14ac:dyDescent="0.2"/>
    <row r="694" s="1" customFormat="1" x14ac:dyDescent="0.2"/>
    <row r="695" s="1" customFormat="1" x14ac:dyDescent="0.2"/>
    <row r="696" s="1" customFormat="1" x14ac:dyDescent="0.2"/>
    <row r="697" s="1" customFormat="1" x14ac:dyDescent="0.2"/>
    <row r="698" s="1" customFormat="1" x14ac:dyDescent="0.2"/>
    <row r="699" s="1" customFormat="1" x14ac:dyDescent="0.2"/>
    <row r="700" s="1" customFormat="1" x14ac:dyDescent="0.2"/>
    <row r="701" s="1" customFormat="1" x14ac:dyDescent="0.2"/>
    <row r="702" s="1" customFormat="1" x14ac:dyDescent="0.2"/>
    <row r="703" s="1" customFormat="1" x14ac:dyDescent="0.2"/>
    <row r="704" s="1" customFormat="1" x14ac:dyDescent="0.2"/>
    <row r="705" s="1" customFormat="1" x14ac:dyDescent="0.2"/>
    <row r="706" s="1" customFormat="1" x14ac:dyDescent="0.2"/>
    <row r="707" s="1" customFormat="1" x14ac:dyDescent="0.2"/>
    <row r="708" s="1" customFormat="1" x14ac:dyDescent="0.2"/>
    <row r="709" s="1" customFormat="1" x14ac:dyDescent="0.2"/>
    <row r="710" s="1" customFormat="1" x14ac:dyDescent="0.2"/>
    <row r="711" s="1" customFormat="1" x14ac:dyDescent="0.2"/>
    <row r="712" s="1" customFormat="1" x14ac:dyDescent="0.2"/>
    <row r="713" s="1" customFormat="1" x14ac:dyDescent="0.2"/>
    <row r="714" s="1" customFormat="1" x14ac:dyDescent="0.2"/>
    <row r="715" s="1" customFormat="1" x14ac:dyDescent="0.2"/>
    <row r="716" s="1" customFormat="1" x14ac:dyDescent="0.2"/>
    <row r="717" s="1" customFormat="1" x14ac:dyDescent="0.2"/>
    <row r="718" s="1" customFormat="1" x14ac:dyDescent="0.2"/>
    <row r="719" s="1" customFormat="1" x14ac:dyDescent="0.2"/>
    <row r="720" s="1" customFormat="1" x14ac:dyDescent="0.2"/>
    <row r="721" s="1" customFormat="1" x14ac:dyDescent="0.2"/>
    <row r="722" s="1" customFormat="1" x14ac:dyDescent="0.2"/>
    <row r="723" s="1" customFormat="1" x14ac:dyDescent="0.2"/>
    <row r="724" s="1" customFormat="1" x14ac:dyDescent="0.2"/>
    <row r="725" s="1" customFormat="1" x14ac:dyDescent="0.2"/>
    <row r="726" s="1" customFormat="1" x14ac:dyDescent="0.2"/>
    <row r="727" s="1" customFormat="1" x14ac:dyDescent="0.2"/>
    <row r="728" s="1" customFormat="1" x14ac:dyDescent="0.2"/>
    <row r="729" s="1" customFormat="1" x14ac:dyDescent="0.2"/>
    <row r="730" s="1" customFormat="1" x14ac:dyDescent="0.2"/>
    <row r="731" s="1" customFormat="1" x14ac:dyDescent="0.2"/>
    <row r="732" s="1" customFormat="1" x14ac:dyDescent="0.2"/>
    <row r="733" s="1" customFormat="1" x14ac:dyDescent="0.2"/>
    <row r="734" s="1" customFormat="1" x14ac:dyDescent="0.2"/>
    <row r="735" s="1" customFormat="1" x14ac:dyDescent="0.2"/>
    <row r="736" s="1" customFormat="1" x14ac:dyDescent="0.2"/>
    <row r="737" s="1" customFormat="1" x14ac:dyDescent="0.2"/>
    <row r="738" s="1" customFormat="1" x14ac:dyDescent="0.2"/>
    <row r="739" s="1" customFormat="1" x14ac:dyDescent="0.2"/>
    <row r="740" s="1" customFormat="1" x14ac:dyDescent="0.2"/>
    <row r="741" s="1" customFormat="1" x14ac:dyDescent="0.2"/>
    <row r="742" s="1" customFormat="1" x14ac:dyDescent="0.2"/>
    <row r="743" s="1" customFormat="1" x14ac:dyDescent="0.2"/>
    <row r="744" s="1" customFormat="1" x14ac:dyDescent="0.2"/>
    <row r="745" s="1" customFormat="1" x14ac:dyDescent="0.2"/>
    <row r="746" s="1" customFormat="1" x14ac:dyDescent="0.2"/>
    <row r="747" s="1" customFormat="1" x14ac:dyDescent="0.2"/>
    <row r="748" s="1" customFormat="1" x14ac:dyDescent="0.2"/>
    <row r="749" s="1" customFormat="1" x14ac:dyDescent="0.2"/>
    <row r="750" s="1" customFormat="1" x14ac:dyDescent="0.2"/>
    <row r="751" s="1" customFormat="1" x14ac:dyDescent="0.2"/>
    <row r="752" s="1" customFormat="1" x14ac:dyDescent="0.2"/>
    <row r="753" s="1" customFormat="1" x14ac:dyDescent="0.2"/>
    <row r="754" s="1" customFormat="1" x14ac:dyDescent="0.2"/>
    <row r="755" s="1" customFormat="1" x14ac:dyDescent="0.2"/>
    <row r="756" s="1" customFormat="1" x14ac:dyDescent="0.2"/>
    <row r="757" s="1" customFormat="1" x14ac:dyDescent="0.2"/>
    <row r="758" s="1" customFormat="1" x14ac:dyDescent="0.2"/>
    <row r="759" s="1" customFormat="1" x14ac:dyDescent="0.2"/>
    <row r="760" s="1" customFormat="1" x14ac:dyDescent="0.2"/>
    <row r="761" s="1" customFormat="1" x14ac:dyDescent="0.2"/>
    <row r="762" s="1" customFormat="1" x14ac:dyDescent="0.2"/>
    <row r="763" s="1" customFormat="1" x14ac:dyDescent="0.2"/>
    <row r="764" s="1" customFormat="1" x14ac:dyDescent="0.2"/>
    <row r="765" s="1" customFormat="1" x14ac:dyDescent="0.2"/>
    <row r="766" s="1" customFormat="1" x14ac:dyDescent="0.2"/>
    <row r="767" s="1" customFormat="1" x14ac:dyDescent="0.2"/>
    <row r="768" s="1" customFormat="1" x14ac:dyDescent="0.2"/>
    <row r="769" s="1" customFormat="1" x14ac:dyDescent="0.2"/>
    <row r="770" s="1" customFormat="1" x14ac:dyDescent="0.2"/>
    <row r="771" s="1" customFormat="1" x14ac:dyDescent="0.2"/>
    <row r="772" s="1" customFormat="1" x14ac:dyDescent="0.2"/>
    <row r="773" s="1" customFormat="1" x14ac:dyDescent="0.2"/>
    <row r="774" s="1" customFormat="1" x14ac:dyDescent="0.2"/>
    <row r="775" s="1" customFormat="1" x14ac:dyDescent="0.2"/>
    <row r="776" s="1" customFormat="1" x14ac:dyDescent="0.2"/>
    <row r="777" s="1" customFormat="1" x14ac:dyDescent="0.2"/>
    <row r="778" s="1" customFormat="1" x14ac:dyDescent="0.2"/>
    <row r="779" s="1" customFormat="1" x14ac:dyDescent="0.2"/>
    <row r="780" s="1" customFormat="1" x14ac:dyDescent="0.2"/>
    <row r="781" s="1" customFormat="1" x14ac:dyDescent="0.2"/>
    <row r="782" s="1" customFormat="1" x14ac:dyDescent="0.2"/>
    <row r="783" s="1" customFormat="1" x14ac:dyDescent="0.2"/>
    <row r="784" s="1" customFormat="1" x14ac:dyDescent="0.2"/>
    <row r="785" s="1" customFormat="1" x14ac:dyDescent="0.2"/>
    <row r="786" s="1" customFormat="1" x14ac:dyDescent="0.2"/>
    <row r="787" s="1" customFormat="1" x14ac:dyDescent="0.2"/>
    <row r="788" s="1" customFormat="1" x14ac:dyDescent="0.2"/>
    <row r="789" s="1" customFormat="1" x14ac:dyDescent="0.2"/>
    <row r="790" s="1" customFormat="1" x14ac:dyDescent="0.2"/>
    <row r="791" s="1" customFormat="1" x14ac:dyDescent="0.2"/>
    <row r="792" s="1" customFormat="1" x14ac:dyDescent="0.2"/>
    <row r="793" s="1" customFormat="1" x14ac:dyDescent="0.2"/>
    <row r="794" s="1" customFormat="1" x14ac:dyDescent="0.2"/>
    <row r="795" s="1" customFormat="1" x14ac:dyDescent="0.2"/>
    <row r="796" s="1" customFormat="1" x14ac:dyDescent="0.2"/>
    <row r="797" s="1" customFormat="1" x14ac:dyDescent="0.2"/>
    <row r="798" s="1" customFormat="1" x14ac:dyDescent="0.2"/>
    <row r="799" s="1" customFormat="1" x14ac:dyDescent="0.2"/>
    <row r="800" s="1" customFormat="1" x14ac:dyDescent="0.2"/>
    <row r="801" s="1" customFormat="1" x14ac:dyDescent="0.2"/>
    <row r="802" s="1" customFormat="1" x14ac:dyDescent="0.2"/>
    <row r="803" s="1" customFormat="1" x14ac:dyDescent="0.2"/>
    <row r="804" s="1" customFormat="1" x14ac:dyDescent="0.2"/>
    <row r="805" s="1" customFormat="1" x14ac:dyDescent="0.2"/>
    <row r="806" s="1" customFormat="1" x14ac:dyDescent="0.2"/>
    <row r="807" s="1" customFormat="1" x14ac:dyDescent="0.2"/>
    <row r="808" s="1" customFormat="1" x14ac:dyDescent="0.2"/>
    <row r="809" s="1" customFormat="1" x14ac:dyDescent="0.2"/>
    <row r="810" s="1" customFormat="1" x14ac:dyDescent="0.2"/>
    <row r="811" s="1" customFormat="1" x14ac:dyDescent="0.2"/>
    <row r="812" s="1" customFormat="1" x14ac:dyDescent="0.2"/>
    <row r="813" s="1" customFormat="1" x14ac:dyDescent="0.2"/>
    <row r="814" s="1" customFormat="1" x14ac:dyDescent="0.2"/>
    <row r="815" s="1" customFormat="1" x14ac:dyDescent="0.2"/>
    <row r="816" s="1" customFormat="1" x14ac:dyDescent="0.2"/>
    <row r="817" s="1" customFormat="1" x14ac:dyDescent="0.2"/>
    <row r="818" s="1" customFormat="1" x14ac:dyDescent="0.2"/>
    <row r="819" s="1" customFormat="1" x14ac:dyDescent="0.2"/>
    <row r="820" s="1" customFormat="1" x14ac:dyDescent="0.2"/>
    <row r="821" s="1" customFormat="1" x14ac:dyDescent="0.2"/>
    <row r="822" s="1" customFormat="1" x14ac:dyDescent="0.2"/>
    <row r="823" s="1" customFormat="1" x14ac:dyDescent="0.2"/>
    <row r="824" s="1" customFormat="1" x14ac:dyDescent="0.2"/>
    <row r="825" s="1" customFormat="1" x14ac:dyDescent="0.2"/>
    <row r="826" s="1" customFormat="1" x14ac:dyDescent="0.2"/>
    <row r="827" s="1" customFormat="1" x14ac:dyDescent="0.2"/>
    <row r="828" s="1" customFormat="1" x14ac:dyDescent="0.2"/>
    <row r="829" s="1" customFormat="1" x14ac:dyDescent="0.2"/>
    <row r="830" s="1" customFormat="1" x14ac:dyDescent="0.2"/>
    <row r="831" s="1" customFormat="1" x14ac:dyDescent="0.2"/>
    <row r="832" s="1" customFormat="1" x14ac:dyDescent="0.2"/>
    <row r="833" s="1" customFormat="1" x14ac:dyDescent="0.2"/>
    <row r="834" s="1" customFormat="1" x14ac:dyDescent="0.2"/>
    <row r="835" s="1" customFormat="1" x14ac:dyDescent="0.2"/>
    <row r="836" s="1" customFormat="1" x14ac:dyDescent="0.2"/>
    <row r="837" s="1" customFormat="1" x14ac:dyDescent="0.2"/>
    <row r="838" s="1" customFormat="1" x14ac:dyDescent="0.2"/>
    <row r="839" s="1" customFormat="1" x14ac:dyDescent="0.2"/>
    <row r="840" s="1" customFormat="1" x14ac:dyDescent="0.2"/>
    <row r="841" s="1" customFormat="1" x14ac:dyDescent="0.2"/>
    <row r="842" s="1" customFormat="1" x14ac:dyDescent="0.2"/>
    <row r="843" s="1" customFormat="1" x14ac:dyDescent="0.2"/>
    <row r="844" s="1" customFormat="1" x14ac:dyDescent="0.2"/>
    <row r="845" s="1" customFormat="1" x14ac:dyDescent="0.2"/>
    <row r="846" s="1" customFormat="1" x14ac:dyDescent="0.2"/>
    <row r="847" s="1" customFormat="1" x14ac:dyDescent="0.2"/>
    <row r="848" s="1" customFormat="1" x14ac:dyDescent="0.2"/>
    <row r="849" s="1" customFormat="1" x14ac:dyDescent="0.2"/>
    <row r="850" s="1" customFormat="1" x14ac:dyDescent="0.2"/>
    <row r="851" s="1" customFormat="1" x14ac:dyDescent="0.2"/>
    <row r="852" s="1" customFormat="1" x14ac:dyDescent="0.2"/>
    <row r="853" s="1" customFormat="1" x14ac:dyDescent="0.2"/>
    <row r="854" s="1" customFormat="1" x14ac:dyDescent="0.2"/>
    <row r="855" s="1" customFormat="1" x14ac:dyDescent="0.2"/>
    <row r="856" s="1" customFormat="1" x14ac:dyDescent="0.2"/>
    <row r="857" s="1" customFormat="1" x14ac:dyDescent="0.2"/>
    <row r="858" s="1" customFormat="1" x14ac:dyDescent="0.2"/>
    <row r="859" s="1" customFormat="1" x14ac:dyDescent="0.2"/>
    <row r="860" s="1" customFormat="1" x14ac:dyDescent="0.2"/>
    <row r="861" s="1" customFormat="1" x14ac:dyDescent="0.2"/>
    <row r="862" s="1" customFormat="1" x14ac:dyDescent="0.2"/>
    <row r="863" s="1" customFormat="1" x14ac:dyDescent="0.2"/>
    <row r="864" s="1" customFormat="1" x14ac:dyDescent="0.2"/>
    <row r="865" s="1" customFormat="1" x14ac:dyDescent="0.2"/>
    <row r="866" s="1" customFormat="1" x14ac:dyDescent="0.2"/>
    <row r="867" s="1" customFormat="1" x14ac:dyDescent="0.2"/>
    <row r="868" s="1" customFormat="1" x14ac:dyDescent="0.2"/>
    <row r="869" s="1" customFormat="1" x14ac:dyDescent="0.2"/>
    <row r="870" s="1" customFormat="1" x14ac:dyDescent="0.2"/>
    <row r="871" s="1" customFormat="1" x14ac:dyDescent="0.2"/>
    <row r="872" s="1" customFormat="1" x14ac:dyDescent="0.2"/>
    <row r="873" s="1" customFormat="1" x14ac:dyDescent="0.2"/>
    <row r="874" s="1" customFormat="1" x14ac:dyDescent="0.2"/>
    <row r="875" s="1" customFormat="1" x14ac:dyDescent="0.2"/>
    <row r="876" s="1" customFormat="1" x14ac:dyDescent="0.2"/>
    <row r="877" s="1" customFormat="1" x14ac:dyDescent="0.2"/>
    <row r="878" s="1" customFormat="1" x14ac:dyDescent="0.2"/>
    <row r="879" s="1" customFormat="1" x14ac:dyDescent="0.2"/>
    <row r="880" s="1" customFormat="1" x14ac:dyDescent="0.2"/>
    <row r="881" s="1" customFormat="1" x14ac:dyDescent="0.2"/>
    <row r="882" s="1" customFormat="1" x14ac:dyDescent="0.2"/>
    <row r="883" s="1" customFormat="1" x14ac:dyDescent="0.2"/>
    <row r="884" s="1" customFormat="1" x14ac:dyDescent="0.2"/>
    <row r="885" s="1" customFormat="1" x14ac:dyDescent="0.2"/>
    <row r="886" s="1" customFormat="1" x14ac:dyDescent="0.2"/>
    <row r="887" s="1" customFormat="1" x14ac:dyDescent="0.2"/>
    <row r="888" s="1" customFormat="1" x14ac:dyDescent="0.2"/>
    <row r="889" s="1" customFormat="1" x14ac:dyDescent="0.2"/>
    <row r="890" s="1" customFormat="1" x14ac:dyDescent="0.2"/>
    <row r="891" s="1" customFormat="1" x14ac:dyDescent="0.2"/>
    <row r="892" s="1" customFormat="1" x14ac:dyDescent="0.2"/>
    <row r="893" s="1" customFormat="1" x14ac:dyDescent="0.2"/>
    <row r="894" s="1" customFormat="1" x14ac:dyDescent="0.2"/>
    <row r="895" s="1" customFormat="1" x14ac:dyDescent="0.2"/>
    <row r="896" s="1" customFormat="1" x14ac:dyDescent="0.2"/>
    <row r="897" s="1" customFormat="1" x14ac:dyDescent="0.2"/>
    <row r="898" s="1" customFormat="1" x14ac:dyDescent="0.2"/>
    <row r="899" s="1" customFormat="1" x14ac:dyDescent="0.2"/>
    <row r="900" s="1" customFormat="1" x14ac:dyDescent="0.2"/>
    <row r="901" s="1" customFormat="1" x14ac:dyDescent="0.2"/>
    <row r="902" s="1" customFormat="1" x14ac:dyDescent="0.2"/>
    <row r="903" s="1" customFormat="1" x14ac:dyDescent="0.2"/>
    <row r="904" s="1" customFormat="1" x14ac:dyDescent="0.2"/>
    <row r="905" s="1" customFormat="1" x14ac:dyDescent="0.2"/>
    <row r="906" s="1" customFormat="1" x14ac:dyDescent="0.2"/>
    <row r="907" s="1" customFormat="1" x14ac:dyDescent="0.2"/>
    <row r="908" s="1" customFormat="1" x14ac:dyDescent="0.2"/>
    <row r="909" s="1" customFormat="1" x14ac:dyDescent="0.2"/>
    <row r="910" s="1" customFormat="1" x14ac:dyDescent="0.2"/>
    <row r="911" s="1" customFormat="1" x14ac:dyDescent="0.2"/>
    <row r="912" s="1" customFormat="1" x14ac:dyDescent="0.2"/>
    <row r="913" s="1" customFormat="1" x14ac:dyDescent="0.2"/>
    <row r="914" s="1" customFormat="1" x14ac:dyDescent="0.2"/>
    <row r="915" s="1" customFormat="1" x14ac:dyDescent="0.2"/>
    <row r="916" s="1" customFormat="1" x14ac:dyDescent="0.2"/>
    <row r="917" s="1" customFormat="1" x14ac:dyDescent="0.2"/>
    <row r="918" s="1" customFormat="1" x14ac:dyDescent="0.2"/>
    <row r="919" s="1" customFormat="1" x14ac:dyDescent="0.2"/>
    <row r="920" s="1" customFormat="1" x14ac:dyDescent="0.2"/>
    <row r="921" s="1" customFormat="1" x14ac:dyDescent="0.2"/>
    <row r="922" s="1" customFormat="1" x14ac:dyDescent="0.2"/>
    <row r="923" s="1" customFormat="1" x14ac:dyDescent="0.2"/>
    <row r="924" s="1" customFormat="1" x14ac:dyDescent="0.2"/>
    <row r="925" s="1" customFormat="1" x14ac:dyDescent="0.2"/>
    <row r="926" s="1" customFormat="1" x14ac:dyDescent="0.2"/>
    <row r="927" s="1" customFormat="1" x14ac:dyDescent="0.2"/>
    <row r="928" s="1" customFormat="1" x14ac:dyDescent="0.2"/>
    <row r="929" s="1" customFormat="1" x14ac:dyDescent="0.2"/>
    <row r="930" s="1" customFormat="1" x14ac:dyDescent="0.2"/>
    <row r="931" s="1" customFormat="1" x14ac:dyDescent="0.2"/>
    <row r="932" s="1" customFormat="1" x14ac:dyDescent="0.2"/>
    <row r="933" s="1" customFormat="1" x14ac:dyDescent="0.2"/>
    <row r="934" s="1" customFormat="1" x14ac:dyDescent="0.2"/>
    <row r="935" s="1" customFormat="1" x14ac:dyDescent="0.2"/>
    <row r="936" s="1" customFormat="1" x14ac:dyDescent="0.2"/>
    <row r="937" s="1" customFormat="1" x14ac:dyDescent="0.2"/>
    <row r="938" s="1" customFormat="1" x14ac:dyDescent="0.2"/>
    <row r="939" s="1" customFormat="1" x14ac:dyDescent="0.2"/>
    <row r="940" s="1" customFormat="1" x14ac:dyDescent="0.2"/>
    <row r="941" s="1" customFormat="1" x14ac:dyDescent="0.2"/>
    <row r="942" s="1" customFormat="1" x14ac:dyDescent="0.2"/>
    <row r="943" s="1" customFormat="1" x14ac:dyDescent="0.2"/>
    <row r="944" s="1" customFormat="1" x14ac:dyDescent="0.2"/>
    <row r="945" s="1" customFormat="1" x14ac:dyDescent="0.2"/>
    <row r="946" s="1" customFormat="1" x14ac:dyDescent="0.2"/>
    <row r="947" s="1" customFormat="1" x14ac:dyDescent="0.2"/>
    <row r="948" s="1" customFormat="1" x14ac:dyDescent="0.2"/>
    <row r="949" s="1" customFormat="1" x14ac:dyDescent="0.2"/>
    <row r="950" s="1" customFormat="1" x14ac:dyDescent="0.2"/>
    <row r="951" s="1" customFormat="1" x14ac:dyDescent="0.2"/>
    <row r="952" s="1" customFormat="1" x14ac:dyDescent="0.2"/>
    <row r="953" s="1" customFormat="1" x14ac:dyDescent="0.2"/>
    <row r="954" s="1" customFormat="1" x14ac:dyDescent="0.2"/>
    <row r="955" s="1" customFormat="1" x14ac:dyDescent="0.2"/>
    <row r="956" s="1" customFormat="1" x14ac:dyDescent="0.2"/>
    <row r="957" s="1" customFormat="1" x14ac:dyDescent="0.2"/>
    <row r="958" s="1" customFormat="1" x14ac:dyDescent="0.2"/>
    <row r="959" s="1" customFormat="1" x14ac:dyDescent="0.2"/>
    <row r="960" s="1" customFormat="1" x14ac:dyDescent="0.2"/>
    <row r="961" s="1" customFormat="1" x14ac:dyDescent="0.2"/>
    <row r="962" s="1" customFormat="1" x14ac:dyDescent="0.2"/>
    <row r="963" s="1" customFormat="1" x14ac:dyDescent="0.2"/>
    <row r="964" s="1" customFormat="1" x14ac:dyDescent="0.2"/>
    <row r="965" s="1" customFormat="1" x14ac:dyDescent="0.2"/>
    <row r="966" s="1" customFormat="1" x14ac:dyDescent="0.2"/>
    <row r="967" s="1" customFormat="1" x14ac:dyDescent="0.2"/>
    <row r="968" s="1" customFormat="1" x14ac:dyDescent="0.2"/>
    <row r="969" s="1" customFormat="1" x14ac:dyDescent="0.2"/>
    <row r="970" s="1" customFormat="1" x14ac:dyDescent="0.2"/>
    <row r="971" s="1" customFormat="1" x14ac:dyDescent="0.2"/>
    <row r="972" s="1" customFormat="1" x14ac:dyDescent="0.2"/>
    <row r="973" s="1" customFormat="1" x14ac:dyDescent="0.2"/>
    <row r="974" s="1" customFormat="1" x14ac:dyDescent="0.2"/>
    <row r="975" s="1" customFormat="1" x14ac:dyDescent="0.2"/>
    <row r="976" s="1" customFormat="1" x14ac:dyDescent="0.2"/>
    <row r="977" s="1" customFormat="1" x14ac:dyDescent="0.2"/>
    <row r="978" s="1" customFormat="1" x14ac:dyDescent="0.2"/>
    <row r="979" s="1" customFormat="1" x14ac:dyDescent="0.2"/>
    <row r="980" s="1" customFormat="1" x14ac:dyDescent="0.2"/>
    <row r="981" s="1" customFormat="1" x14ac:dyDescent="0.2"/>
    <row r="982" s="1" customFormat="1" x14ac:dyDescent="0.2"/>
    <row r="983" s="1" customFormat="1" x14ac:dyDescent="0.2"/>
    <row r="984" s="1" customFormat="1" x14ac:dyDescent="0.2"/>
    <row r="985" s="1" customFormat="1" x14ac:dyDescent="0.2"/>
    <row r="986" s="1" customFormat="1" x14ac:dyDescent="0.2"/>
    <row r="987" s="1" customFormat="1" x14ac:dyDescent="0.2"/>
    <row r="988" s="1" customFormat="1" x14ac:dyDescent="0.2"/>
    <row r="989" s="1" customFormat="1" x14ac:dyDescent="0.2"/>
    <row r="990" s="1" customFormat="1" x14ac:dyDescent="0.2"/>
    <row r="991" s="1" customFormat="1" x14ac:dyDescent="0.2"/>
    <row r="992" s="1" customFormat="1" x14ac:dyDescent="0.2"/>
    <row r="993" s="1" customFormat="1" x14ac:dyDescent="0.2"/>
    <row r="994" s="1" customFormat="1" x14ac:dyDescent="0.2"/>
    <row r="995" s="1" customFormat="1" x14ac:dyDescent="0.2"/>
    <row r="996" s="1" customFormat="1" x14ac:dyDescent="0.2"/>
    <row r="997" s="1" customFormat="1" x14ac:dyDescent="0.2"/>
    <row r="998" s="1" customFormat="1" x14ac:dyDescent="0.2"/>
    <row r="999" s="1" customFormat="1" x14ac:dyDescent="0.2"/>
    <row r="1000" s="1" customFormat="1" x14ac:dyDescent="0.2"/>
    <row r="1001" s="1" customFormat="1" x14ac:dyDescent="0.2"/>
    <row r="1002" s="1" customFormat="1" x14ac:dyDescent="0.2"/>
    <row r="1003" s="1" customFormat="1" x14ac:dyDescent="0.2"/>
    <row r="1004" s="1" customFormat="1" x14ac:dyDescent="0.2"/>
    <row r="1005" s="1" customFormat="1" x14ac:dyDescent="0.2"/>
    <row r="1006" s="1" customFormat="1" x14ac:dyDescent="0.2"/>
    <row r="1007" s="1" customFormat="1" x14ac:dyDescent="0.2"/>
    <row r="1008" s="1" customFormat="1" x14ac:dyDescent="0.2"/>
    <row r="1009" s="1" customFormat="1" x14ac:dyDescent="0.2"/>
    <row r="1010" s="1" customFormat="1" x14ac:dyDescent="0.2"/>
    <row r="1011" s="1" customFormat="1" x14ac:dyDescent="0.2"/>
    <row r="1012" s="1" customFormat="1" x14ac:dyDescent="0.2"/>
    <row r="1013" s="1" customFormat="1" x14ac:dyDescent="0.2"/>
    <row r="1014" s="1" customFormat="1" x14ac:dyDescent="0.2"/>
    <row r="1015" s="1" customFormat="1" x14ac:dyDescent="0.2"/>
    <row r="1016" s="1" customFormat="1" x14ac:dyDescent="0.2"/>
    <row r="1017" s="1" customFormat="1" x14ac:dyDescent="0.2"/>
    <row r="1018" s="1" customFormat="1" x14ac:dyDescent="0.2"/>
    <row r="1019" s="1" customFormat="1" x14ac:dyDescent="0.2"/>
    <row r="1020" s="1" customFormat="1" x14ac:dyDescent="0.2"/>
    <row r="1021" s="1" customFormat="1" x14ac:dyDescent="0.2"/>
    <row r="1022" s="1" customFormat="1" x14ac:dyDescent="0.2"/>
    <row r="1023" s="1" customFormat="1" x14ac:dyDescent="0.2"/>
    <row r="1024" s="1" customFormat="1" x14ac:dyDescent="0.2"/>
    <row r="1025" s="1" customFormat="1" x14ac:dyDescent="0.2"/>
    <row r="1026" s="1" customFormat="1" x14ac:dyDescent="0.2"/>
    <row r="1027" s="1" customFormat="1" x14ac:dyDescent="0.2"/>
    <row r="1028" s="1" customFormat="1" x14ac:dyDescent="0.2"/>
    <row r="1029" s="1" customFormat="1" x14ac:dyDescent="0.2"/>
    <row r="1030" s="1" customFormat="1" x14ac:dyDescent="0.2"/>
    <row r="1031" s="1" customFormat="1" x14ac:dyDescent="0.2"/>
    <row r="1032" s="1" customFormat="1" x14ac:dyDescent="0.2"/>
    <row r="1033" s="1" customFormat="1" x14ac:dyDescent="0.2"/>
    <row r="1034" s="1" customFormat="1" x14ac:dyDescent="0.2"/>
    <row r="1035" s="1" customFormat="1" x14ac:dyDescent="0.2"/>
    <row r="1036" s="1" customFormat="1" x14ac:dyDescent="0.2"/>
    <row r="1037" s="1" customFormat="1" x14ac:dyDescent="0.2"/>
    <row r="1038" s="1" customFormat="1" x14ac:dyDescent="0.2"/>
    <row r="1039" s="1" customFormat="1" x14ac:dyDescent="0.2"/>
    <row r="1040" s="1" customFormat="1" x14ac:dyDescent="0.2"/>
    <row r="1041" s="1" customFormat="1" x14ac:dyDescent="0.2"/>
    <row r="1042" s="1" customFormat="1" x14ac:dyDescent="0.2"/>
    <row r="1043" s="1" customFormat="1" x14ac:dyDescent="0.2"/>
    <row r="1044" s="1" customFormat="1" x14ac:dyDescent="0.2"/>
    <row r="1045" s="1" customFormat="1" x14ac:dyDescent="0.2"/>
    <row r="1046" s="1" customFormat="1" x14ac:dyDescent="0.2"/>
    <row r="1047" s="1" customFormat="1" x14ac:dyDescent="0.2"/>
    <row r="1048" s="1" customFormat="1" x14ac:dyDescent="0.2"/>
    <row r="1049" s="1" customFormat="1" x14ac:dyDescent="0.2"/>
    <row r="1050" s="1" customFormat="1" x14ac:dyDescent="0.2"/>
    <row r="1051" s="1" customFormat="1" x14ac:dyDescent="0.2"/>
    <row r="1052" s="1" customFormat="1" x14ac:dyDescent="0.2"/>
    <row r="1053" s="1" customFormat="1" x14ac:dyDescent="0.2"/>
    <row r="1054" s="1" customFormat="1" x14ac:dyDescent="0.2"/>
    <row r="1055" s="1" customFormat="1" x14ac:dyDescent="0.2"/>
    <row r="1056" s="1" customFormat="1" x14ac:dyDescent="0.2"/>
    <row r="1057" s="1" customFormat="1" x14ac:dyDescent="0.2"/>
    <row r="1058" s="1" customFormat="1" x14ac:dyDescent="0.2"/>
    <row r="1059" s="1" customFormat="1" x14ac:dyDescent="0.2"/>
    <row r="1060" s="1" customFormat="1" x14ac:dyDescent="0.2"/>
    <row r="1061" s="1" customFormat="1" x14ac:dyDescent="0.2"/>
    <row r="1062" s="1" customFormat="1" x14ac:dyDescent="0.2"/>
    <row r="1063" s="1" customFormat="1" x14ac:dyDescent="0.2"/>
    <row r="1064" s="1" customFormat="1" x14ac:dyDescent="0.2"/>
    <row r="1065" s="1" customFormat="1" x14ac:dyDescent="0.2"/>
    <row r="1066" s="1" customFormat="1" x14ac:dyDescent="0.2"/>
    <row r="1067" s="1" customFormat="1" x14ac:dyDescent="0.2"/>
    <row r="1068" s="1" customFormat="1" x14ac:dyDescent="0.2"/>
    <row r="1069" s="1" customFormat="1" x14ac:dyDescent="0.2"/>
    <row r="1070" s="1" customFormat="1" x14ac:dyDescent="0.2"/>
    <row r="1071" s="1" customFormat="1" x14ac:dyDescent="0.2"/>
    <row r="1072" s="1" customFormat="1" x14ac:dyDescent="0.2"/>
    <row r="1073" s="1" customFormat="1" x14ac:dyDescent="0.2"/>
    <row r="1074" s="1" customFormat="1" x14ac:dyDescent="0.2"/>
    <row r="1075" s="1" customFormat="1" x14ac:dyDescent="0.2"/>
    <row r="1076" s="1" customFormat="1" x14ac:dyDescent="0.2"/>
    <row r="1077" s="1" customFormat="1" x14ac:dyDescent="0.2"/>
    <row r="1078" s="1" customFormat="1" x14ac:dyDescent="0.2"/>
    <row r="1079" s="1" customFormat="1" x14ac:dyDescent="0.2"/>
    <row r="1080" s="1" customFormat="1" x14ac:dyDescent="0.2"/>
    <row r="1081" s="1" customFormat="1" x14ac:dyDescent="0.2"/>
    <row r="1082" s="1" customFormat="1" x14ac:dyDescent="0.2"/>
    <row r="1083" s="1" customFormat="1" x14ac:dyDescent="0.2"/>
    <row r="1084" s="1" customFormat="1" x14ac:dyDescent="0.2"/>
    <row r="1085" s="1" customFormat="1" x14ac:dyDescent="0.2"/>
    <row r="1086" s="1" customFormat="1" x14ac:dyDescent="0.2"/>
    <row r="1087" s="1" customFormat="1" x14ac:dyDescent="0.2"/>
    <row r="1088" s="1" customFormat="1" x14ac:dyDescent="0.2"/>
    <row r="1089" s="1" customFormat="1" x14ac:dyDescent="0.2"/>
    <row r="1090" s="1" customFormat="1" x14ac:dyDescent="0.2"/>
    <row r="1091" s="1" customFormat="1" x14ac:dyDescent="0.2"/>
    <row r="1092" s="1" customFormat="1" x14ac:dyDescent="0.2"/>
    <row r="1093" s="1" customFormat="1" x14ac:dyDescent="0.2"/>
    <row r="1094" s="1" customFormat="1" x14ac:dyDescent="0.2"/>
    <row r="1095" s="1" customFormat="1" x14ac:dyDescent="0.2"/>
    <row r="1096" s="1" customFormat="1" x14ac:dyDescent="0.2"/>
    <row r="1097" s="1" customFormat="1" x14ac:dyDescent="0.2"/>
    <row r="1098" s="1" customFormat="1" x14ac:dyDescent="0.2"/>
    <row r="1099" s="1" customFormat="1" x14ac:dyDescent="0.2"/>
    <row r="1100" s="1" customFormat="1" x14ac:dyDescent="0.2"/>
    <row r="1101" s="1" customFormat="1" x14ac:dyDescent="0.2"/>
    <row r="1102" s="1" customFormat="1" x14ac:dyDescent="0.2"/>
    <row r="1103" s="1" customFormat="1" x14ac:dyDescent="0.2"/>
    <row r="1104" s="1" customFormat="1" x14ac:dyDescent="0.2"/>
    <row r="1105" s="1" customFormat="1" x14ac:dyDescent="0.2"/>
    <row r="1106" s="1" customFormat="1" x14ac:dyDescent="0.2"/>
    <row r="1107" s="1" customFormat="1" x14ac:dyDescent="0.2"/>
    <row r="1108" s="1" customFormat="1" x14ac:dyDescent="0.2"/>
    <row r="1109" s="1" customFormat="1" x14ac:dyDescent="0.2"/>
    <row r="1110" s="1" customFormat="1" x14ac:dyDescent="0.2"/>
    <row r="1111" s="1" customFormat="1" x14ac:dyDescent="0.2"/>
    <row r="1112" s="1" customFormat="1" x14ac:dyDescent="0.2"/>
    <row r="1113" s="1" customFormat="1" x14ac:dyDescent="0.2"/>
    <row r="1114" s="1" customFormat="1" x14ac:dyDescent="0.2"/>
    <row r="1115" s="1" customFormat="1" x14ac:dyDescent="0.2"/>
    <row r="1116" s="1" customFormat="1" x14ac:dyDescent="0.2"/>
    <row r="1117" s="1" customFormat="1" x14ac:dyDescent="0.2"/>
    <row r="1118" s="1" customFormat="1" x14ac:dyDescent="0.2"/>
    <row r="1119" s="1" customFormat="1" x14ac:dyDescent="0.2"/>
    <row r="1120" s="1" customFormat="1" x14ac:dyDescent="0.2"/>
    <row r="1121" s="1" customFormat="1" x14ac:dyDescent="0.2"/>
    <row r="1122" s="1" customFormat="1" x14ac:dyDescent="0.2"/>
    <row r="1123" s="1" customFormat="1" x14ac:dyDescent="0.2"/>
    <row r="1124" s="1" customFormat="1" x14ac:dyDescent="0.2"/>
    <row r="1125" s="1" customFormat="1" x14ac:dyDescent="0.2"/>
    <row r="1126" s="1" customFormat="1" x14ac:dyDescent="0.2"/>
    <row r="1127" s="1" customFormat="1" x14ac:dyDescent="0.2"/>
    <row r="1128" s="1" customFormat="1" x14ac:dyDescent="0.2"/>
    <row r="1129" s="1" customFormat="1" x14ac:dyDescent="0.2"/>
    <row r="1130" s="1" customFormat="1" x14ac:dyDescent="0.2"/>
    <row r="1131" s="1" customFormat="1" x14ac:dyDescent="0.2"/>
    <row r="1132" s="1" customFormat="1" x14ac:dyDescent="0.2"/>
    <row r="1133" s="1" customFormat="1" x14ac:dyDescent="0.2"/>
    <row r="1134" s="1" customFormat="1" x14ac:dyDescent="0.2"/>
    <row r="1135" s="1" customFormat="1" x14ac:dyDescent="0.2"/>
    <row r="1136" s="1" customFormat="1" x14ac:dyDescent="0.2"/>
    <row r="1137" s="1" customFormat="1" x14ac:dyDescent="0.2"/>
    <row r="1138" s="1" customFormat="1" x14ac:dyDescent="0.2"/>
    <row r="1139" s="1" customFormat="1" x14ac:dyDescent="0.2"/>
    <row r="1140" s="1" customFormat="1" x14ac:dyDescent="0.2"/>
    <row r="1141" s="1" customFormat="1" x14ac:dyDescent="0.2"/>
    <row r="1142" s="1" customFormat="1" x14ac:dyDescent="0.2"/>
    <row r="1143" s="1" customFormat="1" x14ac:dyDescent="0.2"/>
    <row r="1144" s="1" customFormat="1" x14ac:dyDescent="0.2"/>
    <row r="1145" s="1" customFormat="1" x14ac:dyDescent="0.2"/>
    <row r="1146" s="1" customFormat="1" x14ac:dyDescent="0.2"/>
    <row r="1147" s="1" customFormat="1" x14ac:dyDescent="0.2"/>
    <row r="1148" s="1" customFormat="1" x14ac:dyDescent="0.2"/>
    <row r="1149" s="1" customFormat="1" x14ac:dyDescent="0.2"/>
    <row r="1150" s="1" customFormat="1" x14ac:dyDescent="0.2"/>
    <row r="1151" s="1" customFormat="1" x14ac:dyDescent="0.2"/>
    <row r="1152" s="1" customFormat="1" x14ac:dyDescent="0.2"/>
    <row r="1153" s="1" customFormat="1" x14ac:dyDescent="0.2"/>
    <row r="1154" s="1" customFormat="1" x14ac:dyDescent="0.2"/>
    <row r="1155" s="1" customFormat="1" x14ac:dyDescent="0.2"/>
    <row r="1156" s="1" customFormat="1" x14ac:dyDescent="0.2"/>
    <row r="1157" s="1" customFormat="1" x14ac:dyDescent="0.2"/>
    <row r="1158" s="1" customFormat="1" x14ac:dyDescent="0.2"/>
    <row r="1159" s="1" customFormat="1" x14ac:dyDescent="0.2"/>
    <row r="1160" s="1" customFormat="1" x14ac:dyDescent="0.2"/>
    <row r="1161" s="1" customFormat="1" x14ac:dyDescent="0.2"/>
    <row r="1162" s="1" customFormat="1" x14ac:dyDescent="0.2"/>
    <row r="1163" s="1" customFormat="1" x14ac:dyDescent="0.2"/>
    <row r="1164" s="1" customFormat="1" x14ac:dyDescent="0.2"/>
    <row r="1165" s="1" customFormat="1" x14ac:dyDescent="0.2"/>
    <row r="1166" s="1" customFormat="1" x14ac:dyDescent="0.2"/>
    <row r="1167" s="1" customFormat="1" x14ac:dyDescent="0.2"/>
    <row r="1168" s="1" customFormat="1" x14ac:dyDescent="0.2"/>
    <row r="1169" s="1" customFormat="1" x14ac:dyDescent="0.2"/>
    <row r="1170" s="1" customFormat="1" x14ac:dyDescent="0.2"/>
    <row r="1171" s="1" customFormat="1" x14ac:dyDescent="0.2"/>
    <row r="1172" s="1" customFormat="1" x14ac:dyDescent="0.2"/>
    <row r="1173" s="1" customFormat="1" x14ac:dyDescent="0.2"/>
    <row r="1174" s="1" customFormat="1" x14ac:dyDescent="0.2"/>
    <row r="1175" s="1" customFormat="1" x14ac:dyDescent="0.2"/>
    <row r="1176" s="1" customFormat="1" x14ac:dyDescent="0.2"/>
    <row r="1177" s="1" customFormat="1" x14ac:dyDescent="0.2"/>
    <row r="1178" s="1" customFormat="1" x14ac:dyDescent="0.2"/>
    <row r="1179" s="1" customFormat="1" x14ac:dyDescent="0.2"/>
    <row r="1180" s="1" customFormat="1" x14ac:dyDescent="0.2"/>
    <row r="1181" s="1" customFormat="1" x14ac:dyDescent="0.2"/>
    <row r="1182" s="1" customFormat="1" x14ac:dyDescent="0.2"/>
    <row r="1183" s="1" customFormat="1" x14ac:dyDescent="0.2"/>
    <row r="1184" s="1" customFormat="1" x14ac:dyDescent="0.2"/>
    <row r="1185" s="1" customFormat="1" x14ac:dyDescent="0.2"/>
    <row r="1186" s="1" customFormat="1" x14ac:dyDescent="0.2"/>
    <row r="1187" s="1" customFormat="1" x14ac:dyDescent="0.2"/>
    <row r="1188" s="1" customFormat="1" x14ac:dyDescent="0.2"/>
    <row r="1189" s="1" customFormat="1" x14ac:dyDescent="0.2"/>
    <row r="1190" s="1" customFormat="1" x14ac:dyDescent="0.2"/>
    <row r="1191" s="1" customFormat="1" x14ac:dyDescent="0.2"/>
    <row r="1192" s="1" customFormat="1" x14ac:dyDescent="0.2"/>
    <row r="1193" s="1" customFormat="1" x14ac:dyDescent="0.2"/>
    <row r="1194" s="1" customFormat="1" x14ac:dyDescent="0.2"/>
    <row r="1195" s="1" customFormat="1" x14ac:dyDescent="0.2"/>
    <row r="1196" s="1" customFormat="1" x14ac:dyDescent="0.2"/>
    <row r="1197" s="1" customFormat="1" x14ac:dyDescent="0.2"/>
    <row r="1198" s="1" customFormat="1" x14ac:dyDescent="0.2"/>
    <row r="1199" s="1" customFormat="1" x14ac:dyDescent="0.2"/>
    <row r="1200" s="1" customFormat="1" x14ac:dyDescent="0.2"/>
    <row r="1201" s="1" customFormat="1" x14ac:dyDescent="0.2"/>
    <row r="1202" s="1" customFormat="1" x14ac:dyDescent="0.2"/>
    <row r="1203" s="1" customFormat="1" x14ac:dyDescent="0.2"/>
    <row r="1204" s="1" customFormat="1" x14ac:dyDescent="0.2"/>
    <row r="1205" s="1" customFormat="1" x14ac:dyDescent="0.2"/>
    <row r="1206" s="1" customFormat="1" x14ac:dyDescent="0.2"/>
    <row r="1207" s="1" customFormat="1" x14ac:dyDescent="0.2"/>
    <row r="1208" s="1" customFormat="1" x14ac:dyDescent="0.2"/>
    <row r="1209" s="1" customFormat="1" x14ac:dyDescent="0.2"/>
    <row r="1210" s="1" customFormat="1" x14ac:dyDescent="0.2"/>
    <row r="1211" s="1" customFormat="1" x14ac:dyDescent="0.2"/>
    <row r="1212" s="1" customFormat="1" x14ac:dyDescent="0.2"/>
    <row r="1213" s="1" customFormat="1" x14ac:dyDescent="0.2"/>
    <row r="1214" s="1" customFormat="1" x14ac:dyDescent="0.2"/>
    <row r="1215" s="1" customFormat="1" x14ac:dyDescent="0.2"/>
    <row r="1216" s="1" customFormat="1" x14ac:dyDescent="0.2"/>
    <row r="1217" s="1" customFormat="1" x14ac:dyDescent="0.2"/>
    <row r="1218" s="1" customFormat="1" x14ac:dyDescent="0.2"/>
    <row r="1219" s="1" customFormat="1" x14ac:dyDescent="0.2"/>
    <row r="1220" s="1" customFormat="1" x14ac:dyDescent="0.2"/>
    <row r="1221" s="1" customFormat="1" x14ac:dyDescent="0.2"/>
    <row r="1222" s="1" customFormat="1" x14ac:dyDescent="0.2"/>
    <row r="1223" s="1" customFormat="1" x14ac:dyDescent="0.2"/>
    <row r="1224" s="1" customFormat="1" x14ac:dyDescent="0.2"/>
    <row r="1225" s="1" customFormat="1" x14ac:dyDescent="0.2"/>
    <row r="1226" s="1" customFormat="1" x14ac:dyDescent="0.2"/>
    <row r="1227" s="1" customFormat="1" x14ac:dyDescent="0.2"/>
    <row r="1228" s="1" customFormat="1" x14ac:dyDescent="0.2"/>
    <row r="1229" s="1" customFormat="1" x14ac:dyDescent="0.2"/>
    <row r="1230" s="1" customFormat="1" x14ac:dyDescent="0.2"/>
    <row r="1231" s="1" customFormat="1" x14ac:dyDescent="0.2"/>
    <row r="1232" s="1" customFormat="1" x14ac:dyDescent="0.2"/>
    <row r="1233" s="1" customFormat="1" x14ac:dyDescent="0.2"/>
    <row r="1234" s="1" customFormat="1" x14ac:dyDescent="0.2"/>
    <row r="1235" s="1" customFormat="1" x14ac:dyDescent="0.2"/>
    <row r="1236" s="1" customFormat="1" x14ac:dyDescent="0.2"/>
    <row r="1237" s="1" customFormat="1" x14ac:dyDescent="0.2"/>
    <row r="1238" s="1" customFormat="1" x14ac:dyDescent="0.2"/>
    <row r="1239" s="1" customFormat="1" x14ac:dyDescent="0.2"/>
    <row r="1240" s="1" customFormat="1" x14ac:dyDescent="0.2"/>
    <row r="1241" s="1" customFormat="1" x14ac:dyDescent="0.2"/>
    <row r="1242" s="1" customFormat="1" x14ac:dyDescent="0.2"/>
    <row r="1243" s="1" customFormat="1" x14ac:dyDescent="0.2"/>
    <row r="1244" s="1" customFormat="1" x14ac:dyDescent="0.2"/>
    <row r="1245" s="1" customFormat="1" x14ac:dyDescent="0.2"/>
    <row r="1246" s="1" customFormat="1" x14ac:dyDescent="0.2"/>
    <row r="1247" s="1" customFormat="1" x14ac:dyDescent="0.2"/>
    <row r="1248" s="1" customFormat="1" x14ac:dyDescent="0.2"/>
    <row r="1249" s="1" customFormat="1" x14ac:dyDescent="0.2"/>
    <row r="1250" s="1" customFormat="1" x14ac:dyDescent="0.2"/>
    <row r="1251" s="1" customFormat="1" x14ac:dyDescent="0.2"/>
    <row r="1252" s="1" customFormat="1" x14ac:dyDescent="0.2"/>
    <row r="1253" s="1" customFormat="1" x14ac:dyDescent="0.2"/>
    <row r="1254" s="1" customFormat="1" x14ac:dyDescent="0.2"/>
    <row r="1255" s="1" customFormat="1" x14ac:dyDescent="0.2"/>
    <row r="1256" s="1" customFormat="1" x14ac:dyDescent="0.2"/>
    <row r="1257" s="1" customFormat="1" x14ac:dyDescent="0.2"/>
    <row r="1258" s="1" customFormat="1" x14ac:dyDescent="0.2"/>
    <row r="1259" s="1" customFormat="1" x14ac:dyDescent="0.2"/>
    <row r="1260" s="1" customFormat="1" x14ac:dyDescent="0.2"/>
    <row r="1261" s="1" customFormat="1" x14ac:dyDescent="0.2"/>
    <row r="1262" s="1" customFormat="1" x14ac:dyDescent="0.2"/>
    <row r="1263" s="1" customFormat="1" x14ac:dyDescent="0.2"/>
    <row r="1264" s="1" customFormat="1" x14ac:dyDescent="0.2"/>
    <row r="1265" s="1" customFormat="1" x14ac:dyDescent="0.2"/>
    <row r="1266" s="1" customFormat="1" x14ac:dyDescent="0.2"/>
    <row r="1267" s="1" customFormat="1" x14ac:dyDescent="0.2"/>
    <row r="1268" s="1" customFormat="1" x14ac:dyDescent="0.2"/>
    <row r="1269" s="1" customFormat="1" x14ac:dyDescent="0.2"/>
    <row r="1270" s="1" customFormat="1" x14ac:dyDescent="0.2"/>
    <row r="1271" s="1" customFormat="1" x14ac:dyDescent="0.2"/>
    <row r="1272" s="1" customFormat="1" x14ac:dyDescent="0.2"/>
    <row r="1273" s="1" customFormat="1" x14ac:dyDescent="0.2"/>
    <row r="1274" s="1" customFormat="1" x14ac:dyDescent="0.2"/>
    <row r="1275" s="1" customFormat="1" x14ac:dyDescent="0.2"/>
    <row r="1276" s="1" customFormat="1" x14ac:dyDescent="0.2"/>
    <row r="1277" s="1" customFormat="1" x14ac:dyDescent="0.2"/>
    <row r="1278" s="1" customFormat="1" x14ac:dyDescent="0.2"/>
    <row r="1279" s="1" customFormat="1" x14ac:dyDescent="0.2"/>
    <row r="1280" s="1" customFormat="1" x14ac:dyDescent="0.2"/>
    <row r="1281" s="1" customFormat="1" x14ac:dyDescent="0.2"/>
    <row r="1282" s="1" customFormat="1" x14ac:dyDescent="0.2"/>
    <row r="1283" s="1" customFormat="1" x14ac:dyDescent="0.2"/>
    <row r="1284" s="1" customFormat="1" x14ac:dyDescent="0.2"/>
    <row r="1285" s="1" customFormat="1" x14ac:dyDescent="0.2"/>
    <row r="1286" s="1" customFormat="1" x14ac:dyDescent="0.2"/>
    <row r="1287" s="1" customFormat="1" x14ac:dyDescent="0.2"/>
    <row r="1288" s="1" customFormat="1" x14ac:dyDescent="0.2"/>
    <row r="1289" s="1" customFormat="1" x14ac:dyDescent="0.2"/>
    <row r="1290" s="1" customFormat="1" x14ac:dyDescent="0.2"/>
    <row r="1291" s="1" customFormat="1" x14ac:dyDescent="0.2"/>
    <row r="1292" s="1" customFormat="1" x14ac:dyDescent="0.2"/>
    <row r="1293" s="1" customFormat="1" x14ac:dyDescent="0.2"/>
    <row r="1294" s="1" customFormat="1" x14ac:dyDescent="0.2"/>
    <row r="1295" s="1" customFormat="1" x14ac:dyDescent="0.2"/>
    <row r="1296" s="1" customFormat="1" x14ac:dyDescent="0.2"/>
    <row r="1297" s="1" customFormat="1" x14ac:dyDescent="0.2"/>
    <row r="1298" s="1" customFormat="1" x14ac:dyDescent="0.2"/>
    <row r="1299" s="1" customFormat="1" x14ac:dyDescent="0.2"/>
    <row r="1300" s="1" customFormat="1" x14ac:dyDescent="0.2"/>
    <row r="1301" s="1" customFormat="1" x14ac:dyDescent="0.2"/>
    <row r="1302" s="1" customFormat="1" x14ac:dyDescent="0.2"/>
    <row r="1303" s="1" customFormat="1" x14ac:dyDescent="0.2"/>
    <row r="1304" s="1" customFormat="1" x14ac:dyDescent="0.2"/>
    <row r="1305" s="1" customFormat="1" x14ac:dyDescent="0.2"/>
    <row r="1306" s="1" customFormat="1" x14ac:dyDescent="0.2"/>
    <row r="1307" s="1" customFormat="1" x14ac:dyDescent="0.2"/>
    <row r="1308" s="1" customFormat="1" x14ac:dyDescent="0.2"/>
    <row r="1309" s="1" customFormat="1" x14ac:dyDescent="0.2"/>
    <row r="1310" s="1" customFormat="1" x14ac:dyDescent="0.2"/>
    <row r="1311" s="1" customFormat="1" x14ac:dyDescent="0.2"/>
    <row r="1312" s="1" customFormat="1" x14ac:dyDescent="0.2"/>
    <row r="1313" s="1" customFormat="1" x14ac:dyDescent="0.2"/>
    <row r="1314" s="1" customFormat="1" x14ac:dyDescent="0.2"/>
    <row r="1315" s="1" customFormat="1" x14ac:dyDescent="0.2"/>
    <row r="1316" s="1" customFormat="1" x14ac:dyDescent="0.2"/>
    <row r="1317" s="1" customFormat="1" x14ac:dyDescent="0.2"/>
    <row r="1318" s="1" customFormat="1" x14ac:dyDescent="0.2"/>
    <row r="1319" s="1" customFormat="1" x14ac:dyDescent="0.2"/>
    <row r="1320" s="1" customFormat="1" x14ac:dyDescent="0.2"/>
    <row r="1321" s="1" customFormat="1" x14ac:dyDescent="0.2"/>
    <row r="1322" s="1" customFormat="1" x14ac:dyDescent="0.2"/>
    <row r="1323" s="1" customFormat="1" x14ac:dyDescent="0.2"/>
    <row r="1324" s="1" customFormat="1" x14ac:dyDescent="0.2"/>
    <row r="1325" s="1" customFormat="1" x14ac:dyDescent="0.2"/>
    <row r="1326" s="1" customFormat="1" x14ac:dyDescent="0.2"/>
    <row r="1327" s="1" customFormat="1" x14ac:dyDescent="0.2"/>
    <row r="1328" s="1" customFormat="1" x14ac:dyDescent="0.2"/>
    <row r="1329" s="1" customFormat="1" x14ac:dyDescent="0.2"/>
    <row r="1330" s="1" customFormat="1" x14ac:dyDescent="0.2"/>
    <row r="1331" s="1" customFormat="1" x14ac:dyDescent="0.2"/>
    <row r="1332" s="1" customFormat="1" x14ac:dyDescent="0.2"/>
    <row r="1333" s="1" customFormat="1" x14ac:dyDescent="0.2"/>
    <row r="1334" s="1" customFormat="1" x14ac:dyDescent="0.2"/>
    <row r="1335" s="1" customFormat="1" x14ac:dyDescent="0.2"/>
    <row r="1336" s="1" customFormat="1" x14ac:dyDescent="0.2"/>
    <row r="1337" s="1" customFormat="1" x14ac:dyDescent="0.2"/>
    <row r="1338" s="1" customFormat="1" x14ac:dyDescent="0.2"/>
    <row r="1339" s="1" customFormat="1" x14ac:dyDescent="0.2"/>
    <row r="1340" s="1" customFormat="1" x14ac:dyDescent="0.2"/>
    <row r="1341" s="1" customFormat="1" x14ac:dyDescent="0.2"/>
    <row r="1342" s="1" customFormat="1" x14ac:dyDescent="0.2"/>
    <row r="1343" s="1" customFormat="1" x14ac:dyDescent="0.2"/>
    <row r="1344" s="1" customFormat="1" x14ac:dyDescent="0.2"/>
    <row r="1345" s="1" customFormat="1" x14ac:dyDescent="0.2"/>
    <row r="1346" s="1" customFormat="1" x14ac:dyDescent="0.2"/>
    <row r="1347" s="1" customFormat="1" x14ac:dyDescent="0.2"/>
    <row r="1348" s="1" customFormat="1" x14ac:dyDescent="0.2"/>
    <row r="1349" s="1" customFormat="1" x14ac:dyDescent="0.2"/>
    <row r="1350" s="1" customFormat="1" x14ac:dyDescent="0.2"/>
    <row r="1351" s="1" customFormat="1" x14ac:dyDescent="0.2"/>
    <row r="1352" s="1" customFormat="1" x14ac:dyDescent="0.2"/>
    <row r="1353" s="1" customFormat="1" x14ac:dyDescent="0.2"/>
    <row r="1354" s="1" customFormat="1" x14ac:dyDescent="0.2"/>
    <row r="1355" s="1" customFormat="1" x14ac:dyDescent="0.2"/>
    <row r="1356" s="1" customFormat="1" x14ac:dyDescent="0.2"/>
    <row r="1357" s="1" customFormat="1" x14ac:dyDescent="0.2"/>
    <row r="1358" s="1" customFormat="1" x14ac:dyDescent="0.2"/>
    <row r="1359" s="1" customFormat="1" x14ac:dyDescent="0.2"/>
    <row r="1360" s="1" customFormat="1" x14ac:dyDescent="0.2"/>
    <row r="1361" s="1" customFormat="1" x14ac:dyDescent="0.2"/>
    <row r="1362" s="1" customFormat="1" x14ac:dyDescent="0.2"/>
    <row r="1363" s="1" customFormat="1" x14ac:dyDescent="0.2"/>
    <row r="1364" s="1" customFormat="1" x14ac:dyDescent="0.2"/>
    <row r="1365" s="1" customFormat="1" x14ac:dyDescent="0.2"/>
    <row r="1366" s="1" customFormat="1" x14ac:dyDescent="0.2"/>
    <row r="1367" s="1" customFormat="1" x14ac:dyDescent="0.2"/>
    <row r="1368" s="1" customFormat="1" x14ac:dyDescent="0.2"/>
    <row r="1369" s="1" customFormat="1" x14ac:dyDescent="0.2"/>
    <row r="1370" s="1" customFormat="1" x14ac:dyDescent="0.2"/>
    <row r="1371" s="1" customFormat="1" x14ac:dyDescent="0.2"/>
    <row r="1372" s="1" customFormat="1" x14ac:dyDescent="0.2"/>
    <row r="1373" s="1" customFormat="1" x14ac:dyDescent="0.2"/>
    <row r="1374" s="1" customFormat="1" x14ac:dyDescent="0.2"/>
    <row r="1375" s="1" customFormat="1" x14ac:dyDescent="0.2"/>
    <row r="1376" s="1" customFormat="1" x14ac:dyDescent="0.2"/>
    <row r="1377" s="1" customFormat="1" x14ac:dyDescent="0.2"/>
    <row r="1378" s="1" customFormat="1" x14ac:dyDescent="0.2"/>
    <row r="1379" s="1" customFormat="1" x14ac:dyDescent="0.2"/>
    <row r="1380" s="1" customFormat="1" x14ac:dyDescent="0.2"/>
    <row r="1381" s="1" customFormat="1" x14ac:dyDescent="0.2"/>
    <row r="1382" s="1" customFormat="1" x14ac:dyDescent="0.2"/>
    <row r="1383" s="1" customFormat="1" x14ac:dyDescent="0.2"/>
    <row r="1384" s="1" customFormat="1" x14ac:dyDescent="0.2"/>
    <row r="1385" s="1" customFormat="1" x14ac:dyDescent="0.2"/>
    <row r="1386" s="1" customFormat="1" x14ac:dyDescent="0.2"/>
    <row r="1387" s="1" customFormat="1" x14ac:dyDescent="0.2"/>
    <row r="1388" s="1" customFormat="1" x14ac:dyDescent="0.2"/>
    <row r="1389" s="1" customFormat="1" x14ac:dyDescent="0.2"/>
    <row r="1390" s="1" customFormat="1" x14ac:dyDescent="0.2"/>
    <row r="1391" s="1" customFormat="1" x14ac:dyDescent="0.2"/>
    <row r="1392" s="1" customFormat="1" x14ac:dyDescent="0.2"/>
    <row r="1393" s="1" customFormat="1" x14ac:dyDescent="0.2"/>
    <row r="1394" s="1" customFormat="1" x14ac:dyDescent="0.2"/>
    <row r="1395" s="1" customFormat="1" x14ac:dyDescent="0.2"/>
    <row r="1396" s="1" customFormat="1" x14ac:dyDescent="0.2"/>
    <row r="1397" s="1" customFormat="1" x14ac:dyDescent="0.2"/>
    <row r="1398" s="1" customFormat="1" x14ac:dyDescent="0.2"/>
    <row r="1399" s="1" customFormat="1" x14ac:dyDescent="0.2"/>
    <row r="1400" s="1" customFormat="1" x14ac:dyDescent="0.2"/>
    <row r="1401" s="1" customFormat="1" x14ac:dyDescent="0.2"/>
    <row r="1402" s="1" customFormat="1" x14ac:dyDescent="0.2"/>
    <row r="1403" s="1" customFormat="1" x14ac:dyDescent="0.2"/>
    <row r="1404" s="1" customFormat="1" x14ac:dyDescent="0.2"/>
    <row r="1405" s="1" customFormat="1" x14ac:dyDescent="0.2"/>
    <row r="1406" s="1" customFormat="1" x14ac:dyDescent="0.2"/>
    <row r="1407" s="1" customFormat="1" x14ac:dyDescent="0.2"/>
    <row r="1408" s="1" customFormat="1" x14ac:dyDescent="0.2"/>
    <row r="1409" s="1" customFormat="1" x14ac:dyDescent="0.2"/>
    <row r="1410" s="1" customFormat="1" x14ac:dyDescent="0.2"/>
    <row r="1411" s="1" customFormat="1" x14ac:dyDescent="0.2"/>
    <row r="1412" s="1" customFormat="1" x14ac:dyDescent="0.2"/>
    <row r="1413" s="1" customFormat="1" x14ac:dyDescent="0.2"/>
    <row r="1414" s="1" customFormat="1" x14ac:dyDescent="0.2"/>
    <row r="1415" s="1" customFormat="1" x14ac:dyDescent="0.2"/>
    <row r="1416" s="1" customFormat="1" x14ac:dyDescent="0.2"/>
    <row r="1417" s="1" customFormat="1" x14ac:dyDescent="0.2"/>
    <row r="1418" s="1" customFormat="1" x14ac:dyDescent="0.2"/>
    <row r="1419" s="1" customFormat="1" x14ac:dyDescent="0.2"/>
    <row r="1420" s="1" customFormat="1" x14ac:dyDescent="0.2"/>
    <row r="1421" s="1" customFormat="1" x14ac:dyDescent="0.2"/>
    <row r="1422" s="1" customFormat="1" x14ac:dyDescent="0.2"/>
    <row r="1423" s="1" customFormat="1" x14ac:dyDescent="0.2"/>
    <row r="1424" s="1" customFormat="1" x14ac:dyDescent="0.2"/>
    <row r="1425" s="1" customFormat="1" x14ac:dyDescent="0.2"/>
    <row r="1426" s="1" customFormat="1" x14ac:dyDescent="0.2"/>
    <row r="1427" s="1" customFormat="1" x14ac:dyDescent="0.2"/>
    <row r="1428" s="1" customFormat="1" x14ac:dyDescent="0.2"/>
    <row r="1429" s="1" customFormat="1" x14ac:dyDescent="0.2"/>
    <row r="1430" s="1" customFormat="1" x14ac:dyDescent="0.2"/>
    <row r="1431" s="1" customFormat="1" x14ac:dyDescent="0.2"/>
    <row r="1432" s="1" customFormat="1" x14ac:dyDescent="0.2"/>
    <row r="1433" s="1" customFormat="1" x14ac:dyDescent="0.2"/>
    <row r="1434" s="1" customFormat="1" x14ac:dyDescent="0.2"/>
    <row r="1435" s="1" customFormat="1" x14ac:dyDescent="0.2"/>
    <row r="1436" s="1" customFormat="1" x14ac:dyDescent="0.2"/>
    <row r="1437" s="1" customFormat="1" x14ac:dyDescent="0.2"/>
    <row r="1438" s="1" customFormat="1" x14ac:dyDescent="0.2"/>
    <row r="1439" s="1" customFormat="1" x14ac:dyDescent="0.2"/>
    <row r="1440" s="1" customFormat="1" x14ac:dyDescent="0.2"/>
    <row r="1441" s="1" customFormat="1" x14ac:dyDescent="0.2"/>
    <row r="1442" s="1" customFormat="1" x14ac:dyDescent="0.2"/>
    <row r="1443" s="1" customFormat="1" x14ac:dyDescent="0.2"/>
    <row r="1444" s="1" customFormat="1" x14ac:dyDescent="0.2"/>
    <row r="1445" s="1" customFormat="1" x14ac:dyDescent="0.2"/>
    <row r="1446" s="1" customFormat="1" x14ac:dyDescent="0.2"/>
    <row r="1447" s="1" customFormat="1" x14ac:dyDescent="0.2"/>
    <row r="1448" s="1" customFormat="1" x14ac:dyDescent="0.2"/>
    <row r="1449" s="1" customFormat="1" x14ac:dyDescent="0.2"/>
    <row r="1450" s="1" customFormat="1" x14ac:dyDescent="0.2"/>
    <row r="1451" s="1" customFormat="1" x14ac:dyDescent="0.2"/>
    <row r="1452" s="1" customFormat="1" x14ac:dyDescent="0.2"/>
    <row r="1453" s="1" customFormat="1" x14ac:dyDescent="0.2"/>
    <row r="1454" s="1" customFormat="1" x14ac:dyDescent="0.2"/>
    <row r="1455" s="1" customFormat="1" x14ac:dyDescent="0.2"/>
    <row r="1456" s="1" customFormat="1" x14ac:dyDescent="0.2"/>
    <row r="1457" s="1" customFormat="1" x14ac:dyDescent="0.2"/>
    <row r="1458" s="1" customFormat="1" x14ac:dyDescent="0.2"/>
    <row r="1459" s="1" customFormat="1" x14ac:dyDescent="0.2"/>
    <row r="1460" s="1" customFormat="1" x14ac:dyDescent="0.2"/>
    <row r="1461" s="1" customFormat="1" x14ac:dyDescent="0.2"/>
    <row r="1462" s="1" customFormat="1" x14ac:dyDescent="0.2"/>
    <row r="1463" s="1" customFormat="1" x14ac:dyDescent="0.2"/>
    <row r="1464" s="1" customFormat="1" x14ac:dyDescent="0.2"/>
    <row r="1465" s="1" customFormat="1" x14ac:dyDescent="0.2"/>
    <row r="1466" s="1" customFormat="1" x14ac:dyDescent="0.2"/>
    <row r="1467" s="1" customFormat="1" x14ac:dyDescent="0.2"/>
    <row r="1468" s="1" customFormat="1" x14ac:dyDescent="0.2"/>
    <row r="1469" s="1" customFormat="1" x14ac:dyDescent="0.2"/>
    <row r="1470" s="1" customFormat="1" x14ac:dyDescent="0.2"/>
    <row r="1471" s="1" customFormat="1" x14ac:dyDescent="0.2"/>
    <row r="1472" s="1" customFormat="1" x14ac:dyDescent="0.2"/>
    <row r="1473" s="1" customFormat="1" x14ac:dyDescent="0.2"/>
    <row r="1474" s="1" customFormat="1" x14ac:dyDescent="0.2"/>
    <row r="1475" s="1" customFormat="1" x14ac:dyDescent="0.2"/>
    <row r="1476" s="1" customFormat="1" x14ac:dyDescent="0.2"/>
    <row r="1477" s="1" customFormat="1" x14ac:dyDescent="0.2"/>
    <row r="1478" s="1" customFormat="1" x14ac:dyDescent="0.2"/>
    <row r="1479" s="1" customFormat="1" x14ac:dyDescent="0.2"/>
    <row r="1480" s="1" customFormat="1" x14ac:dyDescent="0.2"/>
    <row r="1481" s="1" customFormat="1" x14ac:dyDescent="0.2"/>
    <row r="1482" s="1" customFormat="1" x14ac:dyDescent="0.2"/>
    <row r="1483" s="1" customFormat="1" x14ac:dyDescent="0.2"/>
    <row r="1484" s="1" customFormat="1" x14ac:dyDescent="0.2"/>
    <row r="1485" s="1" customFormat="1" x14ac:dyDescent="0.2"/>
    <row r="1486" s="1" customFormat="1" x14ac:dyDescent="0.2"/>
    <row r="1487" s="1" customFormat="1" x14ac:dyDescent="0.2"/>
    <row r="1488" s="1" customFormat="1" x14ac:dyDescent="0.2"/>
    <row r="1489" s="1" customFormat="1" x14ac:dyDescent="0.2"/>
    <row r="1490" s="1" customFormat="1" x14ac:dyDescent="0.2"/>
    <row r="1491" s="1" customFormat="1" x14ac:dyDescent="0.2"/>
    <row r="1492" s="1" customFormat="1" x14ac:dyDescent="0.2"/>
    <row r="1493" s="1" customFormat="1" x14ac:dyDescent="0.2"/>
    <row r="1494" s="1" customFormat="1" x14ac:dyDescent="0.2"/>
    <row r="1495" s="1" customFormat="1" x14ac:dyDescent="0.2"/>
    <row r="1496" s="1" customFormat="1" x14ac:dyDescent="0.2"/>
    <row r="1497" s="1" customFormat="1" x14ac:dyDescent="0.2"/>
    <row r="1498" s="1" customFormat="1" x14ac:dyDescent="0.2"/>
    <row r="1499" s="1" customFormat="1" x14ac:dyDescent="0.2"/>
    <row r="1500" s="1" customFormat="1" x14ac:dyDescent="0.2"/>
    <row r="1501" s="1" customFormat="1" x14ac:dyDescent="0.2"/>
    <row r="1502" s="1" customFormat="1" x14ac:dyDescent="0.2"/>
    <row r="1503" s="1" customFormat="1" x14ac:dyDescent="0.2"/>
    <row r="1504" s="1" customFormat="1" x14ac:dyDescent="0.2"/>
    <row r="1505" s="1" customFormat="1" x14ac:dyDescent="0.2"/>
    <row r="1506" s="1" customFormat="1" x14ac:dyDescent="0.2"/>
    <row r="1507" s="1" customFormat="1" x14ac:dyDescent="0.2"/>
    <row r="1508" s="1" customFormat="1" x14ac:dyDescent="0.2"/>
    <row r="1509" s="1" customFormat="1" x14ac:dyDescent="0.2"/>
    <row r="1510" s="1" customFormat="1" x14ac:dyDescent="0.2"/>
    <row r="1511" s="1" customFormat="1" x14ac:dyDescent="0.2"/>
    <row r="1512" s="1" customFormat="1" x14ac:dyDescent="0.2"/>
    <row r="1513" s="1" customFormat="1" x14ac:dyDescent="0.2"/>
    <row r="1514" s="1" customFormat="1" x14ac:dyDescent="0.2"/>
    <row r="1515" s="1" customFormat="1" x14ac:dyDescent="0.2"/>
    <row r="1516" s="1" customFormat="1" x14ac:dyDescent="0.2"/>
    <row r="1517" s="1" customFormat="1" x14ac:dyDescent="0.2"/>
    <row r="1518" s="1" customFormat="1" x14ac:dyDescent="0.2"/>
    <row r="1519" s="1" customFormat="1" x14ac:dyDescent="0.2"/>
    <row r="1520" s="1" customFormat="1" x14ac:dyDescent="0.2"/>
    <row r="1521" s="1" customFormat="1" x14ac:dyDescent="0.2"/>
    <row r="1522" s="1" customFormat="1" x14ac:dyDescent="0.2"/>
    <row r="1523" s="1" customFormat="1" x14ac:dyDescent="0.2"/>
    <row r="1524" s="1" customFormat="1" x14ac:dyDescent="0.2"/>
    <row r="1525" s="1" customFormat="1" x14ac:dyDescent="0.2"/>
    <row r="1526" s="1" customFormat="1" x14ac:dyDescent="0.2"/>
    <row r="1527" s="1" customFormat="1" x14ac:dyDescent="0.2"/>
    <row r="1528" s="1" customFormat="1" x14ac:dyDescent="0.2"/>
    <row r="1529" s="1" customFormat="1" x14ac:dyDescent="0.2"/>
    <row r="1530" s="1" customFormat="1" x14ac:dyDescent="0.2"/>
    <row r="1531" s="1" customFormat="1" x14ac:dyDescent="0.2"/>
    <row r="1532" s="1" customFormat="1" x14ac:dyDescent="0.2"/>
    <row r="1533" s="1" customFormat="1" x14ac:dyDescent="0.2"/>
    <row r="1534" s="1" customFormat="1" x14ac:dyDescent="0.2"/>
    <row r="1535" s="1" customFormat="1" x14ac:dyDescent="0.2"/>
    <row r="1536" s="1" customFormat="1" x14ac:dyDescent="0.2"/>
    <row r="1537" s="1" customFormat="1" x14ac:dyDescent="0.2"/>
    <row r="1538" s="1" customFormat="1" x14ac:dyDescent="0.2"/>
    <row r="1539" s="1" customFormat="1" x14ac:dyDescent="0.2"/>
    <row r="1540" s="1" customFormat="1" x14ac:dyDescent="0.2"/>
    <row r="1541" s="1" customFormat="1" x14ac:dyDescent="0.2"/>
    <row r="1542" s="1" customFormat="1" x14ac:dyDescent="0.2"/>
    <row r="1543" s="1" customFormat="1" x14ac:dyDescent="0.2"/>
    <row r="1544" s="1" customFormat="1" x14ac:dyDescent="0.2"/>
    <row r="1545" s="1" customFormat="1" x14ac:dyDescent="0.2"/>
    <row r="1546" s="1" customFormat="1" x14ac:dyDescent="0.2"/>
    <row r="1547" s="1" customFormat="1" x14ac:dyDescent="0.2"/>
    <row r="1548" s="1" customFormat="1" x14ac:dyDescent="0.2"/>
    <row r="1549" s="1" customFormat="1" x14ac:dyDescent="0.2"/>
    <row r="1550" s="1" customFormat="1" x14ac:dyDescent="0.2"/>
    <row r="1551" s="1" customFormat="1" x14ac:dyDescent="0.2"/>
    <row r="1552" s="1" customFormat="1" x14ac:dyDescent="0.2"/>
    <row r="1553" s="1" customFormat="1" x14ac:dyDescent="0.2"/>
    <row r="1554" s="1" customFormat="1" x14ac:dyDescent="0.2"/>
    <row r="1555" s="1" customFormat="1" x14ac:dyDescent="0.2"/>
    <row r="1556" s="1" customFormat="1" x14ac:dyDescent="0.2"/>
    <row r="1557" s="1" customFormat="1" x14ac:dyDescent="0.2"/>
    <row r="1558" s="1" customFormat="1" x14ac:dyDescent="0.2"/>
    <row r="1559" s="1" customFormat="1" x14ac:dyDescent="0.2"/>
    <row r="1560" s="1" customFormat="1" x14ac:dyDescent="0.2"/>
    <row r="1561" s="1" customFormat="1" x14ac:dyDescent="0.2"/>
    <row r="1562" s="1" customFormat="1" x14ac:dyDescent="0.2"/>
    <row r="1563" s="1" customFormat="1" x14ac:dyDescent="0.2"/>
    <row r="1564" s="1" customFormat="1" x14ac:dyDescent="0.2"/>
    <row r="1565" s="1" customFormat="1" x14ac:dyDescent="0.2"/>
    <row r="1566" s="1" customFormat="1" x14ac:dyDescent="0.2"/>
    <row r="1567" s="1" customFormat="1" x14ac:dyDescent="0.2"/>
    <row r="1568" s="1" customFormat="1" x14ac:dyDescent="0.2"/>
    <row r="1569" s="1" customFormat="1" x14ac:dyDescent="0.2"/>
    <row r="1570" s="1" customFormat="1" x14ac:dyDescent="0.2"/>
    <row r="1571" s="1" customFormat="1" x14ac:dyDescent="0.2"/>
    <row r="1572" s="1" customFormat="1" x14ac:dyDescent="0.2"/>
    <row r="1573" s="1" customFormat="1" x14ac:dyDescent="0.2"/>
    <row r="1574" s="1" customFormat="1" x14ac:dyDescent="0.2"/>
    <row r="1575" s="1" customFormat="1" x14ac:dyDescent="0.2"/>
    <row r="1576" s="1" customFormat="1" x14ac:dyDescent="0.2"/>
    <row r="1577" s="1" customFormat="1" x14ac:dyDescent="0.2"/>
    <row r="1578" s="1" customFormat="1" x14ac:dyDescent="0.2"/>
    <row r="1579" s="1" customFormat="1" x14ac:dyDescent="0.2"/>
    <row r="1580" s="1" customFormat="1" x14ac:dyDescent="0.2"/>
    <row r="1581" s="1" customFormat="1" x14ac:dyDescent="0.2"/>
    <row r="1582" s="1" customFormat="1" x14ac:dyDescent="0.2"/>
    <row r="1583" s="1" customFormat="1" x14ac:dyDescent="0.2"/>
    <row r="1584" s="1" customFormat="1" x14ac:dyDescent="0.2"/>
    <row r="1585" s="1" customFormat="1" x14ac:dyDescent="0.2"/>
    <row r="1586" s="1" customFormat="1" x14ac:dyDescent="0.2"/>
    <row r="1587" s="1" customFormat="1" x14ac:dyDescent="0.2"/>
    <row r="1588" s="1" customFormat="1" x14ac:dyDescent="0.2"/>
    <row r="1589" s="1" customFormat="1" x14ac:dyDescent="0.2"/>
    <row r="1590" s="1" customFormat="1" x14ac:dyDescent="0.2"/>
    <row r="1591" s="1" customFormat="1" x14ac:dyDescent="0.2"/>
    <row r="1592" s="1" customFormat="1" x14ac:dyDescent="0.2"/>
    <row r="1593" s="1" customFormat="1" x14ac:dyDescent="0.2"/>
    <row r="1594" s="1" customFormat="1" x14ac:dyDescent="0.2"/>
    <row r="1595" s="1" customFormat="1" x14ac:dyDescent="0.2"/>
    <row r="1596" s="1" customFormat="1" x14ac:dyDescent="0.2"/>
    <row r="1597" s="1" customFormat="1" x14ac:dyDescent="0.2"/>
    <row r="1598" s="1" customFormat="1" x14ac:dyDescent="0.2"/>
    <row r="1599" s="1" customFormat="1" x14ac:dyDescent="0.2"/>
    <row r="1600" s="1" customFormat="1" x14ac:dyDescent="0.2"/>
    <row r="1601" s="1" customFormat="1" x14ac:dyDescent="0.2"/>
    <row r="1602" s="1" customFormat="1" x14ac:dyDescent="0.2"/>
    <row r="1603" s="1" customFormat="1" x14ac:dyDescent="0.2"/>
    <row r="1604" s="1" customFormat="1" x14ac:dyDescent="0.2"/>
    <row r="1605" s="1" customFormat="1" x14ac:dyDescent="0.2"/>
    <row r="1606" s="1" customFormat="1" x14ac:dyDescent="0.2"/>
    <row r="1607" s="1" customFormat="1" x14ac:dyDescent="0.2"/>
    <row r="1608" s="1" customFormat="1" x14ac:dyDescent="0.2"/>
    <row r="1609" s="1" customFormat="1" x14ac:dyDescent="0.2"/>
    <row r="1610" s="1" customFormat="1" x14ac:dyDescent="0.2"/>
    <row r="1611" s="1" customFormat="1" x14ac:dyDescent="0.2"/>
    <row r="1612" s="1" customFormat="1" x14ac:dyDescent="0.2"/>
    <row r="1613" s="1" customFormat="1" x14ac:dyDescent="0.2"/>
    <row r="1614" s="1" customFormat="1" x14ac:dyDescent="0.2"/>
    <row r="1615" s="1" customFormat="1" x14ac:dyDescent="0.2"/>
    <row r="1616" s="1" customFormat="1" x14ac:dyDescent="0.2"/>
    <row r="1617" s="1" customFormat="1" x14ac:dyDescent="0.2"/>
    <row r="1618" s="1" customFormat="1" x14ac:dyDescent="0.2"/>
    <row r="1619" s="1" customFormat="1" x14ac:dyDescent="0.2"/>
    <row r="1620" s="1" customFormat="1" x14ac:dyDescent="0.2"/>
    <row r="1621" s="1" customFormat="1" x14ac:dyDescent="0.2"/>
    <row r="1622" s="1" customFormat="1" x14ac:dyDescent="0.2"/>
    <row r="1623" s="1" customFormat="1" x14ac:dyDescent="0.2"/>
    <row r="1624" s="1" customFormat="1" x14ac:dyDescent="0.2"/>
    <row r="1625" s="1" customFormat="1" x14ac:dyDescent="0.2"/>
    <row r="1626" s="1" customFormat="1" x14ac:dyDescent="0.2"/>
    <row r="1627" s="1" customFormat="1" x14ac:dyDescent="0.2"/>
    <row r="1628" s="1" customFormat="1" x14ac:dyDescent="0.2"/>
    <row r="1629" s="1" customFormat="1" x14ac:dyDescent="0.2"/>
    <row r="1630" s="1" customFormat="1" x14ac:dyDescent="0.2"/>
    <row r="1631" s="1" customFormat="1" x14ac:dyDescent="0.2"/>
    <row r="1632" s="1" customFormat="1" x14ac:dyDescent="0.2"/>
    <row r="1633" s="1" customFormat="1" x14ac:dyDescent="0.2"/>
    <row r="1634" s="1" customFormat="1" x14ac:dyDescent="0.2"/>
    <row r="1635" s="1" customFormat="1" x14ac:dyDescent="0.2"/>
    <row r="1636" s="1" customFormat="1" x14ac:dyDescent="0.2"/>
    <row r="1637" s="1" customFormat="1" x14ac:dyDescent="0.2"/>
    <row r="1638" s="1" customFormat="1" x14ac:dyDescent="0.2"/>
    <row r="1639" s="1" customFormat="1" x14ac:dyDescent="0.2"/>
    <row r="1640" s="1" customFormat="1" x14ac:dyDescent="0.2"/>
    <row r="1641" s="1" customFormat="1" x14ac:dyDescent="0.2"/>
    <row r="1642" s="1" customFormat="1" x14ac:dyDescent="0.2"/>
    <row r="1643" s="1" customFormat="1" x14ac:dyDescent="0.2"/>
    <row r="1644" s="1" customFormat="1" x14ac:dyDescent="0.2"/>
    <row r="1645" s="1" customFormat="1" x14ac:dyDescent="0.2"/>
    <row r="1646" s="1" customFormat="1" x14ac:dyDescent="0.2"/>
    <row r="1647" s="1" customFormat="1" x14ac:dyDescent="0.2"/>
    <row r="1648" s="1" customFormat="1" x14ac:dyDescent="0.2"/>
    <row r="1649" s="1" customFormat="1" x14ac:dyDescent="0.2"/>
    <row r="1650" s="1" customFormat="1" x14ac:dyDescent="0.2"/>
    <row r="1651" s="1" customFormat="1" x14ac:dyDescent="0.2"/>
    <row r="1652" s="1" customFormat="1" x14ac:dyDescent="0.2"/>
    <row r="1653" s="1" customFormat="1" x14ac:dyDescent="0.2"/>
    <row r="1654" s="1" customFormat="1" x14ac:dyDescent="0.2"/>
    <row r="1655" s="1" customFormat="1" x14ac:dyDescent="0.2"/>
    <row r="1656" s="1" customFormat="1" x14ac:dyDescent="0.2"/>
    <row r="1657" s="1" customFormat="1" x14ac:dyDescent="0.2"/>
    <row r="1658" s="1" customFormat="1" x14ac:dyDescent="0.2"/>
    <row r="1659" s="1" customFormat="1" x14ac:dyDescent="0.2"/>
    <row r="1660" s="1" customFormat="1" x14ac:dyDescent="0.2"/>
    <row r="1661" s="1" customFormat="1" x14ac:dyDescent="0.2"/>
    <row r="1662" s="1" customFormat="1" x14ac:dyDescent="0.2"/>
    <row r="1663" s="1" customFormat="1" x14ac:dyDescent="0.2"/>
    <row r="1664" s="1" customFormat="1" x14ac:dyDescent="0.2"/>
    <row r="1665" s="1" customFormat="1" x14ac:dyDescent="0.2"/>
    <row r="1666" s="1" customFormat="1" x14ac:dyDescent="0.2"/>
    <row r="1667" s="1" customFormat="1" x14ac:dyDescent="0.2"/>
    <row r="1668" s="1" customFormat="1" x14ac:dyDescent="0.2"/>
    <row r="1669" s="1" customFormat="1" x14ac:dyDescent="0.2"/>
    <row r="1670" s="1" customFormat="1" x14ac:dyDescent="0.2"/>
    <row r="1671" s="1" customFormat="1" x14ac:dyDescent="0.2"/>
    <row r="1672" s="1" customFormat="1" x14ac:dyDescent="0.2"/>
    <row r="1673" s="1" customFormat="1" x14ac:dyDescent="0.2"/>
    <row r="1674" s="1" customFormat="1" x14ac:dyDescent="0.2"/>
    <row r="1675" s="1" customFormat="1" x14ac:dyDescent="0.2"/>
    <row r="1676" s="1" customFormat="1" x14ac:dyDescent="0.2"/>
    <row r="1677" s="1" customFormat="1" x14ac:dyDescent="0.2"/>
    <row r="1678" s="1" customFormat="1" x14ac:dyDescent="0.2"/>
    <row r="1679" s="1" customFormat="1" x14ac:dyDescent="0.2"/>
    <row r="1680" s="1" customFormat="1" x14ac:dyDescent="0.2"/>
    <row r="1681" s="1" customFormat="1" x14ac:dyDescent="0.2"/>
    <row r="1682" s="1" customFormat="1" x14ac:dyDescent="0.2"/>
    <row r="1683" s="1" customFormat="1" x14ac:dyDescent="0.2"/>
    <row r="1684" s="1" customFormat="1" x14ac:dyDescent="0.2"/>
    <row r="1685" s="1" customFormat="1" x14ac:dyDescent="0.2"/>
    <row r="1686" s="1" customFormat="1" x14ac:dyDescent="0.2"/>
    <row r="1687" s="1" customFormat="1" x14ac:dyDescent="0.2"/>
    <row r="1688" s="1" customFormat="1" x14ac:dyDescent="0.2"/>
    <row r="1689" s="1" customFormat="1" x14ac:dyDescent="0.2"/>
    <row r="1690" s="1" customFormat="1" x14ac:dyDescent="0.2"/>
    <row r="1691" s="1" customFormat="1" x14ac:dyDescent="0.2"/>
    <row r="1692" s="1" customFormat="1" x14ac:dyDescent="0.2"/>
    <row r="1693" s="1" customFormat="1" x14ac:dyDescent="0.2"/>
    <row r="1694" s="1" customFormat="1" x14ac:dyDescent="0.2"/>
    <row r="1695" s="1" customFormat="1" x14ac:dyDescent="0.2"/>
    <row r="1696" s="1" customFormat="1" x14ac:dyDescent="0.2"/>
    <row r="1697" s="1" customFormat="1" x14ac:dyDescent="0.2"/>
    <row r="1698" s="1" customFormat="1" x14ac:dyDescent="0.2"/>
    <row r="1699" s="1" customFormat="1" x14ac:dyDescent="0.2"/>
    <row r="1700" s="1" customFormat="1" x14ac:dyDescent="0.2"/>
    <row r="1701" s="1" customFormat="1" x14ac:dyDescent="0.2"/>
    <row r="1702" s="1" customFormat="1" x14ac:dyDescent="0.2"/>
    <row r="1703" s="1" customFormat="1" x14ac:dyDescent="0.2"/>
    <row r="1704" s="1" customFormat="1" x14ac:dyDescent="0.2"/>
    <row r="1705" s="1" customFormat="1" x14ac:dyDescent="0.2"/>
    <row r="1706" s="1" customFormat="1" x14ac:dyDescent="0.2"/>
    <row r="1707" s="1" customFormat="1" x14ac:dyDescent="0.2"/>
    <row r="1708" s="1" customFormat="1" x14ac:dyDescent="0.2"/>
    <row r="1709" s="1" customFormat="1" x14ac:dyDescent="0.2"/>
    <row r="1710" s="1" customFormat="1" x14ac:dyDescent="0.2"/>
    <row r="1711" s="1" customFormat="1" x14ac:dyDescent="0.2"/>
    <row r="1712" s="1" customFormat="1" x14ac:dyDescent="0.2"/>
    <row r="1713" s="1" customFormat="1" x14ac:dyDescent="0.2"/>
    <row r="1714" s="1" customFormat="1" x14ac:dyDescent="0.2"/>
    <row r="1715" s="1" customFormat="1" x14ac:dyDescent="0.2"/>
    <row r="1716" s="1" customFormat="1" x14ac:dyDescent="0.2"/>
    <row r="1717" s="1" customFormat="1" x14ac:dyDescent="0.2"/>
    <row r="1718" s="1" customFormat="1" x14ac:dyDescent="0.2"/>
    <row r="1719" s="1" customFormat="1" x14ac:dyDescent="0.2"/>
    <row r="1720" s="1" customFormat="1" x14ac:dyDescent="0.2"/>
    <row r="1721" s="1" customFormat="1" x14ac:dyDescent="0.2"/>
    <row r="1722" s="1" customFormat="1" x14ac:dyDescent="0.2"/>
    <row r="1723" s="1" customFormat="1" x14ac:dyDescent="0.2"/>
    <row r="1724" s="1" customFormat="1" x14ac:dyDescent="0.2"/>
    <row r="1725" s="1" customFormat="1" x14ac:dyDescent="0.2"/>
    <row r="1726" s="1" customFormat="1" x14ac:dyDescent="0.2"/>
    <row r="1727" s="1" customFormat="1" x14ac:dyDescent="0.2"/>
    <row r="1728" s="1" customFormat="1" x14ac:dyDescent="0.2"/>
    <row r="1729" s="1" customFormat="1" x14ac:dyDescent="0.2"/>
    <row r="1730" s="1" customFormat="1" x14ac:dyDescent="0.2"/>
    <row r="1731" s="1" customFormat="1" x14ac:dyDescent="0.2"/>
    <row r="1732" s="1" customFormat="1" x14ac:dyDescent="0.2"/>
    <row r="1733" s="1" customFormat="1" x14ac:dyDescent="0.2"/>
    <row r="1734" s="1" customFormat="1" x14ac:dyDescent="0.2"/>
    <row r="1735" s="1" customFormat="1" x14ac:dyDescent="0.2"/>
    <row r="1736" s="1" customFormat="1" x14ac:dyDescent="0.2"/>
    <row r="1737" s="1" customFormat="1" x14ac:dyDescent="0.2"/>
    <row r="1738" s="1" customFormat="1" x14ac:dyDescent="0.2"/>
    <row r="1739" s="1" customFormat="1" x14ac:dyDescent="0.2"/>
    <row r="1740" s="1" customFormat="1" x14ac:dyDescent="0.2"/>
    <row r="1741" s="1" customFormat="1" x14ac:dyDescent="0.2"/>
    <row r="1742" s="1" customFormat="1" x14ac:dyDescent="0.2"/>
    <row r="1743" s="1" customFormat="1" x14ac:dyDescent="0.2"/>
    <row r="1744" s="1" customFormat="1" x14ac:dyDescent="0.2"/>
    <row r="1745" s="1" customFormat="1" x14ac:dyDescent="0.2"/>
    <row r="1746" s="1" customFormat="1" x14ac:dyDescent="0.2"/>
    <row r="1747" s="1" customFormat="1" x14ac:dyDescent="0.2"/>
    <row r="1748" s="1" customFormat="1" x14ac:dyDescent="0.2"/>
    <row r="1749" s="1" customFormat="1" x14ac:dyDescent="0.2"/>
    <row r="1750" s="1" customFormat="1" x14ac:dyDescent="0.2"/>
    <row r="1751" s="1" customFormat="1" x14ac:dyDescent="0.2"/>
    <row r="1752" s="1" customFormat="1" x14ac:dyDescent="0.2"/>
    <row r="1753" s="1" customFormat="1" x14ac:dyDescent="0.2"/>
    <row r="1754" s="1" customFormat="1" x14ac:dyDescent="0.2"/>
    <row r="1755" s="1" customFormat="1" x14ac:dyDescent="0.2"/>
    <row r="1756" s="1" customFormat="1" x14ac:dyDescent="0.2"/>
    <row r="1757" s="1" customFormat="1" x14ac:dyDescent="0.2"/>
    <row r="1758" s="1" customFormat="1" x14ac:dyDescent="0.2"/>
    <row r="1759" s="1" customFormat="1" x14ac:dyDescent="0.2"/>
    <row r="1760" s="1" customFormat="1" x14ac:dyDescent="0.2"/>
    <row r="1761" s="1" customFormat="1" x14ac:dyDescent="0.2"/>
    <row r="1762" s="1" customFormat="1" x14ac:dyDescent="0.2"/>
    <row r="1763" s="1" customFormat="1" x14ac:dyDescent="0.2"/>
    <row r="1764" s="1" customFormat="1" x14ac:dyDescent="0.2"/>
    <row r="1765" s="1" customFormat="1" x14ac:dyDescent="0.2"/>
    <row r="1766" s="1" customFormat="1" x14ac:dyDescent="0.2"/>
    <row r="1767" s="1" customFormat="1" x14ac:dyDescent="0.2"/>
    <row r="1768" s="1" customFormat="1" x14ac:dyDescent="0.2"/>
    <row r="1769" s="1" customFormat="1" x14ac:dyDescent="0.2"/>
    <row r="1770" s="1" customFormat="1" x14ac:dyDescent="0.2"/>
    <row r="1771" s="1" customFormat="1" x14ac:dyDescent="0.2"/>
    <row r="1772" s="1" customFormat="1" x14ac:dyDescent="0.2"/>
    <row r="1773" s="1" customFormat="1" x14ac:dyDescent="0.2"/>
    <row r="1774" s="1" customFormat="1" x14ac:dyDescent="0.2"/>
    <row r="1775" s="1" customFormat="1" x14ac:dyDescent="0.2"/>
    <row r="1776" s="1" customFormat="1" x14ac:dyDescent="0.2"/>
    <row r="1777" s="1" customFormat="1" x14ac:dyDescent="0.2"/>
    <row r="1778" s="1" customFormat="1" x14ac:dyDescent="0.2"/>
    <row r="1779" s="1" customFormat="1" x14ac:dyDescent="0.2"/>
    <row r="1780" s="1" customFormat="1" x14ac:dyDescent="0.2"/>
    <row r="1781" s="1" customFormat="1" x14ac:dyDescent="0.2"/>
    <row r="1782" s="1" customFormat="1" x14ac:dyDescent="0.2"/>
    <row r="1783" s="1" customFormat="1" x14ac:dyDescent="0.2"/>
    <row r="1784" s="1" customFormat="1" x14ac:dyDescent="0.2"/>
    <row r="1785" s="1" customFormat="1" x14ac:dyDescent="0.2"/>
    <row r="1786" s="1" customFormat="1" x14ac:dyDescent="0.2"/>
    <row r="1787" s="1" customFormat="1" x14ac:dyDescent="0.2"/>
    <row r="1788" s="1" customFormat="1" x14ac:dyDescent="0.2"/>
    <row r="1789" s="1" customFormat="1" x14ac:dyDescent="0.2"/>
    <row r="1790" s="1" customFormat="1" x14ac:dyDescent="0.2"/>
    <row r="1791" s="1" customFormat="1" x14ac:dyDescent="0.2"/>
    <row r="1792" s="1" customFormat="1" x14ac:dyDescent="0.2"/>
    <row r="1793" s="1" customFormat="1" x14ac:dyDescent="0.2"/>
    <row r="1794" s="1" customFormat="1" x14ac:dyDescent="0.2"/>
    <row r="1795" s="1" customFormat="1" x14ac:dyDescent="0.2"/>
    <row r="1796" s="1" customFormat="1" x14ac:dyDescent="0.2"/>
    <row r="1797" s="1" customFormat="1" x14ac:dyDescent="0.2"/>
    <row r="1798" s="1" customFormat="1" x14ac:dyDescent="0.2"/>
    <row r="1799" s="1" customFormat="1" x14ac:dyDescent="0.2"/>
    <row r="1800" s="1" customFormat="1" x14ac:dyDescent="0.2"/>
    <row r="1801" s="1" customFormat="1" x14ac:dyDescent="0.2"/>
    <row r="1802" s="1" customFormat="1" x14ac:dyDescent="0.2"/>
    <row r="1803" s="1" customFormat="1" x14ac:dyDescent="0.2"/>
    <row r="1804" s="1" customFormat="1" x14ac:dyDescent="0.2"/>
    <row r="1805" s="1" customFormat="1" x14ac:dyDescent="0.2"/>
    <row r="1806" s="1" customFormat="1" x14ac:dyDescent="0.2"/>
    <row r="1807" s="1" customFormat="1" x14ac:dyDescent="0.2"/>
    <row r="1808" s="1" customFormat="1" x14ac:dyDescent="0.2"/>
    <row r="1809" s="1" customFormat="1" x14ac:dyDescent="0.2"/>
    <row r="1810" s="1" customFormat="1" x14ac:dyDescent="0.2"/>
    <row r="1811" s="1" customFormat="1" x14ac:dyDescent="0.2"/>
    <row r="1812" s="1" customFormat="1" x14ac:dyDescent="0.2"/>
    <row r="1813" s="1" customFormat="1" x14ac:dyDescent="0.2"/>
    <row r="1814" s="1" customFormat="1" x14ac:dyDescent="0.2"/>
    <row r="1815" s="1" customFormat="1" x14ac:dyDescent="0.2"/>
    <row r="1816" s="1" customFormat="1" x14ac:dyDescent="0.2"/>
    <row r="1817" s="1" customFormat="1" x14ac:dyDescent="0.2"/>
    <row r="1818" s="1" customFormat="1" x14ac:dyDescent="0.2"/>
    <row r="1819" s="1" customFormat="1" x14ac:dyDescent="0.2"/>
    <row r="1820" s="1" customFormat="1" x14ac:dyDescent="0.2"/>
    <row r="1821" s="1" customFormat="1" x14ac:dyDescent="0.2"/>
    <row r="1822" s="1" customFormat="1" x14ac:dyDescent="0.2"/>
    <row r="1823" s="1" customFormat="1" x14ac:dyDescent="0.2"/>
    <row r="1824" s="1" customFormat="1" x14ac:dyDescent="0.2"/>
    <row r="1825" s="1" customFormat="1" x14ac:dyDescent="0.2"/>
    <row r="1826" s="1" customFormat="1" x14ac:dyDescent="0.2"/>
    <row r="1827" s="1" customFormat="1" x14ac:dyDescent="0.2"/>
    <row r="1828" s="1" customFormat="1" x14ac:dyDescent="0.2"/>
    <row r="1829" s="1" customFormat="1" x14ac:dyDescent="0.2"/>
    <row r="1830" s="1" customFormat="1" x14ac:dyDescent="0.2"/>
    <row r="1831" s="1" customFormat="1" x14ac:dyDescent="0.2"/>
    <row r="1832" s="1" customFormat="1" x14ac:dyDescent="0.2"/>
    <row r="1833" s="1" customFormat="1" x14ac:dyDescent="0.2"/>
    <row r="1834" s="1" customFormat="1" x14ac:dyDescent="0.2"/>
    <row r="1835" s="1" customFormat="1" x14ac:dyDescent="0.2"/>
    <row r="1836" s="1" customFormat="1" x14ac:dyDescent="0.2"/>
    <row r="1837" s="1" customFormat="1" x14ac:dyDescent="0.2"/>
    <row r="1838" s="1" customFormat="1" x14ac:dyDescent="0.2"/>
    <row r="1839" s="1" customFormat="1" x14ac:dyDescent="0.2"/>
    <row r="1840" s="1" customFormat="1" x14ac:dyDescent="0.2"/>
    <row r="1841" s="1" customFormat="1" x14ac:dyDescent="0.2"/>
    <row r="1842" s="1" customFormat="1" x14ac:dyDescent="0.2"/>
    <row r="1843" s="1" customFormat="1" x14ac:dyDescent="0.2"/>
    <row r="1844" s="1" customFormat="1" x14ac:dyDescent="0.2"/>
    <row r="1845" s="1" customFormat="1" x14ac:dyDescent="0.2"/>
    <row r="1846" s="1" customFormat="1" x14ac:dyDescent="0.2"/>
    <row r="1847" s="1" customFormat="1" x14ac:dyDescent="0.2"/>
    <row r="1848" s="1" customFormat="1" x14ac:dyDescent="0.2"/>
    <row r="1849" s="1" customFormat="1" x14ac:dyDescent="0.2"/>
    <row r="1850" s="1" customFormat="1" x14ac:dyDescent="0.2"/>
    <row r="1851" s="1" customFormat="1" x14ac:dyDescent="0.2"/>
    <row r="1852" s="1" customFormat="1" x14ac:dyDescent="0.2"/>
    <row r="1853" s="1" customFormat="1" x14ac:dyDescent="0.2"/>
    <row r="1854" s="1" customFormat="1" x14ac:dyDescent="0.2"/>
    <row r="1855" s="1" customFormat="1" x14ac:dyDescent="0.2"/>
    <row r="1856" s="1" customFormat="1" x14ac:dyDescent="0.2"/>
    <row r="1857" s="1" customFormat="1" x14ac:dyDescent="0.2"/>
    <row r="1858" s="1" customFormat="1" x14ac:dyDescent="0.2"/>
    <row r="1859" s="1" customFormat="1" x14ac:dyDescent="0.2"/>
    <row r="1860" s="1" customFormat="1" x14ac:dyDescent="0.2"/>
    <row r="1861" s="1" customFormat="1" x14ac:dyDescent="0.2"/>
    <row r="1862" s="1" customFormat="1" x14ac:dyDescent="0.2"/>
    <row r="1863" s="1" customFormat="1" x14ac:dyDescent="0.2"/>
    <row r="1864" s="1" customFormat="1" x14ac:dyDescent="0.2"/>
    <row r="1865" s="1" customFormat="1" x14ac:dyDescent="0.2"/>
    <row r="1866" s="1" customFormat="1" x14ac:dyDescent="0.2"/>
    <row r="1867" s="1" customFormat="1" x14ac:dyDescent="0.2"/>
    <row r="1868" s="1" customFormat="1" x14ac:dyDescent="0.2"/>
    <row r="1869" s="1" customFormat="1" x14ac:dyDescent="0.2"/>
    <row r="1870" s="1" customFormat="1" x14ac:dyDescent="0.2"/>
    <row r="1871" s="1" customFormat="1" x14ac:dyDescent="0.2"/>
    <row r="1872" s="1" customFormat="1" x14ac:dyDescent="0.2"/>
    <row r="1873" s="1" customFormat="1" x14ac:dyDescent="0.2"/>
    <row r="1874" s="1" customFormat="1" x14ac:dyDescent="0.2"/>
    <row r="1875" s="1" customFormat="1" x14ac:dyDescent="0.2"/>
    <row r="1876" s="1" customFormat="1" x14ac:dyDescent="0.2"/>
    <row r="1877" s="1" customFormat="1" x14ac:dyDescent="0.2"/>
    <row r="1878" s="1" customFormat="1" x14ac:dyDescent="0.2"/>
    <row r="1879" s="1" customFormat="1" x14ac:dyDescent="0.2"/>
    <row r="1880" s="1" customFormat="1" x14ac:dyDescent="0.2"/>
    <row r="1881" s="1" customFormat="1" x14ac:dyDescent="0.2"/>
    <row r="1882" s="1" customFormat="1" x14ac:dyDescent="0.2"/>
    <row r="1883" s="1" customFormat="1" x14ac:dyDescent="0.2"/>
    <row r="1884" s="1" customFormat="1" x14ac:dyDescent="0.2"/>
    <row r="1885" s="1" customFormat="1" x14ac:dyDescent="0.2"/>
    <row r="1886" s="1" customFormat="1" x14ac:dyDescent="0.2"/>
    <row r="1887" s="1" customFormat="1" x14ac:dyDescent="0.2"/>
    <row r="1888" s="1" customFormat="1" x14ac:dyDescent="0.2"/>
    <row r="1889" s="1" customFormat="1" x14ac:dyDescent="0.2"/>
    <row r="1890" s="1" customFormat="1" x14ac:dyDescent="0.2"/>
    <row r="1891" s="1" customFormat="1" x14ac:dyDescent="0.2"/>
    <row r="1892" s="1" customFormat="1" x14ac:dyDescent="0.2"/>
    <row r="1893" s="1" customFormat="1" x14ac:dyDescent="0.2"/>
    <row r="1894" s="1" customFormat="1" x14ac:dyDescent="0.2"/>
    <row r="1895" s="1" customFormat="1" x14ac:dyDescent="0.2"/>
    <row r="1896" s="1" customFormat="1" x14ac:dyDescent="0.2"/>
    <row r="1897" s="1" customFormat="1" x14ac:dyDescent="0.2"/>
    <row r="1898" s="1" customFormat="1" x14ac:dyDescent="0.2"/>
    <row r="1899" s="1" customFormat="1" x14ac:dyDescent="0.2"/>
    <row r="1900" s="1" customFormat="1" x14ac:dyDescent="0.2"/>
    <row r="1901" s="1" customFormat="1" x14ac:dyDescent="0.2"/>
    <row r="1902" s="1" customFormat="1" x14ac:dyDescent="0.2"/>
    <row r="1903" s="1" customFormat="1" x14ac:dyDescent="0.2"/>
    <row r="1904" s="1" customFormat="1" x14ac:dyDescent="0.2"/>
    <row r="1905" s="1" customFormat="1" x14ac:dyDescent="0.2"/>
    <row r="1906" s="1" customFormat="1" x14ac:dyDescent="0.2"/>
    <row r="1907" s="1" customFormat="1" x14ac:dyDescent="0.2"/>
    <row r="1908" s="1" customFormat="1" x14ac:dyDescent="0.2"/>
    <row r="1909" s="1" customFormat="1" x14ac:dyDescent="0.2"/>
    <row r="1910" s="1" customFormat="1" x14ac:dyDescent="0.2"/>
    <row r="1911" s="1" customFormat="1" x14ac:dyDescent="0.2"/>
    <row r="1912" s="1" customFormat="1" x14ac:dyDescent="0.2"/>
    <row r="1913" s="1" customFormat="1" x14ac:dyDescent="0.2"/>
    <row r="1914" s="1" customFormat="1" x14ac:dyDescent="0.2"/>
    <row r="1915" s="1" customFormat="1" x14ac:dyDescent="0.2"/>
    <row r="1916" s="1" customFormat="1" x14ac:dyDescent="0.2"/>
    <row r="1917" s="1" customFormat="1" x14ac:dyDescent="0.2"/>
    <row r="1918" s="1" customFormat="1" x14ac:dyDescent="0.2"/>
    <row r="1919" s="1" customFormat="1" x14ac:dyDescent="0.2"/>
    <row r="1920" s="1" customFormat="1" x14ac:dyDescent="0.2"/>
    <row r="1921" s="1" customFormat="1" x14ac:dyDescent="0.2"/>
    <row r="1922" s="1" customFormat="1" x14ac:dyDescent="0.2"/>
    <row r="1923" s="1" customFormat="1" x14ac:dyDescent="0.2"/>
    <row r="1924" s="1" customFormat="1" x14ac:dyDescent="0.2"/>
    <row r="1925" s="1" customFormat="1" x14ac:dyDescent="0.2"/>
    <row r="1926" s="1" customFormat="1" x14ac:dyDescent="0.2"/>
    <row r="1927" s="1" customFormat="1" x14ac:dyDescent="0.2"/>
    <row r="1928" s="1" customFormat="1" x14ac:dyDescent="0.2"/>
    <row r="1929" s="1" customFormat="1" x14ac:dyDescent="0.2"/>
    <row r="1930" s="1" customFormat="1" x14ac:dyDescent="0.2"/>
    <row r="1931" s="1" customFormat="1" x14ac:dyDescent="0.2"/>
    <row r="1932" s="1" customFormat="1" x14ac:dyDescent="0.2"/>
    <row r="1933" s="1" customFormat="1" x14ac:dyDescent="0.2"/>
    <row r="1934" s="1" customFormat="1" x14ac:dyDescent="0.2"/>
    <row r="1935" s="1" customFormat="1" x14ac:dyDescent="0.2"/>
    <row r="1936" s="1" customFormat="1" x14ac:dyDescent="0.2"/>
    <row r="1937" s="1" customFormat="1" x14ac:dyDescent="0.2"/>
    <row r="1938" s="1" customFormat="1" x14ac:dyDescent="0.2"/>
    <row r="1939" s="1" customFormat="1" x14ac:dyDescent="0.2"/>
    <row r="1940" s="1" customFormat="1" x14ac:dyDescent="0.2"/>
    <row r="1941" s="1" customFormat="1" x14ac:dyDescent="0.2"/>
    <row r="1942" s="1" customFormat="1" x14ac:dyDescent="0.2"/>
    <row r="1943" s="1" customFormat="1" x14ac:dyDescent="0.2"/>
    <row r="1944" s="1" customFormat="1" x14ac:dyDescent="0.2"/>
    <row r="1945" s="1" customFormat="1" x14ac:dyDescent="0.2"/>
    <row r="1946" s="1" customFormat="1" x14ac:dyDescent="0.2"/>
    <row r="1947" s="1" customFormat="1" x14ac:dyDescent="0.2"/>
    <row r="1948" s="1" customFormat="1" x14ac:dyDescent="0.2"/>
    <row r="1949" s="1" customFormat="1" x14ac:dyDescent="0.2"/>
    <row r="1950" s="1" customFormat="1" x14ac:dyDescent="0.2"/>
    <row r="1951" s="1" customFormat="1" x14ac:dyDescent="0.2"/>
    <row r="1952" s="1" customFormat="1" x14ac:dyDescent="0.2"/>
    <row r="1953" s="1" customFormat="1" x14ac:dyDescent="0.2"/>
    <row r="1954" s="1" customFormat="1" x14ac:dyDescent="0.2"/>
    <row r="1955" s="1" customFormat="1" x14ac:dyDescent="0.2"/>
    <row r="1956" s="1" customFormat="1" x14ac:dyDescent="0.2"/>
    <row r="1957" s="1" customFormat="1" x14ac:dyDescent="0.2"/>
    <row r="1958" s="1" customFormat="1" x14ac:dyDescent="0.2"/>
    <row r="1959" s="1" customFormat="1" x14ac:dyDescent="0.2"/>
    <row r="1960" s="1" customFormat="1" x14ac:dyDescent="0.2"/>
    <row r="1961" s="1" customFormat="1" x14ac:dyDescent="0.2"/>
    <row r="1962" s="1" customFormat="1" x14ac:dyDescent="0.2"/>
    <row r="1963" s="1" customFormat="1" x14ac:dyDescent="0.2"/>
    <row r="1964" s="1" customFormat="1" x14ac:dyDescent="0.2"/>
    <row r="1965" s="1" customFormat="1" x14ac:dyDescent="0.2"/>
    <row r="1966" s="1" customFormat="1" x14ac:dyDescent="0.2"/>
    <row r="1967" s="1" customFormat="1" x14ac:dyDescent="0.2"/>
    <row r="1968" s="1" customFormat="1" x14ac:dyDescent="0.2"/>
    <row r="1969" s="1" customFormat="1" x14ac:dyDescent="0.2"/>
    <row r="1970" s="1" customFormat="1" x14ac:dyDescent="0.2"/>
    <row r="1971" s="1" customFormat="1" x14ac:dyDescent="0.2"/>
    <row r="1972" s="1" customFormat="1" x14ac:dyDescent="0.2"/>
    <row r="1973" s="1" customFormat="1" x14ac:dyDescent="0.2"/>
    <row r="1974" s="1" customFormat="1" x14ac:dyDescent="0.2"/>
    <row r="1975" s="1" customFormat="1" x14ac:dyDescent="0.2"/>
    <row r="1976" s="1" customFormat="1" x14ac:dyDescent="0.2"/>
    <row r="1977" s="1" customFormat="1" x14ac:dyDescent="0.2"/>
    <row r="1978" s="1" customFormat="1" x14ac:dyDescent="0.2"/>
    <row r="1979" s="1" customFormat="1" x14ac:dyDescent="0.2"/>
    <row r="1980" s="1" customFormat="1" x14ac:dyDescent="0.2"/>
    <row r="1981" s="1" customFormat="1" x14ac:dyDescent="0.2"/>
    <row r="1982" s="1" customFormat="1" x14ac:dyDescent="0.2"/>
    <row r="1983" s="1" customFormat="1" x14ac:dyDescent="0.2"/>
    <row r="1984" s="1" customFormat="1" x14ac:dyDescent="0.2"/>
    <row r="1985" s="1" customFormat="1" x14ac:dyDescent="0.2"/>
    <row r="1986" s="1" customFormat="1" x14ac:dyDescent="0.2"/>
    <row r="1987" s="1" customFormat="1" x14ac:dyDescent="0.2"/>
    <row r="1988" s="1" customFormat="1" x14ac:dyDescent="0.2"/>
    <row r="1989" s="1" customFormat="1" x14ac:dyDescent="0.2"/>
    <row r="1990" s="1" customFormat="1" x14ac:dyDescent="0.2"/>
    <row r="1991" s="1" customFormat="1" x14ac:dyDescent="0.2"/>
    <row r="1992" s="1" customFormat="1" x14ac:dyDescent="0.2"/>
    <row r="1993" s="1" customFormat="1" x14ac:dyDescent="0.2"/>
    <row r="1994" s="1" customFormat="1" x14ac:dyDescent="0.2"/>
    <row r="1995" s="1" customFormat="1" x14ac:dyDescent="0.2"/>
    <row r="1996" s="1" customFormat="1" x14ac:dyDescent="0.2"/>
    <row r="1997" s="1" customFormat="1" x14ac:dyDescent="0.2"/>
    <row r="1998" s="1" customFormat="1" x14ac:dyDescent="0.2"/>
    <row r="1999" s="1" customFormat="1" x14ac:dyDescent="0.2"/>
    <row r="2000" s="1" customFormat="1" x14ac:dyDescent="0.2"/>
    <row r="2001" s="1" customFormat="1" x14ac:dyDescent="0.2"/>
    <row r="2002" s="1" customFormat="1" x14ac:dyDescent="0.2"/>
    <row r="2003" s="1" customFormat="1" x14ac:dyDescent="0.2"/>
    <row r="2004" s="1" customFormat="1" x14ac:dyDescent="0.2"/>
    <row r="2005" s="1" customFormat="1" x14ac:dyDescent="0.2"/>
    <row r="2006" s="1" customFormat="1" x14ac:dyDescent="0.2"/>
    <row r="2007" s="1" customFormat="1" x14ac:dyDescent="0.2"/>
    <row r="2008" s="1" customFormat="1" x14ac:dyDescent="0.2"/>
    <row r="2009" s="1" customFormat="1" x14ac:dyDescent="0.2"/>
    <row r="2010" s="1" customFormat="1" x14ac:dyDescent="0.2"/>
    <row r="2011" s="1" customFormat="1" x14ac:dyDescent="0.2"/>
    <row r="2012" s="1" customFormat="1" x14ac:dyDescent="0.2"/>
    <row r="2013" s="1" customFormat="1" x14ac:dyDescent="0.2"/>
    <row r="2014" s="1" customFormat="1" x14ac:dyDescent="0.2"/>
    <row r="2015" s="1" customFormat="1" x14ac:dyDescent="0.2"/>
    <row r="2016" s="1" customFormat="1" x14ac:dyDescent="0.2"/>
    <row r="2017" s="1" customFormat="1" x14ac:dyDescent="0.2"/>
    <row r="2018" s="1" customFormat="1" x14ac:dyDescent="0.2"/>
    <row r="2019" s="1" customFormat="1" x14ac:dyDescent="0.2"/>
    <row r="2020" s="1" customFormat="1" x14ac:dyDescent="0.2"/>
    <row r="2021" s="1" customFormat="1" x14ac:dyDescent="0.2"/>
    <row r="2022" s="1" customFormat="1" x14ac:dyDescent="0.2"/>
    <row r="2023" s="1" customFormat="1" x14ac:dyDescent="0.2"/>
    <row r="2024" s="1" customFormat="1" x14ac:dyDescent="0.2"/>
    <row r="2025" s="1" customFormat="1" x14ac:dyDescent="0.2"/>
    <row r="2026" s="1" customFormat="1" x14ac:dyDescent="0.2"/>
    <row r="2027" s="1" customFormat="1" x14ac:dyDescent="0.2"/>
    <row r="2028" s="1" customFormat="1" x14ac:dyDescent="0.2"/>
    <row r="2029" s="1" customFormat="1" x14ac:dyDescent="0.2"/>
    <row r="2030" s="1" customFormat="1" x14ac:dyDescent="0.2"/>
    <row r="2031" s="1" customFormat="1" x14ac:dyDescent="0.2"/>
    <row r="2032" s="1" customFormat="1" x14ac:dyDescent="0.2"/>
    <row r="2033" s="1" customFormat="1" x14ac:dyDescent="0.2"/>
    <row r="2034" s="1" customFormat="1" x14ac:dyDescent="0.2"/>
    <row r="2035" s="1" customFormat="1" x14ac:dyDescent="0.2"/>
    <row r="2036" s="1" customFormat="1" x14ac:dyDescent="0.2"/>
    <row r="2037" s="1" customFormat="1" x14ac:dyDescent="0.2"/>
    <row r="2038" s="1" customFormat="1" x14ac:dyDescent="0.2"/>
    <row r="2039" s="1" customFormat="1" x14ac:dyDescent="0.2"/>
    <row r="2040" s="1" customFormat="1" x14ac:dyDescent="0.2"/>
    <row r="2041" s="1" customFormat="1" x14ac:dyDescent="0.2"/>
    <row r="2042" s="1" customFormat="1" x14ac:dyDescent="0.2"/>
    <row r="2043" s="1" customFormat="1" x14ac:dyDescent="0.2"/>
    <row r="2044" s="1" customFormat="1" x14ac:dyDescent="0.2"/>
    <row r="2045" s="1" customFormat="1" x14ac:dyDescent="0.2"/>
    <row r="2046" s="1" customFormat="1" x14ac:dyDescent="0.2"/>
    <row r="2047" s="1" customFormat="1" x14ac:dyDescent="0.2"/>
    <row r="2048" s="1" customFormat="1" x14ac:dyDescent="0.2"/>
    <row r="2049" s="1" customFormat="1" x14ac:dyDescent="0.2"/>
    <row r="2050" s="1" customFormat="1" x14ac:dyDescent="0.2"/>
    <row r="2051" s="1" customFormat="1" x14ac:dyDescent="0.2"/>
    <row r="2052" s="1" customFormat="1" x14ac:dyDescent="0.2"/>
    <row r="2053" s="1" customFormat="1" x14ac:dyDescent="0.2"/>
    <row r="2054" s="1" customFormat="1" x14ac:dyDescent="0.2"/>
    <row r="2055" s="1" customFormat="1" x14ac:dyDescent="0.2"/>
    <row r="2056" s="1" customFormat="1" x14ac:dyDescent="0.2"/>
    <row r="2057" s="1" customFormat="1" x14ac:dyDescent="0.2"/>
    <row r="2058" s="1" customFormat="1" x14ac:dyDescent="0.2"/>
    <row r="2059" s="1" customFormat="1" x14ac:dyDescent="0.2"/>
    <row r="2060" s="1" customFormat="1" x14ac:dyDescent="0.2"/>
    <row r="2061" s="1" customFormat="1" x14ac:dyDescent="0.2"/>
    <row r="2062" s="1" customFormat="1" x14ac:dyDescent="0.2"/>
    <row r="2063" s="1" customFormat="1" x14ac:dyDescent="0.2"/>
    <row r="2064" s="1" customFormat="1" x14ac:dyDescent="0.2"/>
    <row r="2065" s="1" customFormat="1" x14ac:dyDescent="0.2"/>
    <row r="2066" s="1" customFormat="1" x14ac:dyDescent="0.2"/>
    <row r="2067" s="1" customFormat="1" x14ac:dyDescent="0.2"/>
    <row r="2068" s="1" customFormat="1" x14ac:dyDescent="0.2"/>
    <row r="2069" s="1" customFormat="1" x14ac:dyDescent="0.2"/>
    <row r="2070" s="1" customFormat="1" x14ac:dyDescent="0.2"/>
    <row r="2071" s="1" customFormat="1" x14ac:dyDescent="0.2"/>
    <row r="2072" s="1" customFormat="1" x14ac:dyDescent="0.2"/>
    <row r="2073" s="1" customFormat="1" x14ac:dyDescent="0.2"/>
    <row r="2074" s="1" customFormat="1" x14ac:dyDescent="0.2"/>
    <row r="2075" s="1" customFormat="1" x14ac:dyDescent="0.2"/>
    <row r="2076" s="1" customFormat="1" x14ac:dyDescent="0.2"/>
    <row r="2077" s="1" customFormat="1" x14ac:dyDescent="0.2"/>
    <row r="2078" s="1" customFormat="1" x14ac:dyDescent="0.2"/>
    <row r="2079" s="1" customFormat="1" x14ac:dyDescent="0.2"/>
    <row r="2080" s="1" customFormat="1" x14ac:dyDescent="0.2"/>
    <row r="2081" s="1" customFormat="1" x14ac:dyDescent="0.2"/>
    <row r="2082" s="1" customFormat="1" x14ac:dyDescent="0.2"/>
    <row r="2083" s="1" customFormat="1" x14ac:dyDescent="0.2"/>
    <row r="2084" s="1" customFormat="1" x14ac:dyDescent="0.2"/>
    <row r="2085" s="1" customFormat="1" x14ac:dyDescent="0.2"/>
    <row r="2086" s="1" customFormat="1" x14ac:dyDescent="0.2"/>
    <row r="2087" s="1" customFormat="1" x14ac:dyDescent="0.2"/>
    <row r="2088" s="1" customFormat="1" x14ac:dyDescent="0.2"/>
    <row r="2089" s="1" customFormat="1" x14ac:dyDescent="0.2"/>
    <row r="2090" s="1" customFormat="1" x14ac:dyDescent="0.2"/>
    <row r="2091" s="1" customFormat="1" x14ac:dyDescent="0.2"/>
    <row r="2092" s="1" customFormat="1" x14ac:dyDescent="0.2"/>
    <row r="2093" s="1" customFormat="1" x14ac:dyDescent="0.2"/>
    <row r="2094" s="1" customFormat="1" x14ac:dyDescent="0.2"/>
    <row r="2095" s="1" customFormat="1" x14ac:dyDescent="0.2"/>
    <row r="2096" s="1" customFormat="1" x14ac:dyDescent="0.2"/>
    <row r="2097" s="1" customFormat="1" x14ac:dyDescent="0.2"/>
    <row r="2098" s="1" customFormat="1" x14ac:dyDescent="0.2"/>
    <row r="2099" s="1" customFormat="1" x14ac:dyDescent="0.2"/>
    <row r="2100" s="1" customFormat="1" x14ac:dyDescent="0.2"/>
    <row r="2101" s="1" customFormat="1" x14ac:dyDescent="0.2"/>
    <row r="2102" s="1" customFormat="1" x14ac:dyDescent="0.2"/>
    <row r="2103" s="1" customFormat="1" x14ac:dyDescent="0.2"/>
    <row r="2104" s="1" customFormat="1" x14ac:dyDescent="0.2"/>
    <row r="2105" s="1" customFormat="1" x14ac:dyDescent="0.2"/>
    <row r="2106" s="1" customFormat="1" x14ac:dyDescent="0.2"/>
    <row r="2107" s="1" customFormat="1" x14ac:dyDescent="0.2"/>
    <row r="2108" s="1" customFormat="1" x14ac:dyDescent="0.2"/>
    <row r="2109" s="1" customFormat="1" x14ac:dyDescent="0.2"/>
    <row r="2110" s="1" customFormat="1" x14ac:dyDescent="0.2"/>
    <row r="2111" s="1" customFormat="1" x14ac:dyDescent="0.2"/>
    <row r="2112" s="1" customFormat="1" x14ac:dyDescent="0.2"/>
    <row r="2113" s="1" customFormat="1" x14ac:dyDescent="0.2"/>
    <row r="2114" s="1" customFormat="1" x14ac:dyDescent="0.2"/>
    <row r="2115" s="1" customFormat="1" x14ac:dyDescent="0.2"/>
    <row r="2116" s="1" customFormat="1" x14ac:dyDescent="0.2"/>
    <row r="2117" s="1" customFormat="1" x14ac:dyDescent="0.2"/>
    <row r="2118" s="1" customFormat="1" x14ac:dyDescent="0.2"/>
    <row r="2119" s="1" customFormat="1" x14ac:dyDescent="0.2"/>
    <row r="2120" s="1" customFormat="1" x14ac:dyDescent="0.2"/>
    <row r="2121" s="1" customFormat="1" x14ac:dyDescent="0.2"/>
    <row r="2122" s="1" customFormat="1" x14ac:dyDescent="0.2"/>
    <row r="2123" s="1" customFormat="1" x14ac:dyDescent="0.2"/>
    <row r="2124" s="1" customFormat="1" x14ac:dyDescent="0.2"/>
    <row r="2125" s="1" customFormat="1" x14ac:dyDescent="0.2"/>
    <row r="2126" s="1" customFormat="1" x14ac:dyDescent="0.2"/>
    <row r="2127" s="1" customFormat="1" x14ac:dyDescent="0.2"/>
    <row r="2128" s="1" customFormat="1" x14ac:dyDescent="0.2"/>
    <row r="2129" s="1" customFormat="1" x14ac:dyDescent="0.2"/>
    <row r="2130" s="1" customFormat="1" x14ac:dyDescent="0.2"/>
    <row r="2131" s="1" customFormat="1" x14ac:dyDescent="0.2"/>
    <row r="2132" s="1" customFormat="1" x14ac:dyDescent="0.2"/>
    <row r="2133" s="1" customFormat="1" x14ac:dyDescent="0.2"/>
    <row r="2134" s="1" customFormat="1" x14ac:dyDescent="0.2"/>
    <row r="2135" s="1" customFormat="1" x14ac:dyDescent="0.2"/>
    <row r="2136" s="1" customFormat="1" x14ac:dyDescent="0.2"/>
    <row r="2137" s="1" customFormat="1" x14ac:dyDescent="0.2"/>
    <row r="2138" s="1" customFormat="1" x14ac:dyDescent="0.2"/>
    <row r="2139" s="1" customFormat="1" x14ac:dyDescent="0.2"/>
    <row r="2140" s="1" customFormat="1" x14ac:dyDescent="0.2"/>
    <row r="2141" s="1" customFormat="1" x14ac:dyDescent="0.2"/>
    <row r="2142" s="1" customFormat="1" x14ac:dyDescent="0.2"/>
    <row r="2143" s="1" customFormat="1" x14ac:dyDescent="0.2"/>
    <row r="2144" s="1" customFormat="1" x14ac:dyDescent="0.2"/>
    <row r="2145" s="1" customFormat="1" x14ac:dyDescent="0.2"/>
    <row r="2146" s="1" customFormat="1" x14ac:dyDescent="0.2"/>
    <row r="2147" s="1" customFormat="1" x14ac:dyDescent="0.2"/>
    <row r="2148" s="1" customFormat="1" x14ac:dyDescent="0.2"/>
    <row r="2149" s="1" customFormat="1" x14ac:dyDescent="0.2"/>
    <row r="2150" s="1" customFormat="1" x14ac:dyDescent="0.2"/>
    <row r="2151" s="1" customFormat="1" x14ac:dyDescent="0.2"/>
    <row r="2152" s="1" customFormat="1" x14ac:dyDescent="0.2"/>
    <row r="2153" s="1" customFormat="1" x14ac:dyDescent="0.2"/>
    <row r="2154" s="1" customFormat="1" x14ac:dyDescent="0.2"/>
    <row r="2155" s="1" customFormat="1" x14ac:dyDescent="0.2"/>
    <row r="2156" s="1" customFormat="1" x14ac:dyDescent="0.2"/>
    <row r="2157" s="1" customFormat="1" x14ac:dyDescent="0.2"/>
    <row r="2158" s="1" customFormat="1" x14ac:dyDescent="0.2"/>
    <row r="2159" s="1" customFormat="1" x14ac:dyDescent="0.2"/>
    <row r="2160" s="1" customFormat="1" x14ac:dyDescent="0.2"/>
    <row r="2161" s="1" customFormat="1" x14ac:dyDescent="0.2"/>
    <row r="2162" s="1" customFormat="1" x14ac:dyDescent="0.2"/>
    <row r="2163" s="1" customFormat="1" x14ac:dyDescent="0.2"/>
    <row r="2164" s="1" customFormat="1" x14ac:dyDescent="0.2"/>
    <row r="2165" s="1" customFormat="1" x14ac:dyDescent="0.2"/>
    <row r="2166" s="1" customFormat="1" x14ac:dyDescent="0.2"/>
    <row r="2167" s="1" customFormat="1" x14ac:dyDescent="0.2"/>
    <row r="2168" s="1" customFormat="1" x14ac:dyDescent="0.2"/>
    <row r="2169" s="1" customFormat="1" x14ac:dyDescent="0.2"/>
    <row r="2170" s="1" customFormat="1" x14ac:dyDescent="0.2"/>
    <row r="2171" s="1" customFormat="1" x14ac:dyDescent="0.2"/>
    <row r="2172" s="1" customFormat="1" x14ac:dyDescent="0.2"/>
    <row r="2173" s="1" customFormat="1" x14ac:dyDescent="0.2"/>
    <row r="2174" s="1" customFormat="1" x14ac:dyDescent="0.2"/>
    <row r="2175" s="1" customFormat="1" x14ac:dyDescent="0.2"/>
    <row r="2176" s="1" customFormat="1" x14ac:dyDescent="0.2"/>
    <row r="2177" s="1" customFormat="1" x14ac:dyDescent="0.2"/>
    <row r="2178" s="1" customFormat="1" x14ac:dyDescent="0.2"/>
    <row r="2179" s="1" customFormat="1" x14ac:dyDescent="0.2"/>
    <row r="2180" s="1" customFormat="1" x14ac:dyDescent="0.2"/>
    <row r="2181" s="1" customFormat="1" x14ac:dyDescent="0.2"/>
    <row r="2182" s="1" customFormat="1" x14ac:dyDescent="0.2"/>
    <row r="2183" s="1" customFormat="1" x14ac:dyDescent="0.2"/>
    <row r="2184" s="1" customFormat="1" x14ac:dyDescent="0.2"/>
    <row r="2185" s="1" customFormat="1" x14ac:dyDescent="0.2"/>
    <row r="2186" s="1" customFormat="1" x14ac:dyDescent="0.2"/>
    <row r="2187" s="1" customFormat="1" x14ac:dyDescent="0.2"/>
    <row r="2188" s="1" customFormat="1" x14ac:dyDescent="0.2"/>
    <row r="2189" s="1" customFormat="1" x14ac:dyDescent="0.2"/>
    <row r="2190" s="1" customFormat="1" x14ac:dyDescent="0.2"/>
    <row r="2191" s="1" customFormat="1" x14ac:dyDescent="0.2"/>
    <row r="2192" s="1" customFormat="1" x14ac:dyDescent="0.2"/>
    <row r="2193" s="1" customFormat="1" x14ac:dyDescent="0.2"/>
    <row r="2194" s="1" customFormat="1" x14ac:dyDescent="0.2"/>
    <row r="2195" s="1" customFormat="1" x14ac:dyDescent="0.2"/>
    <row r="2196" s="1" customFormat="1" x14ac:dyDescent="0.2"/>
    <row r="2197" s="1" customFormat="1" x14ac:dyDescent="0.2"/>
    <row r="2198" s="1" customFormat="1" x14ac:dyDescent="0.2"/>
    <row r="2199" s="1" customFormat="1" x14ac:dyDescent="0.2"/>
    <row r="2200" s="1" customFormat="1" x14ac:dyDescent="0.2"/>
    <row r="2201" s="1" customFormat="1" x14ac:dyDescent="0.2"/>
    <row r="2202" s="1" customFormat="1" x14ac:dyDescent="0.2"/>
    <row r="2203" s="1" customFormat="1" x14ac:dyDescent="0.2"/>
    <row r="2204" s="1" customFormat="1" x14ac:dyDescent="0.2"/>
    <row r="2205" s="1" customFormat="1" x14ac:dyDescent="0.2"/>
    <row r="2206" s="1" customFormat="1" x14ac:dyDescent="0.2"/>
    <row r="2207" s="1" customFormat="1" x14ac:dyDescent="0.2"/>
    <row r="2208" s="1" customFormat="1" x14ac:dyDescent="0.2"/>
    <row r="2209" s="1" customFormat="1" x14ac:dyDescent="0.2"/>
    <row r="2210" s="1" customFormat="1" x14ac:dyDescent="0.2"/>
    <row r="2211" s="1" customFormat="1" x14ac:dyDescent="0.2"/>
    <row r="2212" s="1" customFormat="1" x14ac:dyDescent="0.2"/>
    <row r="2213" s="1" customFormat="1" x14ac:dyDescent="0.2"/>
    <row r="2214" s="1" customFormat="1" x14ac:dyDescent="0.2"/>
    <row r="2215" s="1" customFormat="1" x14ac:dyDescent="0.2"/>
    <row r="2216" s="1" customFormat="1" x14ac:dyDescent="0.2"/>
    <row r="2217" s="1" customFormat="1" x14ac:dyDescent="0.2"/>
    <row r="2218" s="1" customFormat="1" x14ac:dyDescent="0.2"/>
    <row r="2219" s="1" customFormat="1" x14ac:dyDescent="0.2"/>
    <row r="2220" s="1" customFormat="1" x14ac:dyDescent="0.2"/>
    <row r="2221" s="1" customFormat="1" x14ac:dyDescent="0.2"/>
    <row r="2222" s="1" customFormat="1" x14ac:dyDescent="0.2"/>
    <row r="2223" s="1" customFormat="1" x14ac:dyDescent="0.2"/>
    <row r="2224" s="1" customFormat="1" x14ac:dyDescent="0.2"/>
    <row r="2225" s="1" customFormat="1" x14ac:dyDescent="0.2"/>
    <row r="2226" s="1" customFormat="1" x14ac:dyDescent="0.2"/>
    <row r="2227" s="1" customFormat="1" x14ac:dyDescent="0.2"/>
    <row r="2228" s="1" customFormat="1" x14ac:dyDescent="0.2"/>
    <row r="2229" s="1" customFormat="1" x14ac:dyDescent="0.2"/>
    <row r="2230" s="1" customFormat="1" x14ac:dyDescent="0.2"/>
    <row r="2231" s="1" customFormat="1" x14ac:dyDescent="0.2"/>
    <row r="2232" s="1" customFormat="1" x14ac:dyDescent="0.2"/>
    <row r="2233" s="1" customFormat="1" x14ac:dyDescent="0.2"/>
    <row r="2234" s="1" customFormat="1" x14ac:dyDescent="0.2"/>
    <row r="2235" s="1" customFormat="1" x14ac:dyDescent="0.2"/>
    <row r="2236" s="1" customFormat="1" x14ac:dyDescent="0.2"/>
    <row r="2237" s="1" customFormat="1" x14ac:dyDescent="0.2"/>
    <row r="2238" s="1" customFormat="1" x14ac:dyDescent="0.2"/>
    <row r="2239" s="1" customFormat="1" x14ac:dyDescent="0.2"/>
    <row r="2240" s="1" customFormat="1" x14ac:dyDescent="0.2"/>
    <row r="2241" s="1" customFormat="1" x14ac:dyDescent="0.2"/>
    <row r="2242" s="1" customFormat="1" x14ac:dyDescent="0.2"/>
    <row r="2243" s="1" customFormat="1" x14ac:dyDescent="0.2"/>
    <row r="2244" s="1" customFormat="1" x14ac:dyDescent="0.2"/>
    <row r="2245" s="1" customFormat="1" x14ac:dyDescent="0.2"/>
    <row r="2246" s="1" customFormat="1" x14ac:dyDescent="0.2"/>
    <row r="2247" s="1" customFormat="1" x14ac:dyDescent="0.2"/>
    <row r="2248" s="1" customFormat="1" x14ac:dyDescent="0.2"/>
    <row r="2249" s="1" customFormat="1" x14ac:dyDescent="0.2"/>
    <row r="2250" s="1" customFormat="1" x14ac:dyDescent="0.2"/>
    <row r="2251" s="1" customFormat="1" x14ac:dyDescent="0.2"/>
    <row r="2252" s="1" customFormat="1" x14ac:dyDescent="0.2"/>
    <row r="2253" s="1" customFormat="1" x14ac:dyDescent="0.2"/>
    <row r="2254" s="1" customFormat="1" x14ac:dyDescent="0.2"/>
    <row r="2255" s="1" customFormat="1" x14ac:dyDescent="0.2"/>
    <row r="2256" s="1" customFormat="1" x14ac:dyDescent="0.2"/>
    <row r="2257" s="1" customFormat="1" x14ac:dyDescent="0.2"/>
    <row r="2258" s="1" customFormat="1" x14ac:dyDescent="0.2"/>
    <row r="2259" s="1" customFormat="1" x14ac:dyDescent="0.2"/>
    <row r="2260" s="1" customFormat="1" x14ac:dyDescent="0.2"/>
    <row r="2261" s="1" customFormat="1" x14ac:dyDescent="0.2"/>
    <row r="2262" s="1" customFormat="1" x14ac:dyDescent="0.2"/>
    <row r="2263" s="1" customFormat="1" x14ac:dyDescent="0.2"/>
    <row r="2264" s="1" customFormat="1" x14ac:dyDescent="0.2"/>
    <row r="2265" s="1" customFormat="1" x14ac:dyDescent="0.2"/>
    <row r="2266" s="1" customFormat="1" x14ac:dyDescent="0.2"/>
    <row r="2267" s="1" customFormat="1" x14ac:dyDescent="0.2"/>
    <row r="2268" s="1" customFormat="1" x14ac:dyDescent="0.2"/>
    <row r="2269" s="1" customFormat="1" x14ac:dyDescent="0.2"/>
    <row r="2270" s="1" customFormat="1" x14ac:dyDescent="0.2"/>
    <row r="2271" s="1" customFormat="1" x14ac:dyDescent="0.2"/>
    <row r="2272" s="1" customFormat="1" x14ac:dyDescent="0.2"/>
    <row r="2273" s="1" customFormat="1" x14ac:dyDescent="0.2"/>
    <row r="2274" s="1" customFormat="1" x14ac:dyDescent="0.2"/>
    <row r="2275" s="1" customFormat="1" x14ac:dyDescent="0.2"/>
    <row r="2276" s="1" customFormat="1" x14ac:dyDescent="0.2"/>
    <row r="2277" s="1" customFormat="1" x14ac:dyDescent="0.2"/>
    <row r="2278" s="1" customFormat="1" x14ac:dyDescent="0.2"/>
    <row r="2279" s="1" customFormat="1" x14ac:dyDescent="0.2"/>
    <row r="2280" s="1" customFormat="1" x14ac:dyDescent="0.2"/>
    <row r="2281" s="1" customFormat="1" x14ac:dyDescent="0.2"/>
    <row r="2282" s="1" customFormat="1" x14ac:dyDescent="0.2"/>
    <row r="2283" s="1" customFormat="1" x14ac:dyDescent="0.2"/>
    <row r="2284" s="1" customFormat="1" x14ac:dyDescent="0.2"/>
    <row r="2285" s="1" customFormat="1" x14ac:dyDescent="0.2"/>
    <row r="2286" s="1" customFormat="1" x14ac:dyDescent="0.2"/>
    <row r="2287" s="1" customFormat="1" x14ac:dyDescent="0.2"/>
    <row r="2288" s="1" customFormat="1" x14ac:dyDescent="0.2"/>
    <row r="2289" s="1" customFormat="1" x14ac:dyDescent="0.2"/>
    <row r="2290" s="1" customFormat="1" x14ac:dyDescent="0.2"/>
    <row r="2291" s="1" customFormat="1" x14ac:dyDescent="0.2"/>
    <row r="2292" s="1" customFormat="1" x14ac:dyDescent="0.2"/>
    <row r="2293" s="1" customFormat="1" x14ac:dyDescent="0.2"/>
    <row r="2294" s="1" customFormat="1" x14ac:dyDescent="0.2"/>
    <row r="2295" s="1" customFormat="1" x14ac:dyDescent="0.2"/>
    <row r="2296" s="1" customFormat="1" x14ac:dyDescent="0.2"/>
    <row r="2297" s="1" customFormat="1" x14ac:dyDescent="0.2"/>
    <row r="2298" s="1" customFormat="1" x14ac:dyDescent="0.2"/>
    <row r="2299" s="1" customFormat="1" x14ac:dyDescent="0.2"/>
    <row r="2300" s="1" customFormat="1" x14ac:dyDescent="0.2"/>
    <row r="2301" s="1" customFormat="1" x14ac:dyDescent="0.2"/>
    <row r="2302" s="1" customFormat="1" x14ac:dyDescent="0.2"/>
    <row r="2303" s="1" customFormat="1" x14ac:dyDescent="0.2"/>
    <row r="2304" s="1" customFormat="1" x14ac:dyDescent="0.2"/>
    <row r="2305" s="1" customFormat="1" x14ac:dyDescent="0.2"/>
    <row r="2306" s="1" customFormat="1" x14ac:dyDescent="0.2"/>
    <row r="2307" s="1" customFormat="1" x14ac:dyDescent="0.2"/>
    <row r="2308" s="1" customFormat="1" x14ac:dyDescent="0.2"/>
    <row r="2309" s="1" customFormat="1" x14ac:dyDescent="0.2"/>
    <row r="2310" s="1" customFormat="1" x14ac:dyDescent="0.2"/>
    <row r="2311" s="1" customFormat="1" x14ac:dyDescent="0.2"/>
    <row r="2312" s="1" customFormat="1" x14ac:dyDescent="0.2"/>
    <row r="2313" s="1" customFormat="1" x14ac:dyDescent="0.2"/>
    <row r="2314" s="1" customFormat="1" x14ac:dyDescent="0.2"/>
    <row r="2315" s="1" customFormat="1" x14ac:dyDescent="0.2"/>
    <row r="2316" s="1" customFormat="1" x14ac:dyDescent="0.2"/>
    <row r="2317" s="1" customFormat="1" x14ac:dyDescent="0.2"/>
    <row r="2318" s="1" customFormat="1" x14ac:dyDescent="0.2"/>
    <row r="2319" s="1" customFormat="1" x14ac:dyDescent="0.2"/>
    <row r="2320" s="1" customFormat="1" x14ac:dyDescent="0.2"/>
    <row r="2321" s="1" customFormat="1" x14ac:dyDescent="0.2"/>
    <row r="2322" s="1" customFormat="1" x14ac:dyDescent="0.2"/>
    <row r="2323" s="1" customFormat="1" x14ac:dyDescent="0.2"/>
    <row r="2324" s="1" customFormat="1" x14ac:dyDescent="0.2"/>
    <row r="2325" s="1" customFormat="1" x14ac:dyDescent="0.2"/>
    <row r="2326" s="1" customFormat="1" x14ac:dyDescent="0.2"/>
    <row r="2327" s="1" customFormat="1" x14ac:dyDescent="0.2"/>
    <row r="2328" s="1" customFormat="1" x14ac:dyDescent="0.2"/>
    <row r="2329" s="1" customFormat="1" x14ac:dyDescent="0.2"/>
    <row r="2330" s="1" customFormat="1" x14ac:dyDescent="0.2"/>
    <row r="2331" s="1" customFormat="1" x14ac:dyDescent="0.2"/>
    <row r="2332" s="1" customFormat="1" x14ac:dyDescent="0.2"/>
    <row r="2333" s="1" customFormat="1" x14ac:dyDescent="0.2"/>
    <row r="2334" s="1" customFormat="1" x14ac:dyDescent="0.2"/>
    <row r="2335" s="1" customFormat="1" x14ac:dyDescent="0.2"/>
    <row r="2336" s="1" customFormat="1" x14ac:dyDescent="0.2"/>
    <row r="2337" s="1" customFormat="1" x14ac:dyDescent="0.2"/>
    <row r="2338" s="1" customFormat="1" x14ac:dyDescent="0.2"/>
    <row r="2339" s="1" customFormat="1" x14ac:dyDescent="0.2"/>
    <row r="2340" s="1" customFormat="1" x14ac:dyDescent="0.2"/>
    <row r="2341" s="1" customFormat="1" x14ac:dyDescent="0.2"/>
    <row r="2342" s="1" customFormat="1" x14ac:dyDescent="0.2"/>
    <row r="2343" s="1" customFormat="1" x14ac:dyDescent="0.2"/>
    <row r="2344" s="1" customFormat="1" x14ac:dyDescent="0.2"/>
    <row r="2345" s="1" customFormat="1" x14ac:dyDescent="0.2"/>
    <row r="2346" s="1" customFormat="1" x14ac:dyDescent="0.2"/>
    <row r="2347" s="1" customFormat="1" x14ac:dyDescent="0.2"/>
    <row r="2348" s="1" customFormat="1" x14ac:dyDescent="0.2"/>
    <row r="2349" s="1" customFormat="1" x14ac:dyDescent="0.2"/>
    <row r="2350" s="1" customFormat="1" x14ac:dyDescent="0.2"/>
    <row r="2351" s="1" customFormat="1" x14ac:dyDescent="0.2"/>
    <row r="2352" s="1" customFormat="1" x14ac:dyDescent="0.2"/>
    <row r="2353" s="1" customFormat="1" x14ac:dyDescent="0.2"/>
    <row r="2354" s="1" customFormat="1" x14ac:dyDescent="0.2"/>
    <row r="2355" s="1" customFormat="1" x14ac:dyDescent="0.2"/>
    <row r="2356" s="1" customFormat="1" x14ac:dyDescent="0.2"/>
    <row r="2357" s="1" customFormat="1" x14ac:dyDescent="0.2"/>
    <row r="2358" s="1" customFormat="1" x14ac:dyDescent="0.2"/>
    <row r="2359" s="1" customFormat="1" x14ac:dyDescent="0.2"/>
    <row r="2360" s="1" customFormat="1" x14ac:dyDescent="0.2"/>
    <row r="2361" s="1" customFormat="1" x14ac:dyDescent="0.2"/>
    <row r="2362" s="1" customFormat="1" x14ac:dyDescent="0.2"/>
    <row r="2363" s="1" customFormat="1" x14ac:dyDescent="0.2"/>
    <row r="2364" s="1" customFormat="1" x14ac:dyDescent="0.2"/>
    <row r="2365" s="1" customFormat="1" x14ac:dyDescent="0.2"/>
    <row r="2366" s="1" customFormat="1" x14ac:dyDescent="0.2"/>
    <row r="2367" s="1" customFormat="1" x14ac:dyDescent="0.2"/>
    <row r="2368" s="1" customFormat="1" x14ac:dyDescent="0.2"/>
    <row r="2369" s="1" customFormat="1" x14ac:dyDescent="0.2"/>
    <row r="2370" s="1" customFormat="1" x14ac:dyDescent="0.2"/>
    <row r="2371" s="1" customFormat="1" x14ac:dyDescent="0.2"/>
    <row r="2372" s="1" customFormat="1" x14ac:dyDescent="0.2"/>
    <row r="2373" s="1" customFormat="1" x14ac:dyDescent="0.2"/>
    <row r="2374" s="1" customFormat="1" x14ac:dyDescent="0.2"/>
    <row r="2375" s="1" customFormat="1" x14ac:dyDescent="0.2"/>
    <row r="2376" s="1" customFormat="1" x14ac:dyDescent="0.2"/>
    <row r="2377" s="1" customFormat="1" x14ac:dyDescent="0.2"/>
    <row r="2378" s="1" customFormat="1" x14ac:dyDescent="0.2"/>
    <row r="2379" s="1" customFormat="1" x14ac:dyDescent="0.2"/>
    <row r="2380" s="1" customFormat="1" x14ac:dyDescent="0.2"/>
    <row r="2381" s="1" customFormat="1" x14ac:dyDescent="0.2"/>
    <row r="2382" s="1" customFormat="1" x14ac:dyDescent="0.2"/>
    <row r="2383" s="1" customFormat="1" x14ac:dyDescent="0.2"/>
    <row r="2384" s="1" customFormat="1" x14ac:dyDescent="0.2"/>
    <row r="2385" s="1" customFormat="1" x14ac:dyDescent="0.2"/>
    <row r="2386" s="1" customFormat="1" x14ac:dyDescent="0.2"/>
    <row r="2387" s="1" customFormat="1" x14ac:dyDescent="0.2"/>
    <row r="2388" s="1" customFormat="1" x14ac:dyDescent="0.2"/>
    <row r="2389" s="1" customFormat="1" x14ac:dyDescent="0.2"/>
    <row r="2390" s="1" customFormat="1" x14ac:dyDescent="0.2"/>
    <row r="2391" s="1" customFormat="1" x14ac:dyDescent="0.2"/>
    <row r="2392" s="1" customFormat="1" x14ac:dyDescent="0.2"/>
    <row r="2393" s="1" customFormat="1" x14ac:dyDescent="0.2"/>
    <row r="2394" s="1" customFormat="1" x14ac:dyDescent="0.2"/>
    <row r="2395" s="1" customFormat="1" x14ac:dyDescent="0.2"/>
    <row r="2396" s="1" customFormat="1" x14ac:dyDescent="0.2"/>
    <row r="2397" s="1" customFormat="1" x14ac:dyDescent="0.2"/>
    <row r="2398" s="1" customFormat="1" x14ac:dyDescent="0.2"/>
    <row r="2399" s="1" customFormat="1" x14ac:dyDescent="0.2"/>
    <row r="2400" s="1" customFormat="1" x14ac:dyDescent="0.2"/>
    <row r="2401" s="1" customFormat="1" x14ac:dyDescent="0.2"/>
    <row r="2402" s="1" customFormat="1" x14ac:dyDescent="0.2"/>
    <row r="2403" s="1" customFormat="1" x14ac:dyDescent="0.2"/>
    <row r="2404" s="1" customFormat="1" x14ac:dyDescent="0.2"/>
    <row r="2405" s="1" customFormat="1" x14ac:dyDescent="0.2"/>
    <row r="2406" s="1" customFormat="1" x14ac:dyDescent="0.2"/>
    <row r="2407" s="1" customFormat="1" x14ac:dyDescent="0.2"/>
    <row r="2408" s="1" customFormat="1" x14ac:dyDescent="0.2"/>
    <row r="2409" s="1" customFormat="1" x14ac:dyDescent="0.2"/>
    <row r="2410" s="1" customFormat="1" x14ac:dyDescent="0.2"/>
    <row r="2411" s="1" customFormat="1" x14ac:dyDescent="0.2"/>
    <row r="2412" s="1" customFormat="1" x14ac:dyDescent="0.2"/>
    <row r="2413" s="1" customFormat="1" x14ac:dyDescent="0.2"/>
    <row r="2414" s="1" customFormat="1" x14ac:dyDescent="0.2"/>
    <row r="2415" s="1" customFormat="1" x14ac:dyDescent="0.2"/>
    <row r="2416" s="1" customFormat="1" x14ac:dyDescent="0.2"/>
    <row r="2417" s="1" customFormat="1" x14ac:dyDescent="0.2"/>
    <row r="2418" s="1" customFormat="1" x14ac:dyDescent="0.2"/>
    <row r="2419" s="1" customFormat="1" x14ac:dyDescent="0.2"/>
    <row r="2420" s="1" customFormat="1" x14ac:dyDescent="0.2"/>
    <row r="2421" s="1" customFormat="1" x14ac:dyDescent="0.2"/>
    <row r="2422" s="1" customFormat="1" x14ac:dyDescent="0.2"/>
    <row r="2423" s="1" customFormat="1" x14ac:dyDescent="0.2"/>
    <row r="2424" s="1" customFormat="1" x14ac:dyDescent="0.2"/>
    <row r="2425" s="1" customFormat="1" x14ac:dyDescent="0.2"/>
    <row r="2426" s="1" customFormat="1" x14ac:dyDescent="0.2"/>
    <row r="2427" s="1" customFormat="1" x14ac:dyDescent="0.2"/>
    <row r="2428" s="1" customFormat="1" x14ac:dyDescent="0.2"/>
    <row r="2429" s="1" customFormat="1" x14ac:dyDescent="0.2"/>
    <row r="2430" s="1" customFormat="1" x14ac:dyDescent="0.2"/>
    <row r="2431" s="1" customFormat="1" x14ac:dyDescent="0.2"/>
    <row r="2432" s="1" customFormat="1" x14ac:dyDescent="0.2"/>
    <row r="2433" s="1" customFormat="1" x14ac:dyDescent="0.2"/>
    <row r="2434" s="1" customFormat="1" x14ac:dyDescent="0.2"/>
    <row r="2435" s="1" customFormat="1" x14ac:dyDescent="0.2"/>
    <row r="2436" s="1" customFormat="1" x14ac:dyDescent="0.2"/>
    <row r="2437" s="1" customFormat="1" x14ac:dyDescent="0.2"/>
    <row r="2438" s="1" customFormat="1" x14ac:dyDescent="0.2"/>
    <row r="2439" s="1" customFormat="1" x14ac:dyDescent="0.2"/>
    <row r="2440" s="1" customFormat="1" x14ac:dyDescent="0.2"/>
    <row r="2441" s="1" customFormat="1" x14ac:dyDescent="0.2"/>
    <row r="2442" s="1" customFormat="1" x14ac:dyDescent="0.2"/>
    <row r="2443" s="1" customFormat="1" x14ac:dyDescent="0.2"/>
    <row r="2444" s="1" customFormat="1" x14ac:dyDescent="0.2"/>
    <row r="2445" s="1" customFormat="1" x14ac:dyDescent="0.2"/>
    <row r="2446" s="1" customFormat="1" x14ac:dyDescent="0.2"/>
    <row r="2447" s="1" customFormat="1" x14ac:dyDescent="0.2"/>
    <row r="2448" s="1" customFormat="1" x14ac:dyDescent="0.2"/>
    <row r="2449" s="1" customFormat="1" x14ac:dyDescent="0.2"/>
    <row r="2450" s="1" customFormat="1" x14ac:dyDescent="0.2"/>
    <row r="2451" s="1" customFormat="1" x14ac:dyDescent="0.2"/>
    <row r="2452" s="1" customFormat="1" x14ac:dyDescent="0.2"/>
    <row r="2453" s="1" customFormat="1" x14ac:dyDescent="0.2"/>
    <row r="2454" s="1" customFormat="1" x14ac:dyDescent="0.2"/>
    <row r="2455" s="1" customFormat="1" x14ac:dyDescent="0.2"/>
    <row r="2456" s="1" customFormat="1" x14ac:dyDescent="0.2"/>
    <row r="2457" s="1" customFormat="1" x14ac:dyDescent="0.2"/>
    <row r="2458" s="1" customFormat="1" x14ac:dyDescent="0.2"/>
    <row r="2459" s="1" customFormat="1" x14ac:dyDescent="0.2"/>
    <row r="2460" s="1" customFormat="1" x14ac:dyDescent="0.2"/>
    <row r="2461" s="1" customFormat="1" x14ac:dyDescent="0.2"/>
    <row r="2462" s="1" customFormat="1" x14ac:dyDescent="0.2"/>
    <row r="2463" s="1" customFormat="1" x14ac:dyDescent="0.2"/>
    <row r="2464" s="1" customFormat="1" x14ac:dyDescent="0.2"/>
    <row r="2465" s="1" customFormat="1" x14ac:dyDescent="0.2"/>
    <row r="2466" s="1" customFormat="1" x14ac:dyDescent="0.2"/>
    <row r="2467" s="1" customFormat="1" x14ac:dyDescent="0.2"/>
    <row r="2468" s="1" customFormat="1" x14ac:dyDescent="0.2"/>
    <row r="2469" s="1" customFormat="1" x14ac:dyDescent="0.2"/>
    <row r="2470" s="1" customFormat="1" x14ac:dyDescent="0.2"/>
    <row r="2471" s="1" customFormat="1" x14ac:dyDescent="0.2"/>
    <row r="2472" s="1" customFormat="1" x14ac:dyDescent="0.2"/>
    <row r="2473" s="1" customFormat="1" x14ac:dyDescent="0.2"/>
    <row r="2474" s="1" customFormat="1" x14ac:dyDescent="0.2"/>
    <row r="2475" s="1" customFormat="1" x14ac:dyDescent="0.2"/>
    <row r="2476" s="1" customFormat="1" x14ac:dyDescent="0.2"/>
    <row r="2477" s="1" customFormat="1" x14ac:dyDescent="0.2"/>
    <row r="2478" s="1" customFormat="1" x14ac:dyDescent="0.2"/>
    <row r="2479" s="1" customFormat="1" x14ac:dyDescent="0.2"/>
    <row r="2480" s="1" customFormat="1" x14ac:dyDescent="0.2"/>
    <row r="2481" s="1" customFormat="1" x14ac:dyDescent="0.2"/>
    <row r="2482" s="1" customFormat="1" x14ac:dyDescent="0.2"/>
    <row r="2483" s="1" customFormat="1" x14ac:dyDescent="0.2"/>
    <row r="2484" s="1" customFormat="1" x14ac:dyDescent="0.2"/>
    <row r="2485" s="1" customFormat="1" x14ac:dyDescent="0.2"/>
    <row r="2486" s="1" customFormat="1" x14ac:dyDescent="0.2"/>
    <row r="2487" s="1" customFormat="1" x14ac:dyDescent="0.2"/>
    <row r="2488" s="1" customFormat="1" x14ac:dyDescent="0.2"/>
    <row r="2489" s="1" customFormat="1" x14ac:dyDescent="0.2"/>
    <row r="2490" s="1" customFormat="1" x14ac:dyDescent="0.2"/>
    <row r="2491" s="1" customFormat="1" x14ac:dyDescent="0.2"/>
    <row r="2492" s="1" customFormat="1" x14ac:dyDescent="0.2"/>
    <row r="2493" s="1" customFormat="1" x14ac:dyDescent="0.2"/>
    <row r="2494" s="1" customFormat="1" x14ac:dyDescent="0.2"/>
    <row r="2495" s="1" customFormat="1" x14ac:dyDescent="0.2"/>
    <row r="2496" s="1" customFormat="1" x14ac:dyDescent="0.2"/>
    <row r="2497" s="1" customFormat="1" x14ac:dyDescent="0.2"/>
    <row r="2498" s="1" customFormat="1" x14ac:dyDescent="0.2"/>
    <row r="2499" s="1" customFormat="1" x14ac:dyDescent="0.2"/>
    <row r="2500" s="1" customFormat="1" x14ac:dyDescent="0.2"/>
    <row r="2501" s="1" customFormat="1" x14ac:dyDescent="0.2"/>
    <row r="2502" s="1" customFormat="1" x14ac:dyDescent="0.2"/>
    <row r="2503" s="1" customFormat="1" x14ac:dyDescent="0.2"/>
    <row r="2504" s="1" customFormat="1" x14ac:dyDescent="0.2"/>
    <row r="2505" s="1" customFormat="1" x14ac:dyDescent="0.2"/>
    <row r="2506" s="1" customFormat="1" x14ac:dyDescent="0.2"/>
    <row r="2507" s="1" customFormat="1" x14ac:dyDescent="0.2"/>
    <row r="2508" s="1" customFormat="1" x14ac:dyDescent="0.2"/>
    <row r="2509" s="1" customFormat="1" x14ac:dyDescent="0.2"/>
    <row r="2510" s="1" customFormat="1" x14ac:dyDescent="0.2"/>
    <row r="2511" s="1" customFormat="1" x14ac:dyDescent="0.2"/>
    <row r="2512" s="1" customFormat="1" x14ac:dyDescent="0.2"/>
    <row r="2513" s="1" customFormat="1" x14ac:dyDescent="0.2"/>
    <row r="2514" s="1" customFormat="1" x14ac:dyDescent="0.2"/>
    <row r="2515" s="1" customFormat="1" x14ac:dyDescent="0.2"/>
    <row r="2516" s="1" customFormat="1" x14ac:dyDescent="0.2"/>
    <row r="2517" s="1" customFormat="1" x14ac:dyDescent="0.2"/>
    <row r="2518" s="1" customFormat="1" x14ac:dyDescent="0.2"/>
    <row r="2519" s="1" customFormat="1" x14ac:dyDescent="0.2"/>
    <row r="2520" s="1" customFormat="1" x14ac:dyDescent="0.2"/>
    <row r="2521" s="1" customFormat="1" x14ac:dyDescent="0.2"/>
    <row r="2522" s="1" customFormat="1" x14ac:dyDescent="0.2"/>
    <row r="2523" s="1" customFormat="1" x14ac:dyDescent="0.2"/>
    <row r="2524" s="1" customFormat="1" x14ac:dyDescent="0.2"/>
    <row r="2525" s="1" customFormat="1" x14ac:dyDescent="0.2"/>
    <row r="2526" s="1" customFormat="1" x14ac:dyDescent="0.2"/>
    <row r="2527" s="1" customFormat="1" x14ac:dyDescent="0.2"/>
    <row r="2528" s="1" customFormat="1" x14ac:dyDescent="0.2"/>
    <row r="2529" s="1" customFormat="1" x14ac:dyDescent="0.2"/>
    <row r="2530" s="1" customFormat="1" x14ac:dyDescent="0.2"/>
    <row r="2531" s="1" customFormat="1" x14ac:dyDescent="0.2"/>
    <row r="2532" s="1" customFormat="1" x14ac:dyDescent="0.2"/>
    <row r="2533" s="1" customFormat="1" x14ac:dyDescent="0.2"/>
    <row r="2534" s="1" customFormat="1" x14ac:dyDescent="0.2"/>
    <row r="2535" s="1" customFormat="1" x14ac:dyDescent="0.2"/>
    <row r="2536" s="1" customFormat="1" x14ac:dyDescent="0.2"/>
    <row r="2537" s="1" customFormat="1" x14ac:dyDescent="0.2"/>
    <row r="2538" s="1" customFormat="1" x14ac:dyDescent="0.2"/>
    <row r="2539" s="1" customFormat="1" x14ac:dyDescent="0.2"/>
    <row r="2540" s="1" customFormat="1" x14ac:dyDescent="0.2"/>
    <row r="2541" s="1" customFormat="1" x14ac:dyDescent="0.2"/>
    <row r="2542" s="1" customFormat="1" x14ac:dyDescent="0.2"/>
    <row r="2543" s="1" customFormat="1" x14ac:dyDescent="0.2"/>
    <row r="2544" s="1" customFormat="1" x14ac:dyDescent="0.2"/>
    <row r="2545" s="1" customFormat="1" x14ac:dyDescent="0.2"/>
    <row r="2546" s="1" customFormat="1" x14ac:dyDescent="0.2"/>
    <row r="2547" s="1" customFormat="1" x14ac:dyDescent="0.2"/>
    <row r="2548" s="1" customFormat="1" x14ac:dyDescent="0.2"/>
    <row r="2549" s="1" customFormat="1" x14ac:dyDescent="0.2"/>
    <row r="2550" s="1" customFormat="1" x14ac:dyDescent="0.2"/>
    <row r="2551" s="1" customFormat="1" x14ac:dyDescent="0.2"/>
    <row r="2552" s="1" customFormat="1" x14ac:dyDescent="0.2"/>
    <row r="2553" s="1" customFormat="1" x14ac:dyDescent="0.2"/>
    <row r="2554" s="1" customFormat="1" x14ac:dyDescent="0.2"/>
    <row r="2555" s="1" customFormat="1" x14ac:dyDescent="0.2"/>
    <row r="2556" s="1" customFormat="1" x14ac:dyDescent="0.2"/>
    <row r="2557" s="1" customFormat="1" x14ac:dyDescent="0.2"/>
    <row r="2558" s="1" customFormat="1" x14ac:dyDescent="0.2"/>
    <row r="2559" s="1" customFormat="1" x14ac:dyDescent="0.2"/>
    <row r="2560" s="1" customFormat="1" x14ac:dyDescent="0.2"/>
    <row r="2561" s="1" customFormat="1" x14ac:dyDescent="0.2"/>
    <row r="2562" s="1" customFormat="1" x14ac:dyDescent="0.2"/>
    <row r="2563" s="1" customFormat="1" x14ac:dyDescent="0.2"/>
    <row r="2564" s="1" customFormat="1" x14ac:dyDescent="0.2"/>
    <row r="2565" s="1" customFormat="1" x14ac:dyDescent="0.2"/>
    <row r="2566" s="1" customFormat="1" x14ac:dyDescent="0.2"/>
    <row r="2567" s="1" customFormat="1" x14ac:dyDescent="0.2"/>
    <row r="2568" s="1" customFormat="1" x14ac:dyDescent="0.2"/>
    <row r="2569" s="1" customFormat="1" x14ac:dyDescent="0.2"/>
    <row r="2570" s="1" customFormat="1" x14ac:dyDescent="0.2"/>
    <row r="2571" s="1" customFormat="1" x14ac:dyDescent="0.2"/>
    <row r="2572" s="1" customFormat="1" x14ac:dyDescent="0.2"/>
    <row r="2573" s="1" customFormat="1" x14ac:dyDescent="0.2"/>
    <row r="2574" s="1" customFormat="1" x14ac:dyDescent="0.2"/>
    <row r="2575" s="1" customFormat="1" x14ac:dyDescent="0.2"/>
    <row r="2576" s="1" customFormat="1" x14ac:dyDescent="0.2"/>
    <row r="2577" s="1" customFormat="1" x14ac:dyDescent="0.2"/>
    <row r="2578" s="1" customFormat="1" x14ac:dyDescent="0.2"/>
    <row r="2579" s="1" customFormat="1" x14ac:dyDescent="0.2"/>
    <row r="2580" s="1" customFormat="1" x14ac:dyDescent="0.2"/>
    <row r="2581" s="1" customFormat="1" x14ac:dyDescent="0.2"/>
    <row r="2582" s="1" customFormat="1" x14ac:dyDescent="0.2"/>
    <row r="2583" s="1" customFormat="1" x14ac:dyDescent="0.2"/>
    <row r="2584" s="1" customFormat="1" x14ac:dyDescent="0.2"/>
    <row r="2585" s="1" customFormat="1" x14ac:dyDescent="0.2"/>
    <row r="2586" s="1" customFormat="1" x14ac:dyDescent="0.2"/>
    <row r="2587" s="1" customFormat="1" x14ac:dyDescent="0.2"/>
    <row r="2588" s="1" customFormat="1" x14ac:dyDescent="0.2"/>
    <row r="2589" s="1" customFormat="1" x14ac:dyDescent="0.2"/>
    <row r="2590" s="1" customFormat="1" x14ac:dyDescent="0.2"/>
    <row r="2591" s="1" customFormat="1" x14ac:dyDescent="0.2"/>
    <row r="2592" s="1" customFormat="1" x14ac:dyDescent="0.2"/>
    <row r="2593" s="1" customFormat="1" x14ac:dyDescent="0.2"/>
    <row r="2594" s="1" customFormat="1" x14ac:dyDescent="0.2"/>
    <row r="2595" s="1" customFormat="1" x14ac:dyDescent="0.2"/>
    <row r="2596" s="1" customFormat="1" x14ac:dyDescent="0.2"/>
    <row r="2597" s="1" customFormat="1" x14ac:dyDescent="0.2"/>
    <row r="2598" s="1" customFormat="1" x14ac:dyDescent="0.2"/>
    <row r="2599" s="1" customFormat="1" x14ac:dyDescent="0.2"/>
    <row r="2600" s="1" customFormat="1" x14ac:dyDescent="0.2"/>
    <row r="2601" s="1" customFormat="1" x14ac:dyDescent="0.2"/>
    <row r="2602" s="1" customFormat="1" x14ac:dyDescent="0.2"/>
    <row r="2603" s="1" customFormat="1" x14ac:dyDescent="0.2"/>
    <row r="2604" s="1" customFormat="1" x14ac:dyDescent="0.2"/>
    <row r="2605" s="1" customFormat="1" x14ac:dyDescent="0.2"/>
    <row r="2606" s="1" customFormat="1" x14ac:dyDescent="0.2"/>
    <row r="2607" s="1" customFormat="1" x14ac:dyDescent="0.2"/>
    <row r="2608" s="1" customFormat="1" x14ac:dyDescent="0.2"/>
    <row r="2609" s="1" customFormat="1" x14ac:dyDescent="0.2"/>
    <row r="2610" s="1" customFormat="1" x14ac:dyDescent="0.2"/>
    <row r="2611" s="1" customFormat="1" x14ac:dyDescent="0.2"/>
    <row r="2612" s="1" customFormat="1" x14ac:dyDescent="0.2"/>
    <row r="2613" s="1" customFormat="1" x14ac:dyDescent="0.2"/>
    <row r="2614" s="1" customFormat="1" x14ac:dyDescent="0.2"/>
    <row r="2615" s="1" customFormat="1" x14ac:dyDescent="0.2"/>
    <row r="2616" s="1" customFormat="1" x14ac:dyDescent="0.2"/>
    <row r="2617" s="1" customFormat="1" x14ac:dyDescent="0.2"/>
    <row r="2618" s="1" customFormat="1" x14ac:dyDescent="0.2"/>
    <row r="2619" s="1" customFormat="1" x14ac:dyDescent="0.2"/>
    <row r="2620" s="1" customFormat="1" x14ac:dyDescent="0.2"/>
    <row r="2621" s="1" customFormat="1" x14ac:dyDescent="0.2"/>
    <row r="2622" s="1" customFormat="1" x14ac:dyDescent="0.2"/>
    <row r="2623" s="1" customFormat="1" x14ac:dyDescent="0.2"/>
    <row r="2624" s="1" customFormat="1" x14ac:dyDescent="0.2"/>
    <row r="2625" s="1" customFormat="1" x14ac:dyDescent="0.2"/>
    <row r="2626" s="1" customFormat="1" x14ac:dyDescent="0.2"/>
    <row r="2627" s="1" customFormat="1" x14ac:dyDescent="0.2"/>
    <row r="2628" s="1" customFormat="1" x14ac:dyDescent="0.2"/>
    <row r="2629" s="1" customFormat="1" x14ac:dyDescent="0.2"/>
    <row r="2630" s="1" customFormat="1" x14ac:dyDescent="0.2"/>
    <row r="2631" s="1" customFormat="1" x14ac:dyDescent="0.2"/>
    <row r="2632" s="1" customFormat="1" x14ac:dyDescent="0.2"/>
    <row r="2633" s="1" customFormat="1" x14ac:dyDescent="0.2"/>
    <row r="2634" s="1" customFormat="1" x14ac:dyDescent="0.2"/>
    <row r="2635" s="1" customFormat="1" x14ac:dyDescent="0.2"/>
    <row r="2636" s="1" customFormat="1" x14ac:dyDescent="0.2"/>
    <row r="2637" s="1" customFormat="1" x14ac:dyDescent="0.2"/>
    <row r="2638" s="1" customFormat="1" x14ac:dyDescent="0.2"/>
    <row r="2639" s="1" customFormat="1" x14ac:dyDescent="0.2"/>
    <row r="2640" s="1" customFormat="1" x14ac:dyDescent="0.2"/>
    <row r="2641" s="1" customFormat="1" x14ac:dyDescent="0.2"/>
    <row r="2642" s="1" customFormat="1" x14ac:dyDescent="0.2"/>
    <row r="2643" s="1" customFormat="1" x14ac:dyDescent="0.2"/>
    <row r="2644" s="1" customFormat="1" x14ac:dyDescent="0.2"/>
    <row r="2645" s="1" customFormat="1" x14ac:dyDescent="0.2"/>
    <row r="2646" s="1" customFormat="1" x14ac:dyDescent="0.2"/>
    <row r="2647" s="1" customFormat="1" x14ac:dyDescent="0.2"/>
    <row r="2648" s="1" customFormat="1" x14ac:dyDescent="0.2"/>
    <row r="2649" s="1" customFormat="1" x14ac:dyDescent="0.2"/>
    <row r="2650" s="1" customFormat="1" x14ac:dyDescent="0.2"/>
    <row r="2651" s="1" customFormat="1" x14ac:dyDescent="0.2"/>
    <row r="2652" s="1" customFormat="1" x14ac:dyDescent="0.2"/>
    <row r="2653" s="1" customFormat="1" x14ac:dyDescent="0.2"/>
    <row r="2654" s="1" customFormat="1" x14ac:dyDescent="0.2"/>
    <row r="2655" s="1" customFormat="1" x14ac:dyDescent="0.2"/>
    <row r="2656" s="1" customFormat="1" x14ac:dyDescent="0.2"/>
    <row r="2657" s="1" customFormat="1" x14ac:dyDescent="0.2"/>
    <row r="2658" s="1" customFormat="1" x14ac:dyDescent="0.2"/>
    <row r="2659" s="1" customFormat="1" x14ac:dyDescent="0.2"/>
    <row r="2660" s="1" customFormat="1" x14ac:dyDescent="0.2"/>
    <row r="2661" s="1" customFormat="1" x14ac:dyDescent="0.2"/>
    <row r="2662" s="1" customFormat="1" x14ac:dyDescent="0.2"/>
    <row r="2663" s="1" customFormat="1" x14ac:dyDescent="0.2"/>
    <row r="2664" s="1" customFormat="1" x14ac:dyDescent="0.2"/>
    <row r="2665" s="1" customFormat="1" x14ac:dyDescent="0.2"/>
    <row r="2666" s="1" customFormat="1" x14ac:dyDescent="0.2"/>
    <row r="2667" s="1" customFormat="1" x14ac:dyDescent="0.2"/>
    <row r="2668" s="1" customFormat="1" x14ac:dyDescent="0.2"/>
    <row r="2669" s="1" customFormat="1" x14ac:dyDescent="0.2"/>
    <row r="2670" s="1" customFormat="1" x14ac:dyDescent="0.2"/>
    <row r="2671" s="1" customFormat="1" x14ac:dyDescent="0.2"/>
    <row r="2672" s="1" customFormat="1" x14ac:dyDescent="0.2"/>
    <row r="2673" s="1" customFormat="1" x14ac:dyDescent="0.2"/>
    <row r="2674" s="1" customFormat="1" x14ac:dyDescent="0.2"/>
    <row r="2675" s="1" customFormat="1" x14ac:dyDescent="0.2"/>
    <row r="2676" s="1" customFormat="1" x14ac:dyDescent="0.2"/>
    <row r="2677" s="1" customFormat="1" x14ac:dyDescent="0.2"/>
    <row r="2678" s="1" customFormat="1" x14ac:dyDescent="0.2"/>
    <row r="2679" s="1" customFormat="1" x14ac:dyDescent="0.2"/>
    <row r="2680" s="1" customFormat="1" x14ac:dyDescent="0.2"/>
    <row r="2681" s="1" customFormat="1" x14ac:dyDescent="0.2"/>
    <row r="2682" s="1" customFormat="1" x14ac:dyDescent="0.2"/>
    <row r="2683" s="1" customFormat="1" x14ac:dyDescent="0.2"/>
    <row r="2684" s="1" customFormat="1" x14ac:dyDescent="0.2"/>
    <row r="2685" s="1" customFormat="1" x14ac:dyDescent="0.2"/>
    <row r="2686" s="1" customFormat="1" x14ac:dyDescent="0.2"/>
    <row r="2687" s="1" customFormat="1" x14ac:dyDescent="0.2"/>
    <row r="2688" s="1" customFormat="1" x14ac:dyDescent="0.2"/>
    <row r="2689" s="1" customFormat="1" x14ac:dyDescent="0.2"/>
    <row r="2690" s="1" customFormat="1" x14ac:dyDescent="0.2"/>
    <row r="2691" s="1" customFormat="1" x14ac:dyDescent="0.2"/>
    <row r="2692" s="1" customFormat="1" x14ac:dyDescent="0.2"/>
    <row r="2693" s="1" customFormat="1" x14ac:dyDescent="0.2"/>
    <row r="2694" s="1" customFormat="1" x14ac:dyDescent="0.2"/>
    <row r="2695" s="1" customFormat="1" x14ac:dyDescent="0.2"/>
    <row r="2696" s="1" customFormat="1" x14ac:dyDescent="0.2"/>
    <row r="2697" s="1" customFormat="1" x14ac:dyDescent="0.2"/>
    <row r="2698" s="1" customFormat="1" x14ac:dyDescent="0.2"/>
    <row r="2699" s="1" customFormat="1" x14ac:dyDescent="0.2"/>
    <row r="2700" s="1" customFormat="1" x14ac:dyDescent="0.2"/>
    <row r="2701" s="1" customFormat="1" x14ac:dyDescent="0.2"/>
    <row r="2702" s="1" customFormat="1" x14ac:dyDescent="0.2"/>
    <row r="2703" s="1" customFormat="1" x14ac:dyDescent="0.2"/>
    <row r="2704" s="1" customFormat="1" x14ac:dyDescent="0.2"/>
    <row r="2705" s="1" customFormat="1" x14ac:dyDescent="0.2"/>
    <row r="2706" s="1" customFormat="1" x14ac:dyDescent="0.2"/>
    <row r="2707" s="1" customFormat="1" x14ac:dyDescent="0.2"/>
    <row r="2708" s="1" customFormat="1" x14ac:dyDescent="0.2"/>
    <row r="2709" s="1" customFormat="1" x14ac:dyDescent="0.2"/>
    <row r="2710" s="1" customFormat="1" x14ac:dyDescent="0.2"/>
    <row r="2711" s="1" customFormat="1" x14ac:dyDescent="0.2"/>
    <row r="2712" s="1" customFormat="1" x14ac:dyDescent="0.2"/>
    <row r="2713" s="1" customFormat="1" x14ac:dyDescent="0.2"/>
    <row r="2714" s="1" customFormat="1" x14ac:dyDescent="0.2"/>
    <row r="2715" s="1" customFormat="1" x14ac:dyDescent="0.2"/>
    <row r="2716" s="1" customFormat="1" x14ac:dyDescent="0.2"/>
    <row r="2717" s="1" customFormat="1" x14ac:dyDescent="0.2"/>
    <row r="2718" s="1" customFormat="1" x14ac:dyDescent="0.2"/>
    <row r="2719" s="1" customFormat="1" x14ac:dyDescent="0.2"/>
    <row r="2720" s="1" customFormat="1" x14ac:dyDescent="0.2"/>
    <row r="2721" s="1" customFormat="1" x14ac:dyDescent="0.2"/>
    <row r="2722" s="1" customFormat="1" x14ac:dyDescent="0.2"/>
    <row r="2723" s="1" customFormat="1" x14ac:dyDescent="0.2"/>
    <row r="2724" s="1" customFormat="1" x14ac:dyDescent="0.2"/>
    <row r="2725" s="1" customFormat="1" x14ac:dyDescent="0.2"/>
    <row r="2726" s="1" customFormat="1" x14ac:dyDescent="0.2"/>
    <row r="2727" s="1" customFormat="1" x14ac:dyDescent="0.2"/>
    <row r="2728" s="1" customFormat="1" x14ac:dyDescent="0.2"/>
    <row r="2729" s="1" customFormat="1" x14ac:dyDescent="0.2"/>
    <row r="2730" s="1" customFormat="1" x14ac:dyDescent="0.2"/>
    <row r="2731" s="1" customFormat="1" x14ac:dyDescent="0.2"/>
    <row r="2732" s="1" customFormat="1" x14ac:dyDescent="0.2"/>
    <row r="2733" s="1" customFormat="1" x14ac:dyDescent="0.2"/>
    <row r="2734" s="1" customFormat="1" x14ac:dyDescent="0.2"/>
    <row r="2735" s="1" customFormat="1" x14ac:dyDescent="0.2"/>
    <row r="2736" s="1" customFormat="1" x14ac:dyDescent="0.2"/>
    <row r="2737" s="1" customFormat="1" x14ac:dyDescent="0.2"/>
    <row r="2738" s="1" customFormat="1" x14ac:dyDescent="0.2"/>
    <row r="2739" s="1" customFormat="1" x14ac:dyDescent="0.2"/>
    <row r="2740" s="1" customFormat="1" x14ac:dyDescent="0.2"/>
    <row r="2741" s="1" customFormat="1" x14ac:dyDescent="0.2"/>
    <row r="2742" s="1" customFormat="1" x14ac:dyDescent="0.2"/>
    <row r="2743" s="1" customFormat="1" x14ac:dyDescent="0.2"/>
    <row r="2744" s="1" customFormat="1" x14ac:dyDescent="0.2"/>
    <row r="2745" s="1" customFormat="1" x14ac:dyDescent="0.2"/>
    <row r="2746" s="1" customFormat="1" x14ac:dyDescent="0.2"/>
    <row r="2747" s="1" customFormat="1" x14ac:dyDescent="0.2"/>
    <row r="2748" s="1" customFormat="1" x14ac:dyDescent="0.2"/>
    <row r="2749" s="1" customFormat="1" x14ac:dyDescent="0.2"/>
    <row r="2750" s="1" customFormat="1" x14ac:dyDescent="0.2"/>
    <row r="2751" s="1" customFormat="1" x14ac:dyDescent="0.2"/>
    <row r="2752" s="1" customFormat="1" x14ac:dyDescent="0.2"/>
    <row r="2753" s="1" customFormat="1" x14ac:dyDescent="0.2"/>
    <row r="2754" s="1" customFormat="1" x14ac:dyDescent="0.2"/>
    <row r="2755" s="1" customFormat="1" x14ac:dyDescent="0.2"/>
    <row r="2756" s="1" customFormat="1" x14ac:dyDescent="0.2"/>
    <row r="2757" s="1" customFormat="1" x14ac:dyDescent="0.2"/>
    <row r="2758" s="1" customFormat="1" x14ac:dyDescent="0.2"/>
    <row r="2759" s="1" customFormat="1" x14ac:dyDescent="0.2"/>
    <row r="2760" s="1" customFormat="1" x14ac:dyDescent="0.2"/>
    <row r="2761" s="1" customFormat="1" x14ac:dyDescent="0.2"/>
    <row r="2762" s="1" customFormat="1" x14ac:dyDescent="0.2"/>
    <row r="2763" s="1" customFormat="1" x14ac:dyDescent="0.2"/>
    <row r="2764" s="1" customFormat="1" x14ac:dyDescent="0.2"/>
    <row r="2765" s="1" customFormat="1" x14ac:dyDescent="0.2"/>
    <row r="2766" s="1" customFormat="1" x14ac:dyDescent="0.2"/>
    <row r="2767" s="1" customFormat="1" x14ac:dyDescent="0.2"/>
    <row r="2768" s="1" customFormat="1" x14ac:dyDescent="0.2"/>
    <row r="2769" s="1" customFormat="1" x14ac:dyDescent="0.2"/>
    <row r="2770" s="1" customFormat="1" x14ac:dyDescent="0.2"/>
    <row r="2771" s="1" customFormat="1" x14ac:dyDescent="0.2"/>
    <row r="2772" s="1" customFormat="1" x14ac:dyDescent="0.2"/>
    <row r="2773" s="1" customFormat="1" x14ac:dyDescent="0.2"/>
    <row r="2774" s="1" customFormat="1" x14ac:dyDescent="0.2"/>
    <row r="2775" s="1" customFormat="1" x14ac:dyDescent="0.2"/>
    <row r="2776" s="1" customFormat="1" x14ac:dyDescent="0.2"/>
    <row r="2777" s="1" customFormat="1" x14ac:dyDescent="0.2"/>
    <row r="2778" s="1" customFormat="1" x14ac:dyDescent="0.2"/>
    <row r="2779" s="1" customFormat="1" x14ac:dyDescent="0.2"/>
    <row r="2780" s="1" customFormat="1" x14ac:dyDescent="0.2"/>
    <row r="2781" s="1" customFormat="1" x14ac:dyDescent="0.2"/>
    <row r="2782" s="1" customFormat="1" x14ac:dyDescent="0.2"/>
    <row r="2783" s="1" customFormat="1" x14ac:dyDescent="0.2"/>
    <row r="2784" s="1" customFormat="1" x14ac:dyDescent="0.2"/>
    <row r="2785" s="1" customFormat="1" x14ac:dyDescent="0.2"/>
    <row r="2786" s="1" customFormat="1" x14ac:dyDescent="0.2"/>
    <row r="2787" s="1" customFormat="1" x14ac:dyDescent="0.2"/>
    <row r="2788" s="1" customFormat="1" x14ac:dyDescent="0.2"/>
    <row r="2789" s="1" customFormat="1" x14ac:dyDescent="0.2"/>
    <row r="2790" s="1" customFormat="1" x14ac:dyDescent="0.2"/>
    <row r="2791" s="1" customFormat="1" x14ac:dyDescent="0.2"/>
    <row r="2792" s="1" customFormat="1" x14ac:dyDescent="0.2"/>
    <row r="2793" s="1" customFormat="1" x14ac:dyDescent="0.2"/>
    <row r="2794" s="1" customFormat="1" x14ac:dyDescent="0.2"/>
    <row r="2795" s="1" customFormat="1" x14ac:dyDescent="0.2"/>
    <row r="2796" s="1" customFormat="1" x14ac:dyDescent="0.2"/>
    <row r="2797" s="1" customFormat="1" x14ac:dyDescent="0.2"/>
    <row r="2798" s="1" customFormat="1" x14ac:dyDescent="0.2"/>
    <row r="2799" s="1" customFormat="1" x14ac:dyDescent="0.2"/>
    <row r="2800" s="1" customFormat="1" x14ac:dyDescent="0.2"/>
    <row r="2801" s="1" customFormat="1" x14ac:dyDescent="0.2"/>
    <row r="2802" s="1" customFormat="1" x14ac:dyDescent="0.2"/>
    <row r="2803" s="1" customFormat="1" x14ac:dyDescent="0.2"/>
    <row r="2804" s="1" customFormat="1" x14ac:dyDescent="0.2"/>
    <row r="2805" s="1" customFormat="1" x14ac:dyDescent="0.2"/>
    <row r="2806" s="1" customFormat="1" x14ac:dyDescent="0.2"/>
    <row r="2807" s="1" customFormat="1" x14ac:dyDescent="0.2"/>
    <row r="2808" s="1" customFormat="1" x14ac:dyDescent="0.2"/>
    <row r="2809" s="1" customFormat="1" x14ac:dyDescent="0.2"/>
    <row r="2810" s="1" customFormat="1" x14ac:dyDescent="0.2"/>
    <row r="2811" s="1" customFormat="1" x14ac:dyDescent="0.2"/>
    <row r="2812" s="1" customFormat="1" x14ac:dyDescent="0.2"/>
    <row r="2813" s="1" customFormat="1" x14ac:dyDescent="0.2"/>
    <row r="2814" s="1" customFormat="1" x14ac:dyDescent="0.2"/>
    <row r="2815" s="1" customFormat="1" x14ac:dyDescent="0.2"/>
    <row r="2816" s="1" customFormat="1" x14ac:dyDescent="0.2"/>
    <row r="2817" s="1" customFormat="1" x14ac:dyDescent="0.2"/>
    <row r="2818" s="1" customFormat="1" x14ac:dyDescent="0.2"/>
    <row r="2819" s="1" customFormat="1" x14ac:dyDescent="0.2"/>
    <row r="2820" s="1" customFormat="1" x14ac:dyDescent="0.2"/>
    <row r="2821" s="1" customFormat="1" x14ac:dyDescent="0.2"/>
    <row r="2822" s="1" customFormat="1" x14ac:dyDescent="0.2"/>
    <row r="2823" s="1" customFormat="1" x14ac:dyDescent="0.2"/>
    <row r="2824" s="1" customFormat="1" x14ac:dyDescent="0.2"/>
    <row r="2825" s="1" customFormat="1" x14ac:dyDescent="0.2"/>
    <row r="2826" s="1" customFormat="1" x14ac:dyDescent="0.2"/>
    <row r="2827" s="1" customFormat="1" x14ac:dyDescent="0.2"/>
    <row r="2828" s="1" customFormat="1" x14ac:dyDescent="0.2"/>
    <row r="2829" s="1" customFormat="1" x14ac:dyDescent="0.2"/>
    <row r="2830" s="1" customFormat="1" x14ac:dyDescent="0.2"/>
    <row r="2831" s="1" customFormat="1" x14ac:dyDescent="0.2"/>
    <row r="2832" s="1" customFormat="1" x14ac:dyDescent="0.2"/>
    <row r="2833" s="1" customFormat="1" x14ac:dyDescent="0.2"/>
    <row r="2834" s="1" customFormat="1" x14ac:dyDescent="0.2"/>
    <row r="2835" s="1" customFormat="1" x14ac:dyDescent="0.2"/>
    <row r="2836" s="1" customFormat="1" x14ac:dyDescent="0.2"/>
    <row r="2837" s="1" customFormat="1" x14ac:dyDescent="0.2"/>
    <row r="2838" s="1" customFormat="1" x14ac:dyDescent="0.2"/>
    <row r="2839" s="1" customFormat="1" x14ac:dyDescent="0.2"/>
    <row r="2840" s="1" customFormat="1" x14ac:dyDescent="0.2"/>
    <row r="2841" s="1" customFormat="1" x14ac:dyDescent="0.2"/>
    <row r="2842" s="1" customFormat="1" x14ac:dyDescent="0.2"/>
    <row r="2843" s="1" customFormat="1" x14ac:dyDescent="0.2"/>
    <row r="2844" s="1" customFormat="1" x14ac:dyDescent="0.2"/>
    <row r="2845" s="1" customFormat="1" x14ac:dyDescent="0.2"/>
    <row r="2846" s="1" customFormat="1" x14ac:dyDescent="0.2"/>
    <row r="2847" s="1" customFormat="1" x14ac:dyDescent="0.2"/>
    <row r="2848" s="1" customFormat="1" x14ac:dyDescent="0.2"/>
    <row r="2849" s="1" customFormat="1" x14ac:dyDescent="0.2"/>
    <row r="2850" s="1" customFormat="1" x14ac:dyDescent="0.2"/>
    <row r="2851" s="1" customFormat="1" x14ac:dyDescent="0.2"/>
    <row r="2852" s="1" customFormat="1" x14ac:dyDescent="0.2"/>
    <row r="2853" s="1" customFormat="1" x14ac:dyDescent="0.2"/>
    <row r="2854" s="1" customFormat="1" x14ac:dyDescent="0.2"/>
    <row r="2855" s="1" customFormat="1" x14ac:dyDescent="0.2"/>
    <row r="2856" s="1" customFormat="1" x14ac:dyDescent="0.2"/>
    <row r="2857" s="1" customFormat="1" x14ac:dyDescent="0.2"/>
    <row r="2858" s="1" customFormat="1" x14ac:dyDescent="0.2"/>
    <row r="2859" s="1" customFormat="1" x14ac:dyDescent="0.2"/>
    <row r="2860" s="1" customFormat="1" x14ac:dyDescent="0.2"/>
    <row r="2861" s="1" customFormat="1" x14ac:dyDescent="0.2"/>
    <row r="2862" s="1" customFormat="1" x14ac:dyDescent="0.2"/>
    <row r="2863" s="1" customFormat="1" x14ac:dyDescent="0.2"/>
    <row r="2864" s="1" customFormat="1" x14ac:dyDescent="0.2"/>
    <row r="2865" s="1" customFormat="1" x14ac:dyDescent="0.2"/>
    <row r="2866" s="1" customFormat="1" x14ac:dyDescent="0.2"/>
    <row r="2867" s="1" customFormat="1" x14ac:dyDescent="0.2"/>
    <row r="2868" s="1" customFormat="1" x14ac:dyDescent="0.2"/>
    <row r="2869" s="1" customFormat="1" x14ac:dyDescent="0.2"/>
    <row r="2870" s="1" customFormat="1" x14ac:dyDescent="0.2"/>
    <row r="2871" s="1" customFormat="1" x14ac:dyDescent="0.2"/>
    <row r="2872" s="1" customFormat="1" x14ac:dyDescent="0.2"/>
    <row r="2873" s="1" customFormat="1" x14ac:dyDescent="0.2"/>
    <row r="2874" s="1" customFormat="1" x14ac:dyDescent="0.2"/>
    <row r="2875" s="1" customFormat="1" x14ac:dyDescent="0.2"/>
    <row r="2876" s="1" customFormat="1" x14ac:dyDescent="0.2"/>
    <row r="2877" s="1" customFormat="1" x14ac:dyDescent="0.2"/>
    <row r="2878" s="1" customFormat="1" x14ac:dyDescent="0.2"/>
    <row r="2879" s="1" customFormat="1" x14ac:dyDescent="0.2"/>
    <row r="2880" s="1" customFormat="1" x14ac:dyDescent="0.2"/>
    <row r="2881" s="1" customFormat="1" x14ac:dyDescent="0.2"/>
    <row r="2882" s="1" customFormat="1" x14ac:dyDescent="0.2"/>
    <row r="2883" s="1" customFormat="1" x14ac:dyDescent="0.2"/>
    <row r="2884" s="1" customFormat="1" x14ac:dyDescent="0.2"/>
    <row r="2885" s="1" customFormat="1" x14ac:dyDescent="0.2"/>
    <row r="2886" s="1" customFormat="1" x14ac:dyDescent="0.2"/>
    <row r="2887" s="1" customFormat="1" x14ac:dyDescent="0.2"/>
    <row r="2888" s="1" customFormat="1" x14ac:dyDescent="0.2"/>
    <row r="2889" s="1" customFormat="1" x14ac:dyDescent="0.2"/>
    <row r="2890" s="1" customFormat="1" x14ac:dyDescent="0.2"/>
    <row r="2891" s="1" customFormat="1" x14ac:dyDescent="0.2"/>
    <row r="2892" s="1" customFormat="1" x14ac:dyDescent="0.2"/>
    <row r="2893" s="1" customFormat="1" x14ac:dyDescent="0.2"/>
    <row r="2894" s="1" customFormat="1" x14ac:dyDescent="0.2"/>
    <row r="2895" s="1" customFormat="1" x14ac:dyDescent="0.2"/>
    <row r="2896" s="1" customFormat="1" x14ac:dyDescent="0.2"/>
    <row r="2897" s="1" customFormat="1" x14ac:dyDescent="0.2"/>
    <row r="2898" s="1" customFormat="1" x14ac:dyDescent="0.2"/>
    <row r="2899" s="1" customFormat="1" x14ac:dyDescent="0.2"/>
    <row r="2900" s="1" customFormat="1" x14ac:dyDescent="0.2"/>
    <row r="2901" s="1" customFormat="1" x14ac:dyDescent="0.2"/>
    <row r="2902" s="1" customFormat="1" x14ac:dyDescent="0.2"/>
    <row r="2903" s="1" customFormat="1" x14ac:dyDescent="0.2"/>
    <row r="2904" s="1" customFormat="1" x14ac:dyDescent="0.2"/>
    <row r="2905" s="1" customFormat="1" x14ac:dyDescent="0.2"/>
    <row r="2906" s="1" customFormat="1" x14ac:dyDescent="0.2"/>
    <row r="2907" s="1" customFormat="1" x14ac:dyDescent="0.2"/>
    <row r="2908" s="1" customFormat="1" x14ac:dyDescent="0.2"/>
    <row r="2909" s="1" customFormat="1" x14ac:dyDescent="0.2"/>
    <row r="2910" s="1" customFormat="1" x14ac:dyDescent="0.2"/>
    <row r="2911" s="1" customFormat="1" x14ac:dyDescent="0.2"/>
    <row r="2912" s="1" customFormat="1" x14ac:dyDescent="0.2"/>
    <row r="2913" s="1" customFormat="1" x14ac:dyDescent="0.2"/>
    <row r="2914" s="1" customFormat="1" x14ac:dyDescent="0.2"/>
    <row r="2915" s="1" customFormat="1" x14ac:dyDescent="0.2"/>
    <row r="2916" s="1" customFormat="1" x14ac:dyDescent="0.2"/>
    <row r="2917" s="1" customFormat="1" x14ac:dyDescent="0.2"/>
    <row r="2918" s="1" customFormat="1" x14ac:dyDescent="0.2"/>
    <row r="2919" s="1" customFormat="1" x14ac:dyDescent="0.2"/>
    <row r="2920" s="1" customFormat="1" x14ac:dyDescent="0.2"/>
    <row r="2921" s="1" customFormat="1" x14ac:dyDescent="0.2"/>
    <row r="2922" s="1" customFormat="1" x14ac:dyDescent="0.2"/>
    <row r="2923" s="1" customFormat="1" x14ac:dyDescent="0.2"/>
    <row r="2924" s="1" customFormat="1" x14ac:dyDescent="0.2"/>
    <row r="2925" s="1" customFormat="1" x14ac:dyDescent="0.2"/>
    <row r="2926" s="1" customFormat="1" x14ac:dyDescent="0.2"/>
    <row r="2927" s="1" customFormat="1" x14ac:dyDescent="0.2"/>
    <row r="2928" s="1" customFormat="1" x14ac:dyDescent="0.2"/>
    <row r="2929" s="1" customFormat="1" x14ac:dyDescent="0.2"/>
    <row r="2930" s="1" customFormat="1" x14ac:dyDescent="0.2"/>
    <row r="2931" s="1" customFormat="1" x14ac:dyDescent="0.2"/>
    <row r="2932" s="1" customFormat="1" x14ac:dyDescent="0.2"/>
    <row r="2933" s="1" customFormat="1" x14ac:dyDescent="0.2"/>
    <row r="2934" s="1" customFormat="1" x14ac:dyDescent="0.2"/>
    <row r="2935" s="1" customFormat="1" x14ac:dyDescent="0.2"/>
    <row r="2936" s="1" customFormat="1" x14ac:dyDescent="0.2"/>
    <row r="2937" s="1" customFormat="1" x14ac:dyDescent="0.2"/>
    <row r="2938" s="1" customFormat="1" x14ac:dyDescent="0.2"/>
    <row r="2939" s="1" customFormat="1" x14ac:dyDescent="0.2"/>
    <row r="2940" s="1" customFormat="1" x14ac:dyDescent="0.2"/>
    <row r="2941" s="1" customFormat="1" x14ac:dyDescent="0.2"/>
    <row r="2942" s="1" customFormat="1" x14ac:dyDescent="0.2"/>
    <row r="2943" s="1" customFormat="1" x14ac:dyDescent="0.2"/>
    <row r="2944" s="1" customFormat="1" x14ac:dyDescent="0.2"/>
    <row r="2945" s="1" customFormat="1" x14ac:dyDescent="0.2"/>
    <row r="2946" s="1" customFormat="1" x14ac:dyDescent="0.2"/>
    <row r="2947" s="1" customFormat="1" x14ac:dyDescent="0.2"/>
    <row r="2948" s="1" customFormat="1" x14ac:dyDescent="0.2"/>
    <row r="2949" s="1" customFormat="1" x14ac:dyDescent="0.2"/>
    <row r="2950" s="1" customFormat="1" x14ac:dyDescent="0.2"/>
    <row r="2951" s="1" customFormat="1" x14ac:dyDescent="0.2"/>
    <row r="2952" s="1" customFormat="1" x14ac:dyDescent="0.2"/>
    <row r="2953" s="1" customFormat="1" x14ac:dyDescent="0.2"/>
    <row r="2954" s="1" customFormat="1" x14ac:dyDescent="0.2"/>
    <row r="2955" s="1" customFormat="1" x14ac:dyDescent="0.2"/>
    <row r="2956" s="1" customFormat="1" x14ac:dyDescent="0.2"/>
    <row r="2957" s="1" customFormat="1" x14ac:dyDescent="0.2"/>
    <row r="2958" s="1" customFormat="1" x14ac:dyDescent="0.2"/>
    <row r="2959" s="1" customFormat="1" x14ac:dyDescent="0.2"/>
    <row r="2960" s="1" customFormat="1" x14ac:dyDescent="0.2"/>
    <row r="2961" s="1" customFormat="1" x14ac:dyDescent="0.2"/>
    <row r="2962" s="1" customFormat="1" x14ac:dyDescent="0.2"/>
    <row r="2963" s="1" customFormat="1" x14ac:dyDescent="0.2"/>
    <row r="2964" s="1" customFormat="1" x14ac:dyDescent="0.2"/>
    <row r="2965" s="1" customFormat="1" x14ac:dyDescent="0.2"/>
    <row r="2966" s="1" customFormat="1" x14ac:dyDescent="0.2"/>
    <row r="2967" s="1" customFormat="1" x14ac:dyDescent="0.2"/>
    <row r="2968" s="1" customFormat="1" x14ac:dyDescent="0.2"/>
    <row r="2969" s="1" customFormat="1" x14ac:dyDescent="0.2"/>
    <row r="2970" s="1" customFormat="1" x14ac:dyDescent="0.2"/>
    <row r="2971" s="1" customFormat="1" x14ac:dyDescent="0.2"/>
    <row r="2972" s="1" customFormat="1" x14ac:dyDescent="0.2"/>
    <row r="2973" s="1" customFormat="1" x14ac:dyDescent="0.2"/>
    <row r="2974" s="1" customFormat="1" x14ac:dyDescent="0.2"/>
    <row r="2975" s="1" customFormat="1" x14ac:dyDescent="0.2"/>
    <row r="2976" s="1" customFormat="1" x14ac:dyDescent="0.2"/>
    <row r="2977" s="1" customFormat="1" x14ac:dyDescent="0.2"/>
    <row r="2978" s="1" customFormat="1" x14ac:dyDescent="0.2"/>
    <row r="2979" s="1" customFormat="1" x14ac:dyDescent="0.2"/>
    <row r="2980" s="1" customFormat="1" x14ac:dyDescent="0.2"/>
    <row r="2981" s="1" customFormat="1" x14ac:dyDescent="0.2"/>
    <row r="2982" s="1" customFormat="1" x14ac:dyDescent="0.2"/>
    <row r="2983" s="1" customFormat="1" x14ac:dyDescent="0.2"/>
    <row r="2984" s="1" customFormat="1" x14ac:dyDescent="0.2"/>
    <row r="2985" s="1" customFormat="1" x14ac:dyDescent="0.2"/>
    <row r="2986" s="1" customFormat="1" x14ac:dyDescent="0.2"/>
    <row r="2987" s="1" customFormat="1" x14ac:dyDescent="0.2"/>
    <row r="2988" s="1" customFormat="1" x14ac:dyDescent="0.2"/>
    <row r="2989" s="1" customFormat="1" x14ac:dyDescent="0.2"/>
    <row r="2990" s="1" customFormat="1" x14ac:dyDescent="0.2"/>
    <row r="2991" s="1" customFormat="1" x14ac:dyDescent="0.2"/>
    <row r="2992" s="1" customFormat="1" x14ac:dyDescent="0.2"/>
    <row r="2993" s="1" customFormat="1" x14ac:dyDescent="0.2"/>
    <row r="2994" s="1" customFormat="1" x14ac:dyDescent="0.2"/>
    <row r="2995" s="1" customFormat="1" x14ac:dyDescent="0.2"/>
    <row r="2996" s="1" customFormat="1" x14ac:dyDescent="0.2"/>
    <row r="2997" s="1" customFormat="1" x14ac:dyDescent="0.2"/>
    <row r="2998" s="1" customFormat="1" x14ac:dyDescent="0.2"/>
    <row r="2999" s="1" customFormat="1" x14ac:dyDescent="0.2"/>
    <row r="3000" s="1" customFormat="1" x14ac:dyDescent="0.2"/>
    <row r="3001" s="1" customFormat="1" x14ac:dyDescent="0.2"/>
    <row r="3002" s="1" customFormat="1" x14ac:dyDescent="0.2"/>
    <row r="3003" s="1" customFormat="1" x14ac:dyDescent="0.2"/>
    <row r="3004" s="1" customFormat="1" x14ac:dyDescent="0.2"/>
    <row r="3005" s="1" customFormat="1" x14ac:dyDescent="0.2"/>
    <row r="3006" s="1" customFormat="1" x14ac:dyDescent="0.2"/>
    <row r="3007" s="1" customFormat="1" x14ac:dyDescent="0.2"/>
    <row r="3008" s="1" customFormat="1" x14ac:dyDescent="0.2"/>
    <row r="3009" s="1" customFormat="1" x14ac:dyDescent="0.2"/>
    <row r="3010" s="1" customFormat="1" x14ac:dyDescent="0.2"/>
    <row r="3011" s="1" customFormat="1" x14ac:dyDescent="0.2"/>
    <row r="3012" s="1" customFormat="1" x14ac:dyDescent="0.2"/>
    <row r="3013" s="1" customFormat="1" x14ac:dyDescent="0.2"/>
    <row r="3014" s="1" customFormat="1" x14ac:dyDescent="0.2"/>
    <row r="3015" s="1" customFormat="1" x14ac:dyDescent="0.2"/>
    <row r="3016" s="1" customFormat="1" x14ac:dyDescent="0.2"/>
    <row r="3017" s="1" customFormat="1" x14ac:dyDescent="0.2"/>
    <row r="3018" s="1" customFormat="1" x14ac:dyDescent="0.2"/>
    <row r="3019" s="1" customFormat="1" x14ac:dyDescent="0.2"/>
    <row r="3020" s="1" customFormat="1" x14ac:dyDescent="0.2"/>
    <row r="3021" s="1" customFormat="1" x14ac:dyDescent="0.2"/>
    <row r="3022" s="1" customFormat="1" x14ac:dyDescent="0.2"/>
    <row r="3023" s="1" customFormat="1" x14ac:dyDescent="0.2"/>
    <row r="3024" s="1" customFormat="1" x14ac:dyDescent="0.2"/>
    <row r="3025" s="1" customFormat="1" x14ac:dyDescent="0.2"/>
    <row r="3026" s="1" customFormat="1" x14ac:dyDescent="0.2"/>
    <row r="3027" s="1" customFormat="1" x14ac:dyDescent="0.2"/>
    <row r="3028" s="1" customFormat="1" x14ac:dyDescent="0.2"/>
    <row r="3029" s="1" customFormat="1" x14ac:dyDescent="0.2"/>
    <row r="3030" s="1" customFormat="1" x14ac:dyDescent="0.2"/>
    <row r="3031" s="1" customFormat="1" x14ac:dyDescent="0.2"/>
    <row r="3032" s="1" customFormat="1" x14ac:dyDescent="0.2"/>
    <row r="3033" s="1" customFormat="1" x14ac:dyDescent="0.2"/>
    <row r="3034" s="1" customFormat="1" x14ac:dyDescent="0.2"/>
    <row r="3035" s="1" customFormat="1" x14ac:dyDescent="0.2"/>
    <row r="3036" s="1" customFormat="1" x14ac:dyDescent="0.2"/>
    <row r="3037" s="1" customFormat="1" x14ac:dyDescent="0.2"/>
    <row r="3038" s="1" customFormat="1" x14ac:dyDescent="0.2"/>
    <row r="3039" s="1" customFormat="1" x14ac:dyDescent="0.2"/>
    <row r="3040" s="1" customFormat="1" x14ac:dyDescent="0.2"/>
    <row r="3041" s="1" customFormat="1" x14ac:dyDescent="0.2"/>
    <row r="3042" s="1" customFormat="1" x14ac:dyDescent="0.2"/>
    <row r="3043" s="1" customFormat="1" x14ac:dyDescent="0.2"/>
    <row r="3044" s="1" customFormat="1" x14ac:dyDescent="0.2"/>
    <row r="3045" s="1" customFormat="1" x14ac:dyDescent="0.2"/>
    <row r="3046" s="1" customFormat="1" x14ac:dyDescent="0.2"/>
    <row r="3047" s="1" customFormat="1" x14ac:dyDescent="0.2"/>
    <row r="3048" s="1" customFormat="1" x14ac:dyDescent="0.2"/>
    <row r="3049" s="1" customFormat="1" x14ac:dyDescent="0.2"/>
    <row r="3050" s="1" customFormat="1" x14ac:dyDescent="0.2"/>
    <row r="3051" s="1" customFormat="1" x14ac:dyDescent="0.2"/>
    <row r="3052" s="1" customFormat="1" x14ac:dyDescent="0.2"/>
    <row r="3053" s="1" customFormat="1" x14ac:dyDescent="0.2"/>
    <row r="3054" s="1" customFormat="1" x14ac:dyDescent="0.2"/>
    <row r="3055" s="1" customFormat="1" x14ac:dyDescent="0.2"/>
    <row r="3056" s="1" customFormat="1" x14ac:dyDescent="0.2"/>
    <row r="3057" s="1" customFormat="1" x14ac:dyDescent="0.2"/>
    <row r="3058" s="1" customFormat="1" x14ac:dyDescent="0.2"/>
    <row r="3059" s="1" customFormat="1" x14ac:dyDescent="0.2"/>
    <row r="3060" s="1" customFormat="1" x14ac:dyDescent="0.2"/>
    <row r="3061" s="1" customFormat="1" x14ac:dyDescent="0.2"/>
    <row r="3062" s="1" customFormat="1" x14ac:dyDescent="0.2"/>
    <row r="3063" s="1" customFormat="1" x14ac:dyDescent="0.2"/>
    <row r="3064" s="1" customFormat="1" x14ac:dyDescent="0.2"/>
    <row r="3065" s="1" customFormat="1" x14ac:dyDescent="0.2"/>
    <row r="3066" s="1" customFormat="1" x14ac:dyDescent="0.2"/>
    <row r="3067" s="1" customFormat="1" x14ac:dyDescent="0.2"/>
    <row r="3068" s="1" customFormat="1" x14ac:dyDescent="0.2"/>
    <row r="3069" s="1" customFormat="1" x14ac:dyDescent="0.2"/>
    <row r="3070" s="1" customFormat="1" x14ac:dyDescent="0.2"/>
    <row r="3071" s="1" customFormat="1" x14ac:dyDescent="0.2"/>
    <row r="3072" s="1" customFormat="1" x14ac:dyDescent="0.2"/>
    <row r="3073" s="1" customFormat="1" x14ac:dyDescent="0.2"/>
    <row r="3074" s="1" customFormat="1" x14ac:dyDescent="0.2"/>
    <row r="3075" s="1" customFormat="1" x14ac:dyDescent="0.2"/>
    <row r="3076" s="1" customFormat="1" x14ac:dyDescent="0.2"/>
    <row r="3077" s="1" customFormat="1" x14ac:dyDescent="0.2"/>
    <row r="3078" s="1" customFormat="1" x14ac:dyDescent="0.2"/>
    <row r="3079" s="1" customFormat="1" x14ac:dyDescent="0.2"/>
    <row r="3080" s="1" customFormat="1" x14ac:dyDescent="0.2"/>
    <row r="3081" s="1" customFormat="1" x14ac:dyDescent="0.2"/>
    <row r="3082" s="1" customFormat="1" x14ac:dyDescent="0.2"/>
    <row r="3083" s="1" customFormat="1" x14ac:dyDescent="0.2"/>
    <row r="3084" s="1" customFormat="1" x14ac:dyDescent="0.2"/>
    <row r="3085" s="1" customFormat="1" x14ac:dyDescent="0.2"/>
    <row r="3086" s="1" customFormat="1" x14ac:dyDescent="0.2"/>
    <row r="3087" s="1" customFormat="1" x14ac:dyDescent="0.2"/>
    <row r="3088" s="1" customFormat="1" x14ac:dyDescent="0.2"/>
    <row r="3089" s="1" customFormat="1" x14ac:dyDescent="0.2"/>
    <row r="3090" s="1" customFormat="1" x14ac:dyDescent="0.2"/>
    <row r="3091" s="1" customFormat="1" x14ac:dyDescent="0.2"/>
    <row r="3092" s="1" customFormat="1" x14ac:dyDescent="0.2"/>
    <row r="3093" s="1" customFormat="1" x14ac:dyDescent="0.2"/>
    <row r="3094" s="1" customFormat="1" x14ac:dyDescent="0.2"/>
    <row r="3095" s="1" customFormat="1" x14ac:dyDescent="0.2"/>
    <row r="3096" s="1" customFormat="1" x14ac:dyDescent="0.2"/>
    <row r="3097" s="1" customFormat="1" x14ac:dyDescent="0.2"/>
    <row r="3098" s="1" customFormat="1" x14ac:dyDescent="0.2"/>
    <row r="3099" s="1" customFormat="1" x14ac:dyDescent="0.2"/>
    <row r="3100" s="1" customFormat="1" x14ac:dyDescent="0.2"/>
    <row r="3101" s="1" customFormat="1" x14ac:dyDescent="0.2"/>
    <row r="3102" s="1" customFormat="1" x14ac:dyDescent="0.2"/>
    <row r="3103" s="1" customFormat="1" x14ac:dyDescent="0.2"/>
    <row r="3104" s="1" customFormat="1" x14ac:dyDescent="0.2"/>
    <row r="3105" s="1" customFormat="1" x14ac:dyDescent="0.2"/>
    <row r="3106" s="1" customFormat="1" x14ac:dyDescent="0.2"/>
    <row r="3107" s="1" customFormat="1" x14ac:dyDescent="0.2"/>
    <row r="3108" s="1" customFormat="1" x14ac:dyDescent="0.2"/>
    <row r="3109" s="1" customFormat="1" x14ac:dyDescent="0.2"/>
    <row r="3110" s="1" customFormat="1" x14ac:dyDescent="0.2"/>
    <row r="3111" s="1" customFormat="1" x14ac:dyDescent="0.2"/>
    <row r="3112" s="1" customFormat="1" x14ac:dyDescent="0.2"/>
    <row r="3113" s="1" customFormat="1" x14ac:dyDescent="0.2"/>
    <row r="3114" s="1" customFormat="1" x14ac:dyDescent="0.2"/>
    <row r="3115" s="1" customFormat="1" x14ac:dyDescent="0.2"/>
    <row r="3116" s="1" customFormat="1" x14ac:dyDescent="0.2"/>
    <row r="3117" s="1" customFormat="1" x14ac:dyDescent="0.2"/>
    <row r="3118" s="1" customFormat="1" x14ac:dyDescent="0.2"/>
    <row r="3119" s="1" customFormat="1" x14ac:dyDescent="0.2"/>
    <row r="3120" s="1" customFormat="1" x14ac:dyDescent="0.2"/>
    <row r="3121" s="1" customFormat="1" x14ac:dyDescent="0.2"/>
    <row r="3122" s="1" customFormat="1" x14ac:dyDescent="0.2"/>
    <row r="3123" s="1" customFormat="1" x14ac:dyDescent="0.2"/>
    <row r="3124" s="1" customFormat="1" x14ac:dyDescent="0.2"/>
    <row r="3125" s="1" customFormat="1" x14ac:dyDescent="0.2"/>
    <row r="3126" s="1" customFormat="1" x14ac:dyDescent="0.2"/>
    <row r="3127" s="1" customFormat="1" x14ac:dyDescent="0.2"/>
    <row r="3128" s="1" customFormat="1" x14ac:dyDescent="0.2"/>
    <row r="3129" s="1" customFormat="1" x14ac:dyDescent="0.2"/>
    <row r="3130" s="1" customFormat="1" x14ac:dyDescent="0.2"/>
    <row r="3131" s="1" customFormat="1" x14ac:dyDescent="0.2"/>
    <row r="3132" s="1" customFormat="1" x14ac:dyDescent="0.2"/>
    <row r="3133" s="1" customFormat="1" x14ac:dyDescent="0.2"/>
    <row r="3134" s="1" customFormat="1" x14ac:dyDescent="0.2"/>
    <row r="3135" s="1" customFormat="1" x14ac:dyDescent="0.2"/>
    <row r="3136" s="1" customFormat="1" x14ac:dyDescent="0.2"/>
    <row r="3137" s="1" customFormat="1" x14ac:dyDescent="0.2"/>
    <row r="3138" s="1" customFormat="1" x14ac:dyDescent="0.2"/>
    <row r="3139" s="1" customFormat="1" x14ac:dyDescent="0.2"/>
    <row r="3140" s="1" customFormat="1" x14ac:dyDescent="0.2"/>
    <row r="3141" s="1" customFormat="1" x14ac:dyDescent="0.2"/>
    <row r="3142" s="1" customFormat="1" x14ac:dyDescent="0.2"/>
    <row r="3143" s="1" customFormat="1" x14ac:dyDescent="0.2"/>
    <row r="3144" s="1" customFormat="1" x14ac:dyDescent="0.2"/>
    <row r="3145" s="1" customFormat="1" x14ac:dyDescent="0.2"/>
    <row r="3146" s="1" customFormat="1" x14ac:dyDescent="0.2"/>
    <row r="3147" s="1" customFormat="1" x14ac:dyDescent="0.2"/>
    <row r="3148" s="1" customFormat="1" x14ac:dyDescent="0.2"/>
    <row r="3149" s="1" customFormat="1" x14ac:dyDescent="0.2"/>
    <row r="3150" s="1" customFormat="1" x14ac:dyDescent="0.2"/>
    <row r="3151" s="1" customFormat="1" x14ac:dyDescent="0.2"/>
    <row r="3152" s="1" customFormat="1" x14ac:dyDescent="0.2"/>
    <row r="3153" s="1" customFormat="1" x14ac:dyDescent="0.2"/>
    <row r="3154" s="1" customFormat="1" x14ac:dyDescent="0.2"/>
    <row r="3155" s="1" customFormat="1" x14ac:dyDescent="0.2"/>
    <row r="3156" s="1" customFormat="1" x14ac:dyDescent="0.2"/>
    <row r="3157" s="1" customFormat="1" x14ac:dyDescent="0.2"/>
    <row r="3158" s="1" customFormat="1" x14ac:dyDescent="0.2"/>
    <row r="3159" s="1" customFormat="1" x14ac:dyDescent="0.2"/>
    <row r="3160" s="1" customFormat="1" x14ac:dyDescent="0.2"/>
    <row r="3161" s="1" customFormat="1" x14ac:dyDescent="0.2"/>
    <row r="3162" s="1" customFormat="1" x14ac:dyDescent="0.2"/>
    <row r="3163" s="1" customFormat="1" x14ac:dyDescent="0.2"/>
    <row r="3164" s="1" customFormat="1" x14ac:dyDescent="0.2"/>
    <row r="3165" s="1" customFormat="1" x14ac:dyDescent="0.2"/>
    <row r="3166" s="1" customFormat="1" x14ac:dyDescent="0.2"/>
    <row r="3167" s="1" customFormat="1" x14ac:dyDescent="0.2"/>
    <row r="3168" s="1" customFormat="1" x14ac:dyDescent="0.2"/>
    <row r="3169" s="1" customFormat="1" x14ac:dyDescent="0.2"/>
    <row r="3170" s="1" customFormat="1" x14ac:dyDescent="0.2"/>
    <row r="3171" s="1" customFormat="1" x14ac:dyDescent="0.2"/>
    <row r="3172" s="1" customFormat="1" x14ac:dyDescent="0.2"/>
    <row r="3173" s="1" customFormat="1" x14ac:dyDescent="0.2"/>
    <row r="3174" s="1" customFormat="1" x14ac:dyDescent="0.2"/>
    <row r="3175" s="1" customFormat="1" x14ac:dyDescent="0.2"/>
    <row r="3176" s="1" customFormat="1" x14ac:dyDescent="0.2"/>
    <row r="3177" s="1" customFormat="1" x14ac:dyDescent="0.2"/>
    <row r="3178" s="1" customFormat="1" x14ac:dyDescent="0.2"/>
    <row r="3179" s="1" customFormat="1" x14ac:dyDescent="0.2"/>
    <row r="3180" s="1" customFormat="1" x14ac:dyDescent="0.2"/>
    <row r="3181" s="1" customFormat="1" x14ac:dyDescent="0.2"/>
    <row r="3182" s="1" customFormat="1" x14ac:dyDescent="0.2"/>
    <row r="3183" s="1" customFormat="1" x14ac:dyDescent="0.2"/>
    <row r="3184" s="1" customFormat="1" x14ac:dyDescent="0.2"/>
    <row r="3185" s="1" customFormat="1" x14ac:dyDescent="0.2"/>
    <row r="3186" s="1" customFormat="1" x14ac:dyDescent="0.2"/>
    <row r="3187" s="1" customFormat="1" x14ac:dyDescent="0.2"/>
    <row r="3188" s="1" customFormat="1" x14ac:dyDescent="0.2"/>
    <row r="3189" s="1" customFormat="1" x14ac:dyDescent="0.2"/>
    <row r="3190" s="1" customFormat="1" x14ac:dyDescent="0.2"/>
    <row r="3191" s="1" customFormat="1" x14ac:dyDescent="0.2"/>
    <row r="3192" s="1" customFormat="1" x14ac:dyDescent="0.2"/>
    <row r="3193" s="1" customFormat="1" x14ac:dyDescent="0.2"/>
    <row r="3194" s="1" customFormat="1" x14ac:dyDescent="0.2"/>
    <row r="3195" s="1" customFormat="1" x14ac:dyDescent="0.2"/>
    <row r="3196" s="1" customFormat="1" x14ac:dyDescent="0.2"/>
    <row r="3197" s="1" customFormat="1" x14ac:dyDescent="0.2"/>
    <row r="3198" s="1" customFormat="1" x14ac:dyDescent="0.2"/>
    <row r="3199" s="1" customFormat="1" x14ac:dyDescent="0.2"/>
    <row r="3200" s="1" customFormat="1" x14ac:dyDescent="0.2"/>
    <row r="3201" s="1" customFormat="1" x14ac:dyDescent="0.2"/>
    <row r="3202" s="1" customFormat="1" x14ac:dyDescent="0.2"/>
    <row r="3203" s="1" customFormat="1" x14ac:dyDescent="0.2"/>
    <row r="3204" s="1" customFormat="1" x14ac:dyDescent="0.2"/>
    <row r="3205" s="1" customFormat="1" x14ac:dyDescent="0.2"/>
    <row r="3206" s="1" customFormat="1" x14ac:dyDescent="0.2"/>
    <row r="3207" s="1" customFormat="1" x14ac:dyDescent="0.2"/>
    <row r="3208" s="1" customFormat="1" x14ac:dyDescent="0.2"/>
    <row r="3209" s="1" customFormat="1" x14ac:dyDescent="0.2"/>
    <row r="3210" s="1" customFormat="1" x14ac:dyDescent="0.2"/>
    <row r="3211" s="1" customFormat="1" x14ac:dyDescent="0.2"/>
    <row r="3212" s="1" customFormat="1" x14ac:dyDescent="0.2"/>
    <row r="3213" s="1" customFormat="1" x14ac:dyDescent="0.2"/>
    <row r="3214" s="1" customFormat="1" x14ac:dyDescent="0.2"/>
    <row r="3215" s="1" customFormat="1" x14ac:dyDescent="0.2"/>
    <row r="3216" s="1" customFormat="1" x14ac:dyDescent="0.2"/>
  </sheetData>
  <conditionalFormatting sqref="O30:Z30">
    <cfRule type="top10" dxfId="0" priority="1" bottom="1" rank="1"/>
  </conditionalFormatting>
  <pageMargins left="0.7" right="0.7" top="0.75" bottom="0.75" header="0.3" footer="0.3"/>
  <pageSetup scale="27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">
    <pageSetUpPr fitToPage="1"/>
  </sheetPr>
  <dimension ref="A1:AB64"/>
  <sheetViews>
    <sheetView zoomScaleNormal="100" workbookViewId="0">
      <pane ySplit="4" topLeftCell="A5" activePane="bottomLeft" state="frozen"/>
      <selection pane="bottomLeft" activeCell="C1" sqref="C1"/>
    </sheetView>
  </sheetViews>
  <sheetFormatPr baseColWidth="10" defaultColWidth="8.83203125" defaultRowHeight="15" x14ac:dyDescent="0.2"/>
  <cols>
    <col min="1" max="1" width="3.1640625" customWidth="1"/>
    <col min="2" max="2" width="33.6640625" customWidth="1"/>
    <col min="3" max="14" width="7.5" bestFit="1" customWidth="1"/>
    <col min="15" max="26" width="7.5" customWidth="1"/>
  </cols>
  <sheetData>
    <row r="1" spans="2:26" ht="19" x14ac:dyDescent="0.25">
      <c r="B1" s="16" t="s">
        <v>242</v>
      </c>
      <c r="D1" s="121" t="s">
        <v>226</v>
      </c>
      <c r="E1" s="122" t="s">
        <v>122</v>
      </c>
      <c r="F1" s="122" t="s">
        <v>13</v>
      </c>
      <c r="G1" s="123" t="s">
        <v>192</v>
      </c>
    </row>
    <row r="2" spans="2:26" x14ac:dyDescent="0.2">
      <c r="D2" s="124">
        <f ca="1">PL!AD5/1000</f>
        <v>387.84337999999997</v>
      </c>
      <c r="E2" s="125">
        <f ca="1">PL!AD7/1000</f>
        <v>312.13275327999997</v>
      </c>
      <c r="F2" s="125">
        <f ca="1">PL!AD35/1000</f>
        <v>127.69275327999995</v>
      </c>
      <c r="G2" s="126">
        <f ca="1">MIN(CF!O30:Z30)/1000</f>
        <v>142.00622451808457</v>
      </c>
    </row>
    <row r="4" spans="2:26" x14ac:dyDescent="0.2">
      <c r="B4" s="25"/>
      <c r="C4" s="23">
        <v>41640</v>
      </c>
      <c r="D4" s="23">
        <v>41671</v>
      </c>
      <c r="E4" s="23">
        <v>41699</v>
      </c>
      <c r="F4" s="23">
        <v>41730</v>
      </c>
      <c r="G4" s="23">
        <v>41760</v>
      </c>
      <c r="H4" s="23">
        <v>41791</v>
      </c>
      <c r="I4" s="23">
        <v>41821</v>
      </c>
      <c r="J4" s="23">
        <v>41852</v>
      </c>
      <c r="K4" s="23">
        <v>41883</v>
      </c>
      <c r="L4" s="23">
        <v>41913</v>
      </c>
      <c r="M4" s="23">
        <v>41944</v>
      </c>
      <c r="N4" s="23">
        <v>41974</v>
      </c>
      <c r="O4" s="23">
        <v>42005</v>
      </c>
      <c r="P4" s="23">
        <v>42036</v>
      </c>
      <c r="Q4" s="23">
        <v>42064</v>
      </c>
      <c r="R4" s="23">
        <v>42095</v>
      </c>
      <c r="S4" s="23">
        <v>42125</v>
      </c>
      <c r="T4" s="23">
        <v>42156</v>
      </c>
      <c r="U4" s="23">
        <v>42186</v>
      </c>
      <c r="V4" s="23">
        <v>42217</v>
      </c>
      <c r="W4" s="23">
        <v>42248</v>
      </c>
      <c r="X4" s="23">
        <v>42278</v>
      </c>
      <c r="Y4" s="23">
        <v>42309</v>
      </c>
      <c r="Z4" s="23">
        <v>42339</v>
      </c>
    </row>
    <row r="5" spans="2:26" x14ac:dyDescent="0.2">
      <c r="B5" s="24"/>
    </row>
    <row r="6" spans="2:26" x14ac:dyDescent="0.2">
      <c r="B6" s="7" t="s">
        <v>130</v>
      </c>
    </row>
    <row r="7" spans="2:26" x14ac:dyDescent="0.2">
      <c r="B7" s="24" t="s">
        <v>251</v>
      </c>
      <c r="C7" s="132">
        <v>1000</v>
      </c>
      <c r="D7" s="132">
        <v>1000</v>
      </c>
      <c r="E7" s="132">
        <v>1000</v>
      </c>
      <c r="F7" s="132">
        <v>1000</v>
      </c>
      <c r="G7" s="132">
        <v>1000</v>
      </c>
      <c r="H7" s="132">
        <v>1000</v>
      </c>
      <c r="I7" s="132">
        <v>1000</v>
      </c>
      <c r="J7" s="132">
        <v>1000</v>
      </c>
      <c r="K7" s="132">
        <v>1000</v>
      </c>
      <c r="L7" s="132">
        <v>1000</v>
      </c>
      <c r="M7" s="132">
        <v>1000</v>
      </c>
      <c r="N7" s="132">
        <v>1000</v>
      </c>
      <c r="O7" s="103">
        <f>'Other Costs'!Q33</f>
        <v>1000</v>
      </c>
      <c r="P7" s="103">
        <f>'Other Costs'!R33</f>
        <v>1000</v>
      </c>
      <c r="Q7" s="103">
        <f>'Other Costs'!S33</f>
        <v>1000</v>
      </c>
      <c r="R7" s="103">
        <f>'Other Costs'!T33</f>
        <v>1000</v>
      </c>
      <c r="S7" s="103">
        <f>'Other Costs'!U33</f>
        <v>1000</v>
      </c>
      <c r="T7" s="103">
        <f>'Other Costs'!V33</f>
        <v>1000</v>
      </c>
      <c r="U7" s="103">
        <f>'Other Costs'!W33</f>
        <v>1000</v>
      </c>
      <c r="V7" s="103">
        <f>'Other Costs'!X33</f>
        <v>1000</v>
      </c>
      <c r="W7" s="103">
        <f>'Other Costs'!Y33</f>
        <v>1000</v>
      </c>
      <c r="X7" s="103">
        <f>'Other Costs'!Z33</f>
        <v>1000</v>
      </c>
      <c r="Y7" s="103">
        <f>'Other Costs'!AA33</f>
        <v>1000</v>
      </c>
      <c r="Z7" s="103">
        <f>'Other Costs'!AB33</f>
        <v>1000</v>
      </c>
    </row>
    <row r="8" spans="2:26" x14ac:dyDescent="0.2">
      <c r="B8" s="24" t="s">
        <v>250</v>
      </c>
      <c r="C8" s="132">
        <v>10</v>
      </c>
      <c r="D8" s="132">
        <v>10</v>
      </c>
      <c r="E8" s="132">
        <v>10</v>
      </c>
      <c r="F8" s="132">
        <v>10</v>
      </c>
      <c r="G8" s="132">
        <v>10</v>
      </c>
      <c r="H8" s="132">
        <v>10</v>
      </c>
      <c r="I8" s="132">
        <v>10</v>
      </c>
      <c r="J8" s="132">
        <v>10</v>
      </c>
      <c r="K8" s="132">
        <v>10</v>
      </c>
      <c r="L8" s="132">
        <v>10</v>
      </c>
      <c r="M8" s="132">
        <v>10</v>
      </c>
      <c r="N8" s="132">
        <v>10</v>
      </c>
      <c r="O8" s="133">
        <f t="shared" ref="O8:Z10" si="0">N8</f>
        <v>10</v>
      </c>
      <c r="P8" s="133">
        <f t="shared" si="0"/>
        <v>10</v>
      </c>
      <c r="Q8" s="133">
        <f t="shared" si="0"/>
        <v>10</v>
      </c>
      <c r="R8" s="133">
        <f t="shared" si="0"/>
        <v>10</v>
      </c>
      <c r="S8" s="133">
        <f t="shared" si="0"/>
        <v>10</v>
      </c>
      <c r="T8" s="133">
        <f t="shared" si="0"/>
        <v>10</v>
      </c>
      <c r="U8" s="133">
        <f t="shared" si="0"/>
        <v>10</v>
      </c>
      <c r="V8" s="133">
        <f t="shared" si="0"/>
        <v>10</v>
      </c>
      <c r="W8" s="133">
        <f t="shared" si="0"/>
        <v>10</v>
      </c>
      <c r="X8" s="133">
        <f t="shared" si="0"/>
        <v>10</v>
      </c>
      <c r="Y8" s="133">
        <f t="shared" si="0"/>
        <v>10</v>
      </c>
      <c r="Z8" s="133">
        <f t="shared" si="0"/>
        <v>10</v>
      </c>
    </row>
    <row r="9" spans="2:26" x14ac:dyDescent="0.2">
      <c r="B9" s="24" t="s">
        <v>245</v>
      </c>
      <c r="C9" s="143">
        <v>0.1</v>
      </c>
      <c r="D9" s="143">
        <v>0.1</v>
      </c>
      <c r="E9" s="143">
        <v>0.1</v>
      </c>
      <c r="F9" s="143">
        <v>0.1</v>
      </c>
      <c r="G9" s="143">
        <v>0.1</v>
      </c>
      <c r="H9" s="143">
        <v>0.1</v>
      </c>
      <c r="I9" s="143">
        <v>0.1</v>
      </c>
      <c r="J9" s="143">
        <v>0.1</v>
      </c>
      <c r="K9" s="143">
        <v>0.1</v>
      </c>
      <c r="L9" s="143">
        <v>0.1</v>
      </c>
      <c r="M9" s="143">
        <v>0.1</v>
      </c>
      <c r="N9" s="143">
        <v>0.1</v>
      </c>
      <c r="O9" s="142">
        <f t="shared" si="0"/>
        <v>0.1</v>
      </c>
      <c r="P9" s="142">
        <f t="shared" si="0"/>
        <v>0.1</v>
      </c>
      <c r="Q9" s="142">
        <f t="shared" si="0"/>
        <v>0.1</v>
      </c>
      <c r="R9" s="142">
        <f t="shared" si="0"/>
        <v>0.1</v>
      </c>
      <c r="S9" s="142">
        <f t="shared" si="0"/>
        <v>0.1</v>
      </c>
      <c r="T9" s="142">
        <f t="shared" si="0"/>
        <v>0.1</v>
      </c>
      <c r="U9" s="142">
        <f t="shared" si="0"/>
        <v>0.1</v>
      </c>
      <c r="V9" s="142">
        <f t="shared" si="0"/>
        <v>0.1</v>
      </c>
      <c r="W9" s="142">
        <f t="shared" si="0"/>
        <v>0.1</v>
      </c>
      <c r="X9" s="142">
        <f t="shared" si="0"/>
        <v>0.1</v>
      </c>
      <c r="Y9" s="142">
        <f t="shared" si="0"/>
        <v>0.1</v>
      </c>
      <c r="Z9" s="142">
        <f t="shared" si="0"/>
        <v>0.1</v>
      </c>
    </row>
    <row r="10" spans="2:26" x14ac:dyDescent="0.2">
      <c r="B10" s="24" t="s">
        <v>246</v>
      </c>
      <c r="C10" s="143">
        <v>0.05</v>
      </c>
      <c r="D10" s="143">
        <v>0.05</v>
      </c>
      <c r="E10" s="143">
        <v>0.05</v>
      </c>
      <c r="F10" s="143">
        <v>0.05</v>
      </c>
      <c r="G10" s="143">
        <v>0.05</v>
      </c>
      <c r="H10" s="143">
        <v>0.05</v>
      </c>
      <c r="I10" s="143">
        <v>0.05</v>
      </c>
      <c r="J10" s="143">
        <v>0.05</v>
      </c>
      <c r="K10" s="143">
        <v>0.05</v>
      </c>
      <c r="L10" s="143">
        <v>0.05</v>
      </c>
      <c r="M10" s="143">
        <v>0.05</v>
      </c>
      <c r="N10" s="143">
        <v>0.05</v>
      </c>
      <c r="O10" s="142">
        <f t="shared" ref="O10:S10" si="1">N10</f>
        <v>0.05</v>
      </c>
      <c r="P10" s="142">
        <f t="shared" si="1"/>
        <v>0.05</v>
      </c>
      <c r="Q10" s="142">
        <f t="shared" si="1"/>
        <v>0.05</v>
      </c>
      <c r="R10" s="142">
        <f t="shared" si="1"/>
        <v>0.05</v>
      </c>
      <c r="S10" s="142">
        <f t="shared" si="1"/>
        <v>0.05</v>
      </c>
      <c r="T10" s="142">
        <f t="shared" si="0"/>
        <v>0.05</v>
      </c>
      <c r="U10" s="142">
        <f t="shared" si="0"/>
        <v>0.05</v>
      </c>
      <c r="V10" s="142">
        <f t="shared" si="0"/>
        <v>0.05</v>
      </c>
      <c r="W10" s="142">
        <f t="shared" si="0"/>
        <v>0.05</v>
      </c>
      <c r="X10" s="142">
        <f t="shared" si="0"/>
        <v>0.05</v>
      </c>
      <c r="Y10" s="142">
        <f t="shared" si="0"/>
        <v>0.05</v>
      </c>
      <c r="Z10" s="142">
        <f t="shared" si="0"/>
        <v>0.05</v>
      </c>
    </row>
    <row r="11" spans="2:26" x14ac:dyDescent="0.2">
      <c r="B11" s="24" t="s">
        <v>247</v>
      </c>
      <c r="C11" s="143">
        <v>0.01</v>
      </c>
      <c r="D11" s="143">
        <v>0.01</v>
      </c>
      <c r="E11" s="143">
        <v>0.01</v>
      </c>
      <c r="F11" s="143">
        <v>0.01</v>
      </c>
      <c r="G11" s="143">
        <v>0.01</v>
      </c>
      <c r="H11" s="143">
        <v>0.01</v>
      </c>
      <c r="I11" s="143">
        <v>0.01</v>
      </c>
      <c r="J11" s="143">
        <v>0.01</v>
      </c>
      <c r="K11" s="143">
        <v>0.01</v>
      </c>
      <c r="L11" s="143">
        <v>0.01</v>
      </c>
      <c r="M11" s="143">
        <v>0.01</v>
      </c>
      <c r="N11" s="143">
        <v>0.01</v>
      </c>
      <c r="O11" s="142">
        <f t="shared" ref="O11:Z11" si="2">N11</f>
        <v>0.01</v>
      </c>
      <c r="P11" s="142">
        <f t="shared" si="2"/>
        <v>0.01</v>
      </c>
      <c r="Q11" s="142">
        <f t="shared" si="2"/>
        <v>0.01</v>
      </c>
      <c r="R11" s="142">
        <f t="shared" si="2"/>
        <v>0.01</v>
      </c>
      <c r="S11" s="142">
        <f t="shared" si="2"/>
        <v>0.01</v>
      </c>
      <c r="T11" s="142">
        <f t="shared" si="2"/>
        <v>0.01</v>
      </c>
      <c r="U11" s="142">
        <f t="shared" si="2"/>
        <v>0.01</v>
      </c>
      <c r="V11" s="142">
        <f t="shared" si="2"/>
        <v>0.01</v>
      </c>
      <c r="W11" s="142">
        <f t="shared" si="2"/>
        <v>0.01</v>
      </c>
      <c r="X11" s="142">
        <f t="shared" si="2"/>
        <v>0.01</v>
      </c>
      <c r="Y11" s="142">
        <f t="shared" si="2"/>
        <v>0.01</v>
      </c>
      <c r="Z11" s="142">
        <f t="shared" si="2"/>
        <v>0.01</v>
      </c>
    </row>
    <row r="12" spans="2:26" x14ac:dyDescent="0.2">
      <c r="B12" s="24" t="s">
        <v>248</v>
      </c>
      <c r="C12" s="144">
        <v>1.1000000000000001</v>
      </c>
      <c r="D12" s="144">
        <v>1.1000000000000001</v>
      </c>
      <c r="E12" s="144">
        <v>1.1000000000000001</v>
      </c>
      <c r="F12" s="144">
        <v>1.1000000000000001</v>
      </c>
      <c r="G12" s="144">
        <v>1.1000000000000001</v>
      </c>
      <c r="H12" s="144">
        <v>1.1000000000000001</v>
      </c>
      <c r="I12" s="144">
        <v>1.1000000000000001</v>
      </c>
      <c r="J12" s="144">
        <v>1.1000000000000001</v>
      </c>
      <c r="K12" s="144">
        <v>1.1000000000000001</v>
      </c>
      <c r="L12" s="144">
        <v>1.1000000000000001</v>
      </c>
      <c r="M12" s="144">
        <v>1.1000000000000001</v>
      </c>
      <c r="N12" s="144">
        <v>1.1000000000000001</v>
      </c>
      <c r="O12" s="141">
        <f t="shared" ref="O12:Z12" si="3">N12</f>
        <v>1.1000000000000001</v>
      </c>
      <c r="P12" s="141">
        <f t="shared" si="3"/>
        <v>1.1000000000000001</v>
      </c>
      <c r="Q12" s="141">
        <f t="shared" si="3"/>
        <v>1.1000000000000001</v>
      </c>
      <c r="R12" s="141">
        <f t="shared" si="3"/>
        <v>1.1000000000000001</v>
      </c>
      <c r="S12" s="141">
        <f t="shared" si="3"/>
        <v>1.1000000000000001</v>
      </c>
      <c r="T12" s="141">
        <f t="shared" si="3"/>
        <v>1.1000000000000001</v>
      </c>
      <c r="U12" s="141">
        <f t="shared" si="3"/>
        <v>1.1000000000000001</v>
      </c>
      <c r="V12" s="141">
        <f t="shared" si="3"/>
        <v>1.1000000000000001</v>
      </c>
      <c r="W12" s="141">
        <f t="shared" si="3"/>
        <v>1.1000000000000001</v>
      </c>
      <c r="X12" s="141">
        <f t="shared" si="3"/>
        <v>1.1000000000000001</v>
      </c>
      <c r="Y12" s="141">
        <f t="shared" si="3"/>
        <v>1.1000000000000001</v>
      </c>
      <c r="Z12" s="141">
        <f t="shared" si="3"/>
        <v>1.1000000000000001</v>
      </c>
    </row>
    <row r="13" spans="2:26" x14ac:dyDescent="0.2">
      <c r="B13" s="24"/>
      <c r="C13" s="133"/>
      <c r="D13" s="133" t="s">
        <v>77</v>
      </c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spans="2:26" x14ac:dyDescent="0.2">
      <c r="B14" s="7" t="s">
        <v>252</v>
      </c>
    </row>
    <row r="15" spans="2:26" x14ac:dyDescent="0.2">
      <c r="B15" s="24" t="s">
        <v>249</v>
      </c>
      <c r="C15" s="37">
        <v>100</v>
      </c>
      <c r="D15" s="37">
        <v>100</v>
      </c>
      <c r="E15" s="37">
        <v>100</v>
      </c>
      <c r="F15" s="37">
        <v>100</v>
      </c>
      <c r="G15" s="37">
        <v>100</v>
      </c>
      <c r="H15" s="37">
        <v>100</v>
      </c>
      <c r="I15" s="37">
        <v>100</v>
      </c>
      <c r="J15" s="37">
        <v>100</v>
      </c>
      <c r="K15" s="37">
        <v>100</v>
      </c>
      <c r="L15" s="37">
        <v>100</v>
      </c>
      <c r="M15" s="37">
        <v>100</v>
      </c>
      <c r="N15" s="37">
        <v>100</v>
      </c>
      <c r="O15" s="41">
        <f>IFERROR(O7/O8,0)</f>
        <v>100</v>
      </c>
      <c r="P15" s="41">
        <f t="shared" ref="P15:Z15" si="4">IFERROR(P7/P8,0)</f>
        <v>100</v>
      </c>
      <c r="Q15" s="41">
        <f t="shared" si="4"/>
        <v>100</v>
      </c>
      <c r="R15" s="41">
        <f t="shared" si="4"/>
        <v>100</v>
      </c>
      <c r="S15" s="41">
        <f t="shared" si="4"/>
        <v>100</v>
      </c>
      <c r="T15" s="41">
        <f t="shared" si="4"/>
        <v>100</v>
      </c>
      <c r="U15" s="41">
        <f t="shared" si="4"/>
        <v>100</v>
      </c>
      <c r="V15" s="41">
        <f t="shared" si="4"/>
        <v>100</v>
      </c>
      <c r="W15" s="41">
        <f t="shared" si="4"/>
        <v>100</v>
      </c>
      <c r="X15" s="41">
        <f t="shared" si="4"/>
        <v>100</v>
      </c>
      <c r="Y15" s="41">
        <f t="shared" si="4"/>
        <v>100</v>
      </c>
      <c r="Z15" s="41">
        <f t="shared" si="4"/>
        <v>100</v>
      </c>
    </row>
    <row r="16" spans="2:26" x14ac:dyDescent="0.2">
      <c r="B16" s="24" t="s">
        <v>258</v>
      </c>
      <c r="C16" s="37">
        <f>C64</f>
        <v>18</v>
      </c>
      <c r="D16" s="37">
        <f t="shared" ref="D16:N16" si="5">D64</f>
        <v>18</v>
      </c>
      <c r="E16" s="37">
        <f t="shared" si="5"/>
        <v>22</v>
      </c>
      <c r="F16" s="37">
        <f t="shared" si="5"/>
        <v>18</v>
      </c>
      <c r="G16" s="37">
        <f t="shared" si="5"/>
        <v>18</v>
      </c>
      <c r="H16" s="37">
        <f t="shared" si="5"/>
        <v>18</v>
      </c>
      <c r="I16" s="37">
        <f t="shared" si="5"/>
        <v>18</v>
      </c>
      <c r="J16" s="37">
        <f t="shared" si="5"/>
        <v>18</v>
      </c>
      <c r="K16" s="37">
        <f t="shared" si="5"/>
        <v>18</v>
      </c>
      <c r="L16" s="37">
        <f t="shared" si="5"/>
        <v>18</v>
      </c>
      <c r="M16" s="37">
        <f t="shared" si="5"/>
        <v>18</v>
      </c>
      <c r="N16" s="37">
        <f t="shared" si="5"/>
        <v>18</v>
      </c>
      <c r="O16" s="41">
        <f>(O15*O9+N15*O10+M15*O11)*O12</f>
        <v>17.600000000000001</v>
      </c>
      <c r="P16" s="41">
        <f t="shared" ref="P16" si="6">(P15*P9+O15*P10+N15*P11)*P12</f>
        <v>17.600000000000001</v>
      </c>
      <c r="Q16" s="41">
        <f t="shared" ref="Q16:Z16" si="7">(Q15*Q9+P15*Q10+O15*Q11)*Q12</f>
        <v>17.600000000000001</v>
      </c>
      <c r="R16" s="41">
        <f t="shared" si="7"/>
        <v>17.600000000000001</v>
      </c>
      <c r="S16" s="41">
        <f t="shared" si="7"/>
        <v>17.600000000000001</v>
      </c>
      <c r="T16" s="41">
        <f t="shared" si="7"/>
        <v>17.600000000000001</v>
      </c>
      <c r="U16" s="41">
        <f t="shared" si="7"/>
        <v>17.600000000000001</v>
      </c>
      <c r="V16" s="41">
        <f t="shared" si="7"/>
        <v>17.600000000000001</v>
      </c>
      <c r="W16" s="41">
        <f t="shared" si="7"/>
        <v>17.600000000000001</v>
      </c>
      <c r="X16" s="41">
        <f t="shared" si="7"/>
        <v>17.600000000000001</v>
      </c>
      <c r="Y16" s="41">
        <f t="shared" si="7"/>
        <v>17.600000000000001</v>
      </c>
      <c r="Z16" s="41">
        <f t="shared" si="7"/>
        <v>17.600000000000001</v>
      </c>
    </row>
    <row r="17" spans="1:28" x14ac:dyDescent="0.2">
      <c r="B17" s="24"/>
    </row>
    <row r="18" spans="1:28" x14ac:dyDescent="0.2">
      <c r="B18" s="25" t="s">
        <v>122</v>
      </c>
    </row>
    <row r="19" spans="1:28" x14ac:dyDescent="0.2">
      <c r="A19" s="31">
        <v>-11</v>
      </c>
      <c r="B19" s="24" t="s">
        <v>179</v>
      </c>
      <c r="C19" s="102">
        <v>62.76</v>
      </c>
      <c r="D19" s="102">
        <v>62.76</v>
      </c>
      <c r="E19" s="102">
        <v>62.76</v>
      </c>
      <c r="F19" s="102">
        <v>62.76</v>
      </c>
      <c r="G19" s="102">
        <v>62.76</v>
      </c>
      <c r="H19" s="102">
        <v>62.76</v>
      </c>
      <c r="I19" s="102">
        <v>62.76</v>
      </c>
      <c r="J19" s="102">
        <v>62.76</v>
      </c>
      <c r="K19" s="102">
        <v>62.76</v>
      </c>
      <c r="L19" s="102">
        <v>62.76</v>
      </c>
      <c r="M19" s="102">
        <v>62.76</v>
      </c>
      <c r="N19" s="102">
        <v>62.76</v>
      </c>
      <c r="O19" s="28">
        <f ca="1">'New Organic'!O11/OFFSET('New Organic'!O$8,,$A19)*OFFSET(O$16,,$A19)</f>
        <v>56.485800000000005</v>
      </c>
      <c r="P19" s="28">
        <f ca="1">'New Organic'!P11/OFFSET('New Organic'!P$8,,$A19)*OFFSET(P$16,,$A19)</f>
        <v>69.038200000000003</v>
      </c>
      <c r="Q19" s="28">
        <f ca="1">'New Organic'!Q11/OFFSET('New Organic'!Q$8,,$A19)*OFFSET(Q$16,,$A19)</f>
        <v>56.485800000000005</v>
      </c>
      <c r="R19" s="28">
        <f ca="1">'New Organic'!R11/OFFSET('New Organic'!R$8,,$A19)*OFFSET(R$16,,$A19)</f>
        <v>56.485800000000005</v>
      </c>
      <c r="S19" s="28">
        <f ca="1">'New Organic'!S11/OFFSET('New Organic'!S$8,,$A19)*OFFSET(S$16,,$A19)</f>
        <v>56.485800000000005</v>
      </c>
      <c r="T19" s="28">
        <f ca="1">'New Organic'!T11/OFFSET('New Organic'!T$8,,$A19)*OFFSET(T$16,,$A19)</f>
        <v>56.485800000000005</v>
      </c>
      <c r="U19" s="28">
        <f ca="1">'New Organic'!U11/OFFSET('New Organic'!U$8,,$A19)*OFFSET(U$16,,$A19)</f>
        <v>56.485800000000005</v>
      </c>
      <c r="V19" s="28">
        <f ca="1">'New Organic'!V11/OFFSET('New Organic'!V$8,,$A19)*OFFSET(V$16,,$A19)</f>
        <v>56.485800000000005</v>
      </c>
      <c r="W19" s="28">
        <f ca="1">'New Organic'!W11/OFFSET('New Organic'!W$8,,$A19)*OFFSET(W$16,,$A19)</f>
        <v>56.485800000000005</v>
      </c>
      <c r="X19" s="28">
        <f ca="1">'New Organic'!X11/OFFSET('New Organic'!X$8,,$A19)*OFFSET(X$16,,$A19)</f>
        <v>56.485800000000005</v>
      </c>
      <c r="Y19" s="28">
        <f ca="1">'New Organic'!Y11/OFFSET('New Organic'!Y$8,,$A19)*OFFSET(Y$16,,$A19)</f>
        <v>56.485800000000005</v>
      </c>
      <c r="Z19" s="28">
        <f ca="1">'New Organic'!Z11/OFFSET('New Organic'!Z$8,,$A19)*OFFSET(Z$16,,$A19)</f>
        <v>55.230560000000004</v>
      </c>
      <c r="AB19" s="146"/>
    </row>
    <row r="20" spans="1:28" x14ac:dyDescent="0.2">
      <c r="A20" s="31">
        <v>-10</v>
      </c>
      <c r="B20" s="24" t="s">
        <v>180</v>
      </c>
      <c r="C20" s="102">
        <v>69.739999999999995</v>
      </c>
      <c r="D20" s="102">
        <v>69.739999999999995</v>
      </c>
      <c r="E20" s="102">
        <v>69.739999999999995</v>
      </c>
      <c r="F20" s="102">
        <v>69.739999999999995</v>
      </c>
      <c r="G20" s="102">
        <v>69.739999999999995</v>
      </c>
      <c r="H20" s="102">
        <v>69.739999999999995</v>
      </c>
      <c r="I20" s="102">
        <v>69.739999999999995</v>
      </c>
      <c r="J20" s="102">
        <v>69.739999999999995</v>
      </c>
      <c r="K20" s="102">
        <v>69.739999999999995</v>
      </c>
      <c r="L20" s="102">
        <v>69.739999999999995</v>
      </c>
      <c r="M20" s="102">
        <v>69.739999999999995</v>
      </c>
      <c r="N20" s="102">
        <v>69.739999999999995</v>
      </c>
      <c r="O20" s="28">
        <f ca="1">'New Organic'!O12/OFFSET('New Organic'!O$8,,$A20)*OFFSET(O$16,,$A20)</f>
        <v>76.709600000000009</v>
      </c>
      <c r="P20" s="28">
        <f ca="1">'New Organic'!P12/OFFSET('New Organic'!P$8,,$A20)*OFFSET(P$16,,$A20)</f>
        <v>62.7624</v>
      </c>
      <c r="Q20" s="28">
        <f ca="1">'New Organic'!Q12/OFFSET('New Organic'!Q$8,,$A20)*OFFSET(Q$16,,$A20)</f>
        <v>62.7624</v>
      </c>
      <c r="R20" s="28">
        <f ca="1">'New Organic'!R12/OFFSET('New Organic'!R$8,,$A20)*OFFSET(R$16,,$A20)</f>
        <v>62.7624</v>
      </c>
      <c r="S20" s="28">
        <f ca="1">'New Organic'!S12/OFFSET('New Organic'!S$8,,$A20)*OFFSET(S$16,,$A20)</f>
        <v>62.7624</v>
      </c>
      <c r="T20" s="28">
        <f ca="1">'New Organic'!T12/OFFSET('New Organic'!T$8,,$A20)*OFFSET(T$16,,$A20)</f>
        <v>62.7624</v>
      </c>
      <c r="U20" s="28">
        <f ca="1">'New Organic'!U12/OFFSET('New Organic'!U$8,,$A20)*OFFSET(U$16,,$A20)</f>
        <v>62.7624</v>
      </c>
      <c r="V20" s="28">
        <f ca="1">'New Organic'!V12/OFFSET('New Organic'!V$8,,$A20)*OFFSET(V$16,,$A20)</f>
        <v>62.7624</v>
      </c>
      <c r="W20" s="28">
        <f ca="1">'New Organic'!W12/OFFSET('New Organic'!W$8,,$A20)*OFFSET(W$16,,$A20)</f>
        <v>62.7624</v>
      </c>
      <c r="X20" s="28">
        <f ca="1">'New Organic'!X12/OFFSET('New Organic'!X$8,,$A20)*OFFSET(X$16,,$A20)</f>
        <v>62.7624</v>
      </c>
      <c r="Y20" s="28">
        <f ca="1">'New Organic'!Y12/OFFSET('New Organic'!Y$8,,$A20)*OFFSET(Y$16,,$A20)</f>
        <v>61.367680000000007</v>
      </c>
      <c r="Z20" s="28">
        <f ca="1">'New Organic'!Z12/OFFSET('New Organic'!Z$8,,$A20)*OFFSET(Z$16,,$A20)</f>
        <v>61.367680000000007</v>
      </c>
      <c r="AB20" s="146"/>
    </row>
    <row r="21" spans="1:28" x14ac:dyDescent="0.2">
      <c r="A21" s="31">
        <v>-9</v>
      </c>
      <c r="B21" s="24" t="s">
        <v>181</v>
      </c>
      <c r="C21" s="102">
        <v>77.48</v>
      </c>
      <c r="D21" s="102">
        <v>77.48</v>
      </c>
      <c r="E21" s="102">
        <v>77.48</v>
      </c>
      <c r="F21" s="102">
        <v>77.48</v>
      </c>
      <c r="G21" s="102">
        <v>77.48</v>
      </c>
      <c r="H21" s="102">
        <v>77.48</v>
      </c>
      <c r="I21" s="102">
        <v>77.48</v>
      </c>
      <c r="J21" s="102">
        <v>77.48</v>
      </c>
      <c r="K21" s="102">
        <v>77.48</v>
      </c>
      <c r="L21" s="102">
        <v>77.48</v>
      </c>
      <c r="M21" s="102">
        <v>77.48</v>
      </c>
      <c r="N21" s="102">
        <v>77.48</v>
      </c>
      <c r="O21" s="28">
        <f ca="1">'New Organic'!O13/OFFSET('New Organic'!O$8,,$A21)*OFFSET(O$16,,$A21)</f>
        <v>69.735600000000005</v>
      </c>
      <c r="P21" s="28">
        <f ca="1">'New Organic'!P13/OFFSET('New Organic'!P$8,,$A21)*OFFSET(P$16,,$A21)</f>
        <v>69.735600000000005</v>
      </c>
      <c r="Q21" s="28">
        <f ca="1">'New Organic'!Q13/OFFSET('New Organic'!Q$8,,$A21)*OFFSET(Q$16,,$A21)</f>
        <v>69.735600000000005</v>
      </c>
      <c r="R21" s="28">
        <f ca="1">'New Organic'!R13/OFFSET('New Organic'!R$8,,$A21)*OFFSET(R$16,,$A21)</f>
        <v>69.735600000000005</v>
      </c>
      <c r="S21" s="28">
        <f ca="1">'New Organic'!S13/OFFSET('New Organic'!S$8,,$A21)*OFFSET(S$16,,$A21)</f>
        <v>69.735600000000005</v>
      </c>
      <c r="T21" s="28">
        <f ca="1">'New Organic'!T13/OFFSET('New Organic'!T$8,,$A21)*OFFSET(T$16,,$A21)</f>
        <v>69.735600000000005</v>
      </c>
      <c r="U21" s="28">
        <f ca="1">'New Organic'!U13/OFFSET('New Organic'!U$8,,$A21)*OFFSET(U$16,,$A21)</f>
        <v>69.735600000000005</v>
      </c>
      <c r="V21" s="28">
        <f ca="1">'New Organic'!V13/OFFSET('New Organic'!V$8,,$A21)*OFFSET(V$16,,$A21)</f>
        <v>69.735600000000005</v>
      </c>
      <c r="W21" s="28">
        <f ca="1">'New Organic'!W13/OFFSET('New Organic'!W$8,,$A21)*OFFSET(W$16,,$A21)</f>
        <v>69.735600000000005</v>
      </c>
      <c r="X21" s="28">
        <f ca="1">'New Organic'!X13/OFFSET('New Organic'!X$8,,$A21)*OFFSET(X$16,,$A21)</f>
        <v>68.18592000000001</v>
      </c>
      <c r="Y21" s="28">
        <f ca="1">'New Organic'!Y13/OFFSET('New Organic'!Y$8,,$A21)*OFFSET(Y$16,,$A21)</f>
        <v>68.18592000000001</v>
      </c>
      <c r="Z21" s="28">
        <f ca="1">'New Organic'!Z13/OFFSET('New Organic'!Z$8,,$A21)*OFFSET(Z$16,,$A21)</f>
        <v>68.18592000000001</v>
      </c>
      <c r="AB21" s="146"/>
    </row>
    <row r="22" spans="1:28" x14ac:dyDescent="0.2">
      <c r="A22" s="31">
        <v>-8</v>
      </c>
      <c r="B22" s="24" t="s">
        <v>182</v>
      </c>
      <c r="C22" s="102">
        <v>86.09</v>
      </c>
      <c r="D22" s="102">
        <v>86.09</v>
      </c>
      <c r="E22" s="102">
        <v>86.09</v>
      </c>
      <c r="F22" s="102">
        <v>86.09</v>
      </c>
      <c r="G22" s="102">
        <v>86.09</v>
      </c>
      <c r="H22" s="102">
        <v>86.09</v>
      </c>
      <c r="I22" s="102">
        <v>86.09</v>
      </c>
      <c r="J22" s="102">
        <v>86.09</v>
      </c>
      <c r="K22" s="102">
        <v>86.09</v>
      </c>
      <c r="L22" s="102">
        <v>86.09</v>
      </c>
      <c r="M22" s="102">
        <v>86.09</v>
      </c>
      <c r="N22" s="102">
        <v>86.09</v>
      </c>
      <c r="O22" s="28">
        <f ca="1">'New Organic'!O14/OFFSET('New Organic'!O$8,,$A22)*OFFSET(O$16,,$A22)</f>
        <v>77.4846</v>
      </c>
      <c r="P22" s="28">
        <f ca="1">'New Organic'!P14/OFFSET('New Organic'!P$8,,$A22)*OFFSET(P$16,,$A22)</f>
        <v>77.4846</v>
      </c>
      <c r="Q22" s="28">
        <f ca="1">'New Organic'!Q14/OFFSET('New Organic'!Q$8,,$A22)*OFFSET(Q$16,,$A22)</f>
        <v>77.4846</v>
      </c>
      <c r="R22" s="28">
        <f ca="1">'New Organic'!R14/OFFSET('New Organic'!R$8,,$A22)*OFFSET(R$16,,$A22)</f>
        <v>77.4846</v>
      </c>
      <c r="S22" s="28">
        <f ca="1">'New Organic'!S14/OFFSET('New Organic'!S$8,,$A22)*OFFSET(S$16,,$A22)</f>
        <v>77.4846</v>
      </c>
      <c r="T22" s="28">
        <f ca="1">'New Organic'!T14/OFFSET('New Organic'!T$8,,$A22)*OFFSET(T$16,,$A22)</f>
        <v>77.4846</v>
      </c>
      <c r="U22" s="28">
        <f ca="1">'New Organic'!U14/OFFSET('New Organic'!U$8,,$A22)*OFFSET(U$16,,$A22)</f>
        <v>77.4846</v>
      </c>
      <c r="V22" s="28">
        <f ca="1">'New Organic'!V14/OFFSET('New Organic'!V$8,,$A22)*OFFSET(V$16,,$A22)</f>
        <v>77.4846</v>
      </c>
      <c r="W22" s="28">
        <f ca="1">'New Organic'!W14/OFFSET('New Organic'!W$8,,$A22)*OFFSET(W$16,,$A22)</f>
        <v>75.762720000000016</v>
      </c>
      <c r="X22" s="28">
        <f ca="1">'New Organic'!X14/OFFSET('New Organic'!X$8,,$A22)*OFFSET(X$16,,$A22)</f>
        <v>75.762720000000016</v>
      </c>
      <c r="Y22" s="28">
        <f ca="1">'New Organic'!Y14/OFFSET('New Organic'!Y$8,,$A22)*OFFSET(Y$16,,$A22)</f>
        <v>75.762720000000016</v>
      </c>
      <c r="Z22" s="28">
        <f ca="1">'New Organic'!Z14/OFFSET('New Organic'!Z$8,,$A22)*OFFSET(Z$16,,$A22)</f>
        <v>75.762720000000016</v>
      </c>
      <c r="AB22" s="146"/>
    </row>
    <row r="23" spans="1:28" x14ac:dyDescent="0.2">
      <c r="A23" s="31">
        <v>-7</v>
      </c>
      <c r="B23" s="24" t="s">
        <v>183</v>
      </c>
      <c r="C23" s="102">
        <v>95.66</v>
      </c>
      <c r="D23" s="102">
        <v>95.66</v>
      </c>
      <c r="E23" s="102">
        <v>95.66</v>
      </c>
      <c r="F23" s="102">
        <v>95.66</v>
      </c>
      <c r="G23" s="102">
        <v>95.66</v>
      </c>
      <c r="H23" s="102">
        <v>95.66</v>
      </c>
      <c r="I23" s="102">
        <v>95.66</v>
      </c>
      <c r="J23" s="102">
        <v>95.66</v>
      </c>
      <c r="K23" s="102">
        <v>95.66</v>
      </c>
      <c r="L23" s="102">
        <v>95.66</v>
      </c>
      <c r="M23" s="102">
        <v>95.66</v>
      </c>
      <c r="N23" s="102">
        <v>95.66</v>
      </c>
      <c r="O23" s="28">
        <f ca="1">'New Organic'!O15/OFFSET('New Organic'!O$8,,$A23)*OFFSET(O$16,,$A23)</f>
        <v>86.094000000000008</v>
      </c>
      <c r="P23" s="28">
        <f ca="1">'New Organic'!P15/OFFSET('New Organic'!P$8,,$A23)*OFFSET(P$16,,$A23)</f>
        <v>86.094000000000008</v>
      </c>
      <c r="Q23" s="28">
        <f ca="1">'New Organic'!Q15/OFFSET('New Organic'!Q$8,,$A23)*OFFSET(Q$16,,$A23)</f>
        <v>86.094000000000008</v>
      </c>
      <c r="R23" s="28">
        <f ca="1">'New Organic'!R15/OFFSET('New Organic'!R$8,,$A23)*OFFSET(R$16,,$A23)</f>
        <v>86.094000000000008</v>
      </c>
      <c r="S23" s="28">
        <f ca="1">'New Organic'!S15/OFFSET('New Organic'!S$8,,$A23)*OFFSET(S$16,,$A23)</f>
        <v>86.094000000000008</v>
      </c>
      <c r="T23" s="28">
        <f ca="1">'New Organic'!T15/OFFSET('New Organic'!T$8,,$A23)*OFFSET(T$16,,$A23)</f>
        <v>86.094000000000008</v>
      </c>
      <c r="U23" s="28">
        <f ca="1">'New Organic'!U15/OFFSET('New Organic'!U$8,,$A23)*OFFSET(U$16,,$A23)</f>
        <v>86.094000000000008</v>
      </c>
      <c r="V23" s="28">
        <f ca="1">'New Organic'!V15/OFFSET('New Organic'!V$8,,$A23)*OFFSET(V$16,,$A23)</f>
        <v>84.180800000000019</v>
      </c>
      <c r="W23" s="28">
        <f ca="1">'New Organic'!W15/OFFSET('New Organic'!W$8,,$A23)*OFFSET(W$16,,$A23)</f>
        <v>84.180800000000019</v>
      </c>
      <c r="X23" s="28">
        <f ca="1">'New Organic'!X15/OFFSET('New Organic'!X$8,,$A23)*OFFSET(X$16,,$A23)</f>
        <v>84.180800000000019</v>
      </c>
      <c r="Y23" s="28">
        <f ca="1">'New Organic'!Y15/OFFSET('New Organic'!Y$8,,$A23)*OFFSET(Y$16,,$A23)</f>
        <v>84.180800000000019</v>
      </c>
      <c r="Z23" s="28">
        <f ca="1">'New Organic'!Z15/OFFSET('New Organic'!Z$8,,$A23)*OFFSET(Z$16,,$A23)</f>
        <v>84.180800000000019</v>
      </c>
      <c r="AB23" s="146"/>
    </row>
    <row r="24" spans="1:28" x14ac:dyDescent="0.2">
      <c r="A24" s="31">
        <v>-6</v>
      </c>
      <c r="B24" s="24" t="s">
        <v>184</v>
      </c>
      <c r="C24" s="102">
        <v>106.29</v>
      </c>
      <c r="D24" s="102">
        <v>106.29</v>
      </c>
      <c r="E24" s="102">
        <v>106.29</v>
      </c>
      <c r="F24" s="102">
        <v>106.29</v>
      </c>
      <c r="G24" s="102">
        <v>106.29</v>
      </c>
      <c r="H24" s="102">
        <v>106.29</v>
      </c>
      <c r="I24" s="102">
        <v>106.29</v>
      </c>
      <c r="J24" s="102">
        <v>106.29</v>
      </c>
      <c r="K24" s="102">
        <v>106.29</v>
      </c>
      <c r="L24" s="102">
        <v>106.29</v>
      </c>
      <c r="M24" s="102">
        <v>106.29</v>
      </c>
      <c r="N24" s="102">
        <v>106.29</v>
      </c>
      <c r="O24" s="28">
        <f ca="1">'New Organic'!O16/OFFSET('New Organic'!O$8,,$A24)*OFFSET(O$16,,$A24)</f>
        <v>95.659200000000013</v>
      </c>
      <c r="P24" s="28">
        <f ca="1">'New Organic'!P16/OFFSET('New Organic'!P$8,,$A24)*OFFSET(P$16,,$A24)</f>
        <v>95.659200000000013</v>
      </c>
      <c r="Q24" s="28">
        <f ca="1">'New Organic'!Q16/OFFSET('New Organic'!Q$8,,$A24)*OFFSET(Q$16,,$A24)</f>
        <v>95.659200000000013</v>
      </c>
      <c r="R24" s="28">
        <f ca="1">'New Organic'!R16/OFFSET('New Organic'!R$8,,$A24)*OFFSET(R$16,,$A24)</f>
        <v>95.659200000000013</v>
      </c>
      <c r="S24" s="28">
        <f ca="1">'New Organic'!S16/OFFSET('New Organic'!S$8,,$A24)*OFFSET(S$16,,$A24)</f>
        <v>95.659200000000013</v>
      </c>
      <c r="T24" s="28">
        <f ca="1">'New Organic'!T16/OFFSET('New Organic'!T$8,,$A24)*OFFSET(T$16,,$A24)</f>
        <v>95.659200000000013</v>
      </c>
      <c r="U24" s="28">
        <f ca="1">'New Organic'!U16/OFFSET('New Organic'!U$8,,$A24)*OFFSET(U$16,,$A24)</f>
        <v>93.533440000000027</v>
      </c>
      <c r="V24" s="28">
        <f ca="1">'New Organic'!V16/OFFSET('New Organic'!V$8,,$A24)*OFFSET(V$16,,$A24)</f>
        <v>93.533440000000027</v>
      </c>
      <c r="W24" s="28">
        <f ca="1">'New Organic'!W16/OFFSET('New Organic'!W$8,,$A24)*OFFSET(W$16,,$A24)</f>
        <v>93.533440000000027</v>
      </c>
      <c r="X24" s="28">
        <f ca="1">'New Organic'!X16/OFFSET('New Organic'!X$8,,$A24)*OFFSET(X$16,,$A24)</f>
        <v>93.533440000000027</v>
      </c>
      <c r="Y24" s="28">
        <f ca="1">'New Organic'!Y16/OFFSET('New Organic'!Y$8,,$A24)*OFFSET(Y$16,,$A24)</f>
        <v>93.533440000000027</v>
      </c>
      <c r="Z24" s="28">
        <f ca="1">'New Organic'!Z16/OFFSET('New Organic'!Z$8,,$A24)*OFFSET(Z$16,,$A24)</f>
        <v>93.533440000000027</v>
      </c>
      <c r="AB24" s="146"/>
    </row>
    <row r="25" spans="1:28" x14ac:dyDescent="0.2">
      <c r="A25" s="31">
        <v>-5</v>
      </c>
      <c r="B25" s="24" t="s">
        <v>185</v>
      </c>
      <c r="C25" s="102">
        <v>118.1</v>
      </c>
      <c r="D25" s="102">
        <v>118.1</v>
      </c>
      <c r="E25" s="102">
        <v>118.1</v>
      </c>
      <c r="F25" s="102">
        <v>118.1</v>
      </c>
      <c r="G25" s="102">
        <v>118.1</v>
      </c>
      <c r="H25" s="102">
        <v>118.1</v>
      </c>
      <c r="I25" s="102">
        <v>118.1</v>
      </c>
      <c r="J25" s="102">
        <v>118.1</v>
      </c>
      <c r="K25" s="102">
        <v>118.1</v>
      </c>
      <c r="L25" s="102">
        <v>118.1</v>
      </c>
      <c r="M25" s="102">
        <v>118.1</v>
      </c>
      <c r="N25" s="102">
        <v>118.1</v>
      </c>
      <c r="O25" s="28">
        <f ca="1">'New Organic'!O17/OFFSET('New Organic'!O$8,,$A25)*OFFSET(O$16,,$A25)</f>
        <v>106.2882</v>
      </c>
      <c r="P25" s="28">
        <f ca="1">'New Organic'!P17/OFFSET('New Organic'!P$8,,$A25)*OFFSET(P$16,,$A25)</f>
        <v>106.2882</v>
      </c>
      <c r="Q25" s="28">
        <f ca="1">'New Organic'!Q17/OFFSET('New Organic'!Q$8,,$A25)*OFFSET(Q$16,,$A25)</f>
        <v>106.2882</v>
      </c>
      <c r="R25" s="28">
        <f ca="1">'New Organic'!R17/OFFSET('New Organic'!R$8,,$A25)*OFFSET(R$16,,$A25)</f>
        <v>106.2882</v>
      </c>
      <c r="S25" s="28">
        <f ca="1">'New Organic'!S17/OFFSET('New Organic'!S$8,,$A25)*OFFSET(S$16,,$A25)</f>
        <v>106.2882</v>
      </c>
      <c r="T25" s="28">
        <f ca="1">'New Organic'!T17/OFFSET('New Organic'!T$8,,$A25)*OFFSET(T$16,,$A25)</f>
        <v>103.92624000000002</v>
      </c>
      <c r="U25" s="28">
        <f ca="1">'New Organic'!U17/OFFSET('New Organic'!U$8,,$A25)*OFFSET(U$16,,$A25)</f>
        <v>103.92624000000002</v>
      </c>
      <c r="V25" s="28">
        <f ca="1">'New Organic'!V17/OFFSET('New Organic'!V$8,,$A25)*OFFSET(V$16,,$A25)</f>
        <v>103.92624000000002</v>
      </c>
      <c r="W25" s="28">
        <f ca="1">'New Organic'!W17/OFFSET('New Organic'!W$8,,$A25)*OFFSET(W$16,,$A25)</f>
        <v>103.92624000000002</v>
      </c>
      <c r="X25" s="28">
        <f ca="1">'New Organic'!X17/OFFSET('New Organic'!X$8,,$A25)*OFFSET(X$16,,$A25)</f>
        <v>103.92624000000002</v>
      </c>
      <c r="Y25" s="28">
        <f ca="1">'New Organic'!Y17/OFFSET('New Organic'!Y$8,,$A25)*OFFSET(Y$16,,$A25)</f>
        <v>103.92624000000002</v>
      </c>
      <c r="Z25" s="28">
        <f ca="1">'New Organic'!Z17/OFFSET('New Organic'!Z$8,,$A25)*OFFSET(Z$16,,$A25)</f>
        <v>103.92624000000002</v>
      </c>
      <c r="AB25" s="146"/>
    </row>
    <row r="26" spans="1:28" x14ac:dyDescent="0.2">
      <c r="A26" s="31">
        <v>-4</v>
      </c>
      <c r="B26" s="24" t="s">
        <v>186</v>
      </c>
      <c r="C26" s="102">
        <v>131.22</v>
      </c>
      <c r="D26" s="102">
        <v>131.22</v>
      </c>
      <c r="E26" s="102">
        <v>131.22</v>
      </c>
      <c r="F26" s="102">
        <v>131.22</v>
      </c>
      <c r="G26" s="102">
        <v>131.22</v>
      </c>
      <c r="H26" s="102">
        <v>131.22</v>
      </c>
      <c r="I26" s="102">
        <v>131.22</v>
      </c>
      <c r="J26" s="102">
        <v>131.22</v>
      </c>
      <c r="K26" s="102">
        <v>131.22</v>
      </c>
      <c r="L26" s="102">
        <v>131.22</v>
      </c>
      <c r="M26" s="102">
        <v>131.22</v>
      </c>
      <c r="N26" s="102">
        <v>131.22</v>
      </c>
      <c r="O26" s="28">
        <f ca="1">'New Organic'!O18/OFFSET('New Organic'!O$8,,$A26)*OFFSET(O$16,,$A26)</f>
        <v>118.098</v>
      </c>
      <c r="P26" s="28">
        <f ca="1">'New Organic'!P18/OFFSET('New Organic'!P$8,,$A26)*OFFSET(P$16,,$A26)</f>
        <v>118.098</v>
      </c>
      <c r="Q26" s="28">
        <f ca="1">'New Organic'!Q18/OFFSET('New Organic'!Q$8,,$A26)*OFFSET(Q$16,,$A26)</f>
        <v>118.098</v>
      </c>
      <c r="R26" s="28">
        <f ca="1">'New Organic'!R18/OFFSET('New Organic'!R$8,,$A26)*OFFSET(R$16,,$A26)</f>
        <v>118.098</v>
      </c>
      <c r="S26" s="28">
        <f ca="1">'New Organic'!S18/OFFSET('New Organic'!S$8,,$A26)*OFFSET(S$16,,$A26)</f>
        <v>115.4736</v>
      </c>
      <c r="T26" s="28">
        <f ca="1">'New Organic'!T18/OFFSET('New Organic'!T$8,,$A26)*OFFSET(T$16,,$A26)</f>
        <v>115.4736</v>
      </c>
      <c r="U26" s="28">
        <f ca="1">'New Organic'!U18/OFFSET('New Organic'!U$8,,$A26)*OFFSET(U$16,,$A26)</f>
        <v>115.4736</v>
      </c>
      <c r="V26" s="28">
        <f ca="1">'New Organic'!V18/OFFSET('New Organic'!V$8,,$A26)*OFFSET(V$16,,$A26)</f>
        <v>115.4736</v>
      </c>
      <c r="W26" s="28">
        <f ca="1">'New Organic'!W18/OFFSET('New Organic'!W$8,,$A26)*OFFSET(W$16,,$A26)</f>
        <v>115.4736</v>
      </c>
      <c r="X26" s="28">
        <f ca="1">'New Organic'!X18/OFFSET('New Organic'!X$8,,$A26)*OFFSET(X$16,,$A26)</f>
        <v>115.4736</v>
      </c>
      <c r="Y26" s="28">
        <f ca="1">'New Organic'!Y18/OFFSET('New Organic'!Y$8,,$A26)*OFFSET(Y$16,,$A26)</f>
        <v>115.4736</v>
      </c>
      <c r="Z26" s="28">
        <f ca="1">'New Organic'!Z18/OFFSET('New Organic'!Z$8,,$A26)*OFFSET(Z$16,,$A26)</f>
        <v>115.4736</v>
      </c>
      <c r="AB26" s="146"/>
    </row>
    <row r="27" spans="1:28" x14ac:dyDescent="0.2">
      <c r="A27" s="31">
        <v>-3</v>
      </c>
      <c r="B27" s="24" t="s">
        <v>187</v>
      </c>
      <c r="C27" s="102">
        <v>145.80000000000001</v>
      </c>
      <c r="D27" s="102">
        <v>145.80000000000001</v>
      </c>
      <c r="E27" s="102">
        <v>145.80000000000001</v>
      </c>
      <c r="F27" s="102">
        <v>145.80000000000001</v>
      </c>
      <c r="G27" s="102">
        <v>145.80000000000001</v>
      </c>
      <c r="H27" s="102">
        <v>145.80000000000001</v>
      </c>
      <c r="I27" s="102">
        <v>145.80000000000001</v>
      </c>
      <c r="J27" s="102">
        <v>145.80000000000001</v>
      </c>
      <c r="K27" s="102">
        <v>145.80000000000001</v>
      </c>
      <c r="L27" s="102">
        <v>145.80000000000001</v>
      </c>
      <c r="M27" s="102">
        <v>145.80000000000001</v>
      </c>
      <c r="N27" s="102">
        <v>145.80000000000001</v>
      </c>
      <c r="O27" s="28">
        <f ca="1">'New Organic'!O19/OFFSET('New Organic'!O$8,,$A27)*OFFSET(O$16,,$A27)</f>
        <v>131.22</v>
      </c>
      <c r="P27" s="28">
        <f ca="1">'New Organic'!P19/OFFSET('New Organic'!P$8,,$A27)*OFFSET(P$16,,$A27)</f>
        <v>131.22</v>
      </c>
      <c r="Q27" s="28">
        <f ca="1">'New Organic'!Q19/OFFSET('New Organic'!Q$8,,$A27)*OFFSET(Q$16,,$A27)</f>
        <v>131.22</v>
      </c>
      <c r="R27" s="28">
        <f ca="1">'New Organic'!R19/OFFSET('New Organic'!R$8,,$A27)*OFFSET(R$16,,$A27)</f>
        <v>128.304</v>
      </c>
      <c r="S27" s="28">
        <f ca="1">'New Organic'!S19/OFFSET('New Organic'!S$8,,$A27)*OFFSET(S$16,,$A27)</f>
        <v>128.304</v>
      </c>
      <c r="T27" s="28">
        <f ca="1">'New Organic'!T19/OFFSET('New Organic'!T$8,,$A27)*OFFSET(T$16,,$A27)</f>
        <v>128.304</v>
      </c>
      <c r="U27" s="28">
        <f ca="1">'New Organic'!U19/OFFSET('New Organic'!U$8,,$A27)*OFFSET(U$16,,$A27)</f>
        <v>128.304</v>
      </c>
      <c r="V27" s="28">
        <f ca="1">'New Organic'!V19/OFFSET('New Organic'!V$8,,$A27)*OFFSET(V$16,,$A27)</f>
        <v>128.304</v>
      </c>
      <c r="W27" s="28">
        <f ca="1">'New Organic'!W19/OFFSET('New Organic'!W$8,,$A27)*OFFSET(W$16,,$A27)</f>
        <v>128.304</v>
      </c>
      <c r="X27" s="28">
        <f ca="1">'New Organic'!X19/OFFSET('New Organic'!X$8,,$A27)*OFFSET(X$16,,$A27)</f>
        <v>128.304</v>
      </c>
      <c r="Y27" s="28">
        <f ca="1">'New Organic'!Y19/OFFSET('New Organic'!Y$8,,$A27)*OFFSET(Y$16,,$A27)</f>
        <v>128.304</v>
      </c>
      <c r="Z27" s="28">
        <f ca="1">'New Organic'!Z19/OFFSET('New Organic'!Z$8,,$A27)*OFFSET(Z$16,,$A27)</f>
        <v>128.304</v>
      </c>
      <c r="AB27" s="146"/>
    </row>
    <row r="28" spans="1:28" x14ac:dyDescent="0.2">
      <c r="A28" s="31">
        <v>-2</v>
      </c>
      <c r="B28" s="24" t="s">
        <v>188</v>
      </c>
      <c r="C28" s="102">
        <v>162</v>
      </c>
      <c r="D28" s="102">
        <v>162</v>
      </c>
      <c r="E28" s="102">
        <v>162</v>
      </c>
      <c r="F28" s="102">
        <v>162</v>
      </c>
      <c r="G28" s="102">
        <v>162</v>
      </c>
      <c r="H28" s="102">
        <v>162</v>
      </c>
      <c r="I28" s="102">
        <v>162</v>
      </c>
      <c r="J28" s="102">
        <v>162</v>
      </c>
      <c r="K28" s="102">
        <v>162</v>
      </c>
      <c r="L28" s="102">
        <v>162</v>
      </c>
      <c r="M28" s="102">
        <v>162</v>
      </c>
      <c r="N28" s="102">
        <v>162</v>
      </c>
      <c r="O28" s="28">
        <f ca="1">'New Organic'!O20/OFFSET('New Organic'!O$8,,$A28)*OFFSET(O$16,,$A28)</f>
        <v>145.79999999999998</v>
      </c>
      <c r="P28" s="28">
        <f ca="1">'New Organic'!P20/OFFSET('New Organic'!P$8,,$A28)*OFFSET(P$16,,$A28)</f>
        <v>145.79999999999998</v>
      </c>
      <c r="Q28" s="28">
        <f ca="1">'New Organic'!Q20/OFFSET('New Organic'!Q$8,,$A28)*OFFSET(Q$16,,$A28)</f>
        <v>142.56</v>
      </c>
      <c r="R28" s="28">
        <f ca="1">'New Organic'!R20/OFFSET('New Organic'!R$8,,$A28)*OFFSET(R$16,,$A28)</f>
        <v>142.56</v>
      </c>
      <c r="S28" s="28">
        <f ca="1">'New Organic'!S20/OFFSET('New Organic'!S$8,,$A28)*OFFSET(S$16,,$A28)</f>
        <v>142.56</v>
      </c>
      <c r="T28" s="28">
        <f ca="1">'New Organic'!T20/OFFSET('New Organic'!T$8,,$A28)*OFFSET(T$16,,$A28)</f>
        <v>142.56</v>
      </c>
      <c r="U28" s="28">
        <f ca="1">'New Organic'!U20/OFFSET('New Organic'!U$8,,$A28)*OFFSET(U$16,,$A28)</f>
        <v>142.56</v>
      </c>
      <c r="V28" s="28">
        <f ca="1">'New Organic'!V20/OFFSET('New Organic'!V$8,,$A28)*OFFSET(V$16,,$A28)</f>
        <v>142.56</v>
      </c>
      <c r="W28" s="28">
        <f ca="1">'New Organic'!W20/OFFSET('New Organic'!W$8,,$A28)*OFFSET(W$16,,$A28)</f>
        <v>142.56</v>
      </c>
      <c r="X28" s="28">
        <f ca="1">'New Organic'!X20/OFFSET('New Organic'!X$8,,$A28)*OFFSET(X$16,,$A28)</f>
        <v>142.56</v>
      </c>
      <c r="Y28" s="28">
        <f ca="1">'New Organic'!Y20/OFFSET('New Organic'!Y$8,,$A28)*OFFSET(Y$16,,$A28)</f>
        <v>142.56</v>
      </c>
      <c r="Z28" s="28">
        <f ca="1">'New Organic'!Z20/OFFSET('New Organic'!Z$8,,$A28)*OFFSET(Z$16,,$A28)</f>
        <v>142.56</v>
      </c>
      <c r="AB28" s="146"/>
    </row>
    <row r="29" spans="1:28" x14ac:dyDescent="0.2">
      <c r="A29" s="31">
        <v>-1</v>
      </c>
      <c r="B29" s="24" t="s">
        <v>189</v>
      </c>
      <c r="C29" s="102">
        <v>180</v>
      </c>
      <c r="D29" s="102">
        <v>180</v>
      </c>
      <c r="E29" s="102">
        <v>180</v>
      </c>
      <c r="F29" s="102">
        <v>180</v>
      </c>
      <c r="G29" s="102">
        <v>180</v>
      </c>
      <c r="H29" s="102">
        <v>180</v>
      </c>
      <c r="I29" s="102">
        <v>180</v>
      </c>
      <c r="J29" s="102">
        <v>180</v>
      </c>
      <c r="K29" s="102">
        <v>180</v>
      </c>
      <c r="L29" s="102">
        <v>180</v>
      </c>
      <c r="M29" s="102">
        <v>180</v>
      </c>
      <c r="N29" s="102">
        <v>180</v>
      </c>
      <c r="O29" s="28">
        <f ca="1">'New Organic'!O21/OFFSET('New Organic'!O$8,,$A29)*OFFSET(O$16,,$A29)</f>
        <v>162</v>
      </c>
      <c r="P29" s="28">
        <f ca="1">'New Organic'!P21/OFFSET('New Organic'!P$8,,$A29)*OFFSET(P$16,,$A29)</f>
        <v>158.4</v>
      </c>
      <c r="Q29" s="28">
        <f ca="1">'New Organic'!Q21/OFFSET('New Organic'!Q$8,,$A29)*OFFSET(Q$16,,$A29)</f>
        <v>158.4</v>
      </c>
      <c r="R29" s="28">
        <f ca="1">'New Organic'!R21/OFFSET('New Organic'!R$8,,$A29)*OFFSET(R$16,,$A29)</f>
        <v>158.4</v>
      </c>
      <c r="S29" s="28">
        <f ca="1">'New Organic'!S21/OFFSET('New Organic'!S$8,,$A29)*OFFSET(S$16,,$A29)</f>
        <v>158.4</v>
      </c>
      <c r="T29" s="28">
        <f ca="1">'New Organic'!T21/OFFSET('New Organic'!T$8,,$A29)*OFFSET(T$16,,$A29)</f>
        <v>158.4</v>
      </c>
      <c r="U29" s="28">
        <f ca="1">'New Organic'!U21/OFFSET('New Organic'!U$8,,$A29)*OFFSET(U$16,,$A29)</f>
        <v>158.4</v>
      </c>
      <c r="V29" s="28">
        <f ca="1">'New Organic'!V21/OFFSET('New Organic'!V$8,,$A29)*OFFSET(V$16,,$A29)</f>
        <v>158.4</v>
      </c>
      <c r="W29" s="28">
        <f ca="1">'New Organic'!W21/OFFSET('New Organic'!W$8,,$A29)*OFFSET(W$16,,$A29)</f>
        <v>158.4</v>
      </c>
      <c r="X29" s="28">
        <f ca="1">'New Organic'!X21/OFFSET('New Organic'!X$8,,$A29)*OFFSET(X$16,,$A29)</f>
        <v>158.4</v>
      </c>
      <c r="Y29" s="28">
        <f ca="1">'New Organic'!Y21/OFFSET('New Organic'!Y$8,,$A29)*OFFSET(Y$16,,$A29)</f>
        <v>158.4</v>
      </c>
      <c r="Z29" s="28">
        <f ca="1">'New Organic'!Z21/OFFSET('New Organic'!Z$8,,$A29)*OFFSET(Z$16,,$A29)</f>
        <v>158.4</v>
      </c>
      <c r="AB29" s="146"/>
    </row>
    <row r="30" spans="1:28" x14ac:dyDescent="0.2">
      <c r="A30" s="31">
        <v>0</v>
      </c>
      <c r="B30" s="24" t="s">
        <v>190</v>
      </c>
      <c r="C30" s="102">
        <v>200</v>
      </c>
      <c r="D30" s="102">
        <v>200</v>
      </c>
      <c r="E30" s="102">
        <v>200</v>
      </c>
      <c r="F30" s="102">
        <v>200</v>
      </c>
      <c r="G30" s="102">
        <v>200</v>
      </c>
      <c r="H30" s="102">
        <v>200</v>
      </c>
      <c r="I30" s="102">
        <v>200</v>
      </c>
      <c r="J30" s="102">
        <v>200</v>
      </c>
      <c r="K30" s="102">
        <v>200</v>
      </c>
      <c r="L30" s="102">
        <v>200</v>
      </c>
      <c r="M30" s="102">
        <v>200</v>
      </c>
      <c r="N30" s="102">
        <v>200</v>
      </c>
      <c r="O30" s="28">
        <f ca="1">'New Organic'!O22/OFFSET('New Organic'!O$8,,$A30)*OFFSET(O$16,,$A30)</f>
        <v>176</v>
      </c>
      <c r="P30" s="28">
        <f ca="1">'New Organic'!P22/OFFSET('New Organic'!P$8,,$A30)*OFFSET(P$16,,$A30)</f>
        <v>176</v>
      </c>
      <c r="Q30" s="28">
        <f ca="1">'New Organic'!Q22/OFFSET('New Organic'!Q$8,,$A30)*OFFSET(Q$16,,$A30)</f>
        <v>176</v>
      </c>
      <c r="R30" s="28">
        <f ca="1">'New Organic'!R22/OFFSET('New Organic'!R$8,,$A30)*OFFSET(R$16,,$A30)</f>
        <v>176</v>
      </c>
      <c r="S30" s="28">
        <f ca="1">'New Organic'!S22/OFFSET('New Organic'!S$8,,$A30)*OFFSET(S$16,,$A30)</f>
        <v>176</v>
      </c>
      <c r="T30" s="28">
        <f ca="1">'New Organic'!T22/OFFSET('New Organic'!T$8,,$A30)*OFFSET(T$16,,$A30)</f>
        <v>176</v>
      </c>
      <c r="U30" s="28">
        <f ca="1">'New Organic'!U22/OFFSET('New Organic'!U$8,,$A30)*OFFSET(U$16,,$A30)</f>
        <v>176</v>
      </c>
      <c r="V30" s="28">
        <f ca="1">'New Organic'!V22/OFFSET('New Organic'!V$8,,$A30)*OFFSET(V$16,,$A30)</f>
        <v>176</v>
      </c>
      <c r="W30" s="28">
        <f ca="1">'New Organic'!W22/OFFSET('New Organic'!W$8,,$A30)*OFFSET(W$16,,$A30)</f>
        <v>176</v>
      </c>
      <c r="X30" s="28">
        <f ca="1">'New Organic'!X22/OFFSET('New Organic'!X$8,,$A30)*OFFSET(X$16,,$A30)</f>
        <v>176</v>
      </c>
      <c r="Y30" s="28">
        <f ca="1">'New Organic'!Y22/OFFSET('New Organic'!Y$8,,$A30)*OFFSET(Y$16,,$A30)</f>
        <v>176</v>
      </c>
      <c r="Z30" s="28">
        <f ca="1">'New Organic'!Z22/OFFSET('New Organic'!Z$8,,$A30)*OFFSET(Z$16,,$A30)</f>
        <v>176</v>
      </c>
      <c r="AB30" s="146"/>
    </row>
    <row r="31" spans="1:28" x14ac:dyDescent="0.2">
      <c r="B31" s="29" t="s">
        <v>243</v>
      </c>
      <c r="C31" s="30">
        <f t="shared" ref="C31:Z31" si="8">SUM(C19:C30)</f>
        <v>1435.14</v>
      </c>
      <c r="D31" s="30">
        <f t="shared" si="8"/>
        <v>1435.14</v>
      </c>
      <c r="E31" s="30">
        <f t="shared" si="8"/>
        <v>1435.14</v>
      </c>
      <c r="F31" s="30">
        <f t="shared" si="8"/>
        <v>1435.14</v>
      </c>
      <c r="G31" s="30">
        <f t="shared" si="8"/>
        <v>1435.14</v>
      </c>
      <c r="H31" s="30">
        <f t="shared" si="8"/>
        <v>1435.14</v>
      </c>
      <c r="I31" s="30">
        <f t="shared" si="8"/>
        <v>1435.14</v>
      </c>
      <c r="J31" s="30">
        <f t="shared" si="8"/>
        <v>1435.14</v>
      </c>
      <c r="K31" s="30">
        <f t="shared" si="8"/>
        <v>1435.14</v>
      </c>
      <c r="L31" s="30">
        <f t="shared" si="8"/>
        <v>1435.14</v>
      </c>
      <c r="M31" s="30">
        <f t="shared" si="8"/>
        <v>1435.14</v>
      </c>
      <c r="N31" s="30">
        <f t="shared" si="8"/>
        <v>1435.14</v>
      </c>
      <c r="O31" s="30">
        <f t="shared" ca="1" si="8"/>
        <v>1301.5749999999998</v>
      </c>
      <c r="P31" s="30">
        <f t="shared" ca="1" si="8"/>
        <v>1296.5801999999999</v>
      </c>
      <c r="Q31" s="30">
        <f t="shared" ca="1" si="8"/>
        <v>1280.7878000000001</v>
      </c>
      <c r="R31" s="30">
        <f t="shared" ca="1" si="8"/>
        <v>1277.8717999999999</v>
      </c>
      <c r="S31" s="30">
        <f t="shared" ca="1" si="8"/>
        <v>1275.2474</v>
      </c>
      <c r="T31" s="30">
        <f t="shared" ca="1" si="8"/>
        <v>1272.88544</v>
      </c>
      <c r="U31" s="30">
        <f t="shared" ca="1" si="8"/>
        <v>1270.7596800000001</v>
      </c>
      <c r="V31" s="30">
        <f t="shared" ca="1" si="8"/>
        <v>1268.8464800000002</v>
      </c>
      <c r="W31" s="30">
        <f t="shared" ca="1" si="8"/>
        <v>1267.1246000000003</v>
      </c>
      <c r="X31" s="30">
        <f t="shared" ca="1" si="8"/>
        <v>1265.5749200000002</v>
      </c>
      <c r="Y31" s="30">
        <f t="shared" ca="1" si="8"/>
        <v>1264.1802000000002</v>
      </c>
      <c r="Z31" s="30">
        <f t="shared" ca="1" si="8"/>
        <v>1262.9249600000003</v>
      </c>
    </row>
    <row r="32" spans="1:28" x14ac:dyDescent="0.2">
      <c r="B32" s="25"/>
    </row>
    <row r="34" spans="2:26" x14ac:dyDescent="0.2">
      <c r="B34" s="7" t="s">
        <v>257</v>
      </c>
    </row>
    <row r="35" spans="2:26" x14ac:dyDescent="0.2">
      <c r="B35" s="135" t="s">
        <v>244</v>
      </c>
      <c r="C35" s="136">
        <v>41640</v>
      </c>
      <c r="D35" s="136">
        <v>41671</v>
      </c>
      <c r="E35" s="136">
        <v>41699</v>
      </c>
      <c r="F35" s="136">
        <v>41730</v>
      </c>
      <c r="G35" s="136">
        <v>41760</v>
      </c>
      <c r="H35" s="136">
        <v>41791</v>
      </c>
      <c r="I35" s="136">
        <v>41821</v>
      </c>
      <c r="J35" s="136">
        <v>41852</v>
      </c>
      <c r="K35" s="136">
        <v>41883</v>
      </c>
      <c r="L35" s="136">
        <v>41913</v>
      </c>
      <c r="M35" s="136">
        <v>41944</v>
      </c>
      <c r="N35" s="136">
        <v>41974</v>
      </c>
      <c r="O35" s="136">
        <v>42005</v>
      </c>
      <c r="P35" s="136">
        <v>42036</v>
      </c>
      <c r="Q35" s="136">
        <v>42064</v>
      </c>
      <c r="R35" s="136">
        <v>42095</v>
      </c>
      <c r="S35" s="136">
        <v>42125</v>
      </c>
      <c r="T35" s="136">
        <v>42156</v>
      </c>
      <c r="U35" s="136">
        <v>42186</v>
      </c>
      <c r="V35" s="136">
        <v>42217</v>
      </c>
      <c r="W35" s="136">
        <v>42248</v>
      </c>
      <c r="X35" s="136">
        <v>42278</v>
      </c>
      <c r="Y35" s="136">
        <v>42309</v>
      </c>
      <c r="Z35" s="136">
        <v>42339</v>
      </c>
    </row>
    <row r="36" spans="2:26" x14ac:dyDescent="0.2">
      <c r="B36" s="138">
        <v>41518</v>
      </c>
      <c r="C36" s="137">
        <v>1</v>
      </c>
      <c r="D36" s="137">
        <v>0</v>
      </c>
      <c r="E36" s="137">
        <v>0</v>
      </c>
      <c r="F36" s="137">
        <v>0</v>
      </c>
      <c r="G36" s="137">
        <v>0</v>
      </c>
      <c r="H36" s="137">
        <v>0</v>
      </c>
      <c r="I36" s="137">
        <v>0</v>
      </c>
      <c r="J36" s="137">
        <v>0</v>
      </c>
      <c r="K36" s="137">
        <v>0</v>
      </c>
      <c r="L36" s="137">
        <v>0</v>
      </c>
      <c r="M36" s="137">
        <v>0</v>
      </c>
      <c r="N36" s="137">
        <v>0</v>
      </c>
      <c r="O36" s="137">
        <v>0</v>
      </c>
      <c r="P36" s="137">
        <v>0</v>
      </c>
      <c r="Q36" s="137">
        <v>0</v>
      </c>
      <c r="R36" s="137">
        <v>0</v>
      </c>
      <c r="S36" s="137">
        <v>0</v>
      </c>
      <c r="T36" s="137">
        <v>0</v>
      </c>
      <c r="U36" s="137">
        <v>0</v>
      </c>
      <c r="V36" s="137">
        <v>0</v>
      </c>
      <c r="W36" s="137">
        <v>0</v>
      </c>
      <c r="X36" s="137">
        <v>0</v>
      </c>
      <c r="Y36" s="137">
        <v>0</v>
      </c>
      <c r="Z36" s="137">
        <v>0</v>
      </c>
    </row>
    <row r="37" spans="2:26" x14ac:dyDescent="0.2">
      <c r="B37" s="138">
        <v>41548</v>
      </c>
      <c r="C37" s="137">
        <v>2</v>
      </c>
      <c r="D37" s="137">
        <v>1</v>
      </c>
      <c r="E37" s="137">
        <v>0</v>
      </c>
      <c r="F37" s="137">
        <v>0</v>
      </c>
      <c r="G37" s="137">
        <v>0</v>
      </c>
      <c r="H37" s="137">
        <v>0</v>
      </c>
      <c r="I37" s="137">
        <v>0</v>
      </c>
      <c r="J37" s="137">
        <v>0</v>
      </c>
      <c r="K37" s="137">
        <v>0</v>
      </c>
      <c r="L37" s="137">
        <v>0</v>
      </c>
      <c r="M37" s="137">
        <v>0</v>
      </c>
      <c r="N37" s="137">
        <v>0</v>
      </c>
      <c r="O37" s="137">
        <v>0</v>
      </c>
      <c r="P37" s="137">
        <v>0</v>
      </c>
      <c r="Q37" s="137">
        <v>0</v>
      </c>
      <c r="R37" s="137">
        <v>0</v>
      </c>
      <c r="S37" s="137">
        <v>0</v>
      </c>
      <c r="T37" s="137">
        <v>0</v>
      </c>
      <c r="U37" s="137">
        <v>0</v>
      </c>
      <c r="V37" s="137">
        <v>0</v>
      </c>
      <c r="W37" s="137">
        <v>0</v>
      </c>
      <c r="X37" s="137">
        <v>0</v>
      </c>
      <c r="Y37" s="137">
        <v>0</v>
      </c>
      <c r="Z37" s="137">
        <v>0</v>
      </c>
    </row>
    <row r="38" spans="2:26" x14ac:dyDescent="0.2">
      <c r="B38" s="138">
        <v>41579</v>
      </c>
      <c r="C38" s="137">
        <v>3</v>
      </c>
      <c r="D38" s="137">
        <v>2</v>
      </c>
      <c r="E38" s="137">
        <v>1</v>
      </c>
      <c r="F38" s="137">
        <v>0</v>
      </c>
      <c r="G38" s="137">
        <v>0</v>
      </c>
      <c r="H38" s="137">
        <v>0</v>
      </c>
      <c r="I38" s="137">
        <v>0</v>
      </c>
      <c r="J38" s="137">
        <v>0</v>
      </c>
      <c r="K38" s="137">
        <v>0</v>
      </c>
      <c r="L38" s="137">
        <v>0</v>
      </c>
      <c r="M38" s="137">
        <v>0</v>
      </c>
      <c r="N38" s="137">
        <v>0</v>
      </c>
      <c r="O38" s="137">
        <v>0</v>
      </c>
      <c r="P38" s="137">
        <v>0</v>
      </c>
      <c r="Q38" s="137">
        <v>0</v>
      </c>
      <c r="R38" s="137">
        <v>0</v>
      </c>
      <c r="S38" s="137">
        <v>0</v>
      </c>
      <c r="T38" s="137">
        <v>0</v>
      </c>
      <c r="U38" s="137">
        <v>0</v>
      </c>
      <c r="V38" s="137">
        <v>0</v>
      </c>
      <c r="W38" s="137">
        <v>0</v>
      </c>
      <c r="X38" s="137">
        <v>0</v>
      </c>
      <c r="Y38" s="137">
        <v>0</v>
      </c>
      <c r="Z38" s="137">
        <v>0</v>
      </c>
    </row>
    <row r="39" spans="2:26" x14ac:dyDescent="0.2">
      <c r="B39" s="138">
        <v>41609</v>
      </c>
      <c r="C39" s="137">
        <v>5</v>
      </c>
      <c r="D39" s="137">
        <v>3</v>
      </c>
      <c r="E39" s="137">
        <v>2</v>
      </c>
      <c r="F39" s="137">
        <v>1</v>
      </c>
      <c r="G39" s="137">
        <v>0</v>
      </c>
      <c r="H39" s="137">
        <v>0</v>
      </c>
      <c r="I39" s="137">
        <v>0</v>
      </c>
      <c r="J39" s="137">
        <v>0</v>
      </c>
      <c r="K39" s="137">
        <v>0</v>
      </c>
      <c r="L39" s="137">
        <v>0</v>
      </c>
      <c r="M39" s="137">
        <v>0</v>
      </c>
      <c r="N39" s="137">
        <v>0</v>
      </c>
      <c r="O39" s="137">
        <v>0</v>
      </c>
      <c r="P39" s="137">
        <v>0</v>
      </c>
      <c r="Q39" s="137">
        <v>0</v>
      </c>
      <c r="R39" s="137">
        <v>0</v>
      </c>
      <c r="S39" s="137">
        <v>0</v>
      </c>
      <c r="T39" s="137">
        <v>0</v>
      </c>
      <c r="U39" s="137">
        <v>0</v>
      </c>
      <c r="V39" s="137">
        <v>0</v>
      </c>
      <c r="W39" s="137">
        <v>0</v>
      </c>
      <c r="X39" s="137">
        <v>0</v>
      </c>
      <c r="Y39" s="137">
        <v>0</v>
      </c>
      <c r="Z39" s="137">
        <v>0</v>
      </c>
    </row>
    <row r="40" spans="2:26" x14ac:dyDescent="0.2">
      <c r="B40" s="138">
        <v>41640</v>
      </c>
      <c r="C40" s="137">
        <v>7</v>
      </c>
      <c r="D40" s="137">
        <v>5</v>
      </c>
      <c r="E40" s="137">
        <v>3</v>
      </c>
      <c r="F40" s="137">
        <v>2</v>
      </c>
      <c r="G40" s="137">
        <v>1</v>
      </c>
      <c r="H40" s="137">
        <v>0</v>
      </c>
      <c r="I40" s="137">
        <v>0</v>
      </c>
      <c r="J40" s="137">
        <v>0</v>
      </c>
      <c r="K40" s="137">
        <v>0</v>
      </c>
      <c r="L40" s="137">
        <v>0</v>
      </c>
      <c r="M40" s="137">
        <v>0</v>
      </c>
      <c r="N40" s="137">
        <v>0</v>
      </c>
      <c r="O40" s="137">
        <v>0</v>
      </c>
      <c r="P40" s="137">
        <v>0</v>
      </c>
      <c r="Q40" s="137">
        <v>0</v>
      </c>
      <c r="R40" s="137">
        <v>0</v>
      </c>
      <c r="S40" s="137">
        <v>0</v>
      </c>
      <c r="T40" s="137">
        <v>0</v>
      </c>
      <c r="U40" s="137">
        <v>0</v>
      </c>
      <c r="V40" s="137">
        <v>0</v>
      </c>
      <c r="W40" s="137">
        <v>0</v>
      </c>
      <c r="X40" s="137">
        <v>0</v>
      </c>
      <c r="Y40" s="137">
        <v>0</v>
      </c>
      <c r="Z40" s="137">
        <v>0</v>
      </c>
    </row>
    <row r="41" spans="2:26" x14ac:dyDescent="0.2">
      <c r="B41" s="138">
        <v>41671</v>
      </c>
      <c r="C41" s="137">
        <v>0</v>
      </c>
      <c r="D41" s="137">
        <v>7</v>
      </c>
      <c r="E41" s="137">
        <v>5</v>
      </c>
      <c r="F41" s="137">
        <v>3</v>
      </c>
      <c r="G41" s="137">
        <v>2</v>
      </c>
      <c r="H41" s="137">
        <v>1</v>
      </c>
      <c r="I41" s="137">
        <v>0</v>
      </c>
      <c r="J41" s="137">
        <v>0</v>
      </c>
      <c r="K41" s="137">
        <v>0</v>
      </c>
      <c r="L41" s="137">
        <v>0</v>
      </c>
      <c r="M41" s="137">
        <v>0</v>
      </c>
      <c r="N41" s="137">
        <v>0</v>
      </c>
      <c r="O41" s="137">
        <v>0</v>
      </c>
      <c r="P41" s="137">
        <v>0</v>
      </c>
      <c r="Q41" s="137">
        <v>0</v>
      </c>
      <c r="R41" s="137">
        <v>0</v>
      </c>
      <c r="S41" s="137">
        <v>0</v>
      </c>
      <c r="T41" s="137">
        <v>0</v>
      </c>
      <c r="U41" s="137">
        <v>0</v>
      </c>
      <c r="V41" s="137">
        <v>0</v>
      </c>
      <c r="W41" s="137">
        <v>0</v>
      </c>
      <c r="X41" s="137">
        <v>0</v>
      </c>
      <c r="Y41" s="137">
        <v>0</v>
      </c>
      <c r="Z41" s="137">
        <v>0</v>
      </c>
    </row>
    <row r="42" spans="2:26" x14ac:dyDescent="0.2">
      <c r="B42" s="138">
        <v>41699</v>
      </c>
      <c r="C42" s="137">
        <v>0</v>
      </c>
      <c r="D42" s="137">
        <v>0</v>
      </c>
      <c r="E42" s="137">
        <v>7</v>
      </c>
      <c r="F42" s="137">
        <v>5</v>
      </c>
      <c r="G42" s="137">
        <v>3</v>
      </c>
      <c r="H42" s="137">
        <v>2</v>
      </c>
      <c r="I42" s="137">
        <v>1</v>
      </c>
      <c r="J42" s="137">
        <v>0</v>
      </c>
      <c r="K42" s="137">
        <v>0</v>
      </c>
      <c r="L42" s="137">
        <v>0</v>
      </c>
      <c r="M42" s="137">
        <v>0</v>
      </c>
      <c r="N42" s="137">
        <v>0</v>
      </c>
      <c r="O42" s="137">
        <v>0</v>
      </c>
      <c r="P42" s="137">
        <v>0</v>
      </c>
      <c r="Q42" s="137">
        <v>0</v>
      </c>
      <c r="R42" s="137">
        <v>0</v>
      </c>
      <c r="S42" s="137">
        <v>0</v>
      </c>
      <c r="T42" s="137">
        <v>0</v>
      </c>
      <c r="U42" s="137">
        <v>0</v>
      </c>
      <c r="V42" s="137">
        <v>0</v>
      </c>
      <c r="W42" s="137">
        <v>0</v>
      </c>
      <c r="X42" s="137">
        <v>0</v>
      </c>
      <c r="Y42" s="137">
        <v>0</v>
      </c>
      <c r="Z42" s="137">
        <v>0</v>
      </c>
    </row>
    <row r="43" spans="2:26" x14ac:dyDescent="0.2">
      <c r="B43" s="138">
        <v>41730</v>
      </c>
      <c r="C43" s="137">
        <v>0</v>
      </c>
      <c r="D43" s="137">
        <v>0</v>
      </c>
      <c r="E43" s="137">
        <v>0</v>
      </c>
      <c r="F43" s="137">
        <v>7</v>
      </c>
      <c r="G43" s="137">
        <v>5</v>
      </c>
      <c r="H43" s="137">
        <v>3</v>
      </c>
      <c r="I43" s="137">
        <v>2</v>
      </c>
      <c r="J43" s="137">
        <v>1</v>
      </c>
      <c r="K43" s="137">
        <v>0</v>
      </c>
      <c r="L43" s="137">
        <v>0</v>
      </c>
      <c r="M43" s="137">
        <v>0</v>
      </c>
      <c r="N43" s="137">
        <v>0</v>
      </c>
      <c r="O43" s="137">
        <v>0</v>
      </c>
      <c r="P43" s="137">
        <v>0</v>
      </c>
      <c r="Q43" s="137">
        <v>0</v>
      </c>
      <c r="R43" s="137">
        <v>0</v>
      </c>
      <c r="S43" s="137">
        <v>0</v>
      </c>
      <c r="T43" s="137">
        <v>0</v>
      </c>
      <c r="U43" s="137">
        <v>0</v>
      </c>
      <c r="V43" s="137">
        <v>0</v>
      </c>
      <c r="W43" s="137">
        <v>0</v>
      </c>
      <c r="X43" s="137">
        <v>0</v>
      </c>
      <c r="Y43" s="137">
        <v>0</v>
      </c>
      <c r="Z43" s="137">
        <v>0</v>
      </c>
    </row>
    <row r="44" spans="2:26" x14ac:dyDescent="0.2">
      <c r="B44" s="138">
        <v>41760</v>
      </c>
      <c r="C44" s="137">
        <v>0</v>
      </c>
      <c r="D44" s="137">
        <v>0</v>
      </c>
      <c r="E44" s="137">
        <v>0</v>
      </c>
      <c r="F44" s="137">
        <v>0</v>
      </c>
      <c r="G44" s="137">
        <v>7</v>
      </c>
      <c r="H44" s="137">
        <v>5</v>
      </c>
      <c r="I44" s="137">
        <v>3</v>
      </c>
      <c r="J44" s="137">
        <v>2</v>
      </c>
      <c r="K44" s="137">
        <v>1</v>
      </c>
      <c r="L44" s="137">
        <v>0</v>
      </c>
      <c r="M44" s="137">
        <v>0</v>
      </c>
      <c r="N44" s="137">
        <v>0</v>
      </c>
      <c r="O44" s="137">
        <v>0</v>
      </c>
      <c r="P44" s="137">
        <v>0</v>
      </c>
      <c r="Q44" s="137">
        <v>0</v>
      </c>
      <c r="R44" s="137">
        <v>0</v>
      </c>
      <c r="S44" s="137">
        <v>0</v>
      </c>
      <c r="T44" s="137">
        <v>0</v>
      </c>
      <c r="U44" s="137">
        <v>0</v>
      </c>
      <c r="V44" s="137">
        <v>0</v>
      </c>
      <c r="W44" s="137">
        <v>0</v>
      </c>
      <c r="X44" s="137">
        <v>0</v>
      </c>
      <c r="Y44" s="137">
        <v>0</v>
      </c>
      <c r="Z44" s="137">
        <v>0</v>
      </c>
    </row>
    <row r="45" spans="2:26" x14ac:dyDescent="0.2">
      <c r="B45" s="138">
        <v>41791</v>
      </c>
      <c r="C45" s="137">
        <v>0</v>
      </c>
      <c r="D45" s="137">
        <v>0</v>
      </c>
      <c r="E45" s="137">
        <v>0</v>
      </c>
      <c r="F45" s="137">
        <v>0</v>
      </c>
      <c r="G45" s="137">
        <v>0</v>
      </c>
      <c r="H45" s="137">
        <v>7</v>
      </c>
      <c r="I45" s="137">
        <v>5</v>
      </c>
      <c r="J45" s="137">
        <v>3</v>
      </c>
      <c r="K45" s="137">
        <v>2</v>
      </c>
      <c r="L45" s="137">
        <v>1</v>
      </c>
      <c r="M45" s="137">
        <v>0</v>
      </c>
      <c r="N45" s="137">
        <v>0</v>
      </c>
      <c r="O45" s="137">
        <v>0</v>
      </c>
      <c r="P45" s="137">
        <v>0</v>
      </c>
      <c r="Q45" s="137">
        <v>0</v>
      </c>
      <c r="R45" s="137">
        <v>0</v>
      </c>
      <c r="S45" s="137">
        <v>0</v>
      </c>
      <c r="T45" s="137">
        <v>0</v>
      </c>
      <c r="U45" s="137">
        <v>0</v>
      </c>
      <c r="V45" s="137">
        <v>0</v>
      </c>
      <c r="W45" s="137">
        <v>0</v>
      </c>
      <c r="X45" s="137">
        <v>0</v>
      </c>
      <c r="Y45" s="137">
        <v>0</v>
      </c>
      <c r="Z45" s="137">
        <v>0</v>
      </c>
    </row>
    <row r="46" spans="2:26" x14ac:dyDescent="0.2">
      <c r="B46" s="138">
        <v>41821</v>
      </c>
      <c r="C46" s="137">
        <v>0</v>
      </c>
      <c r="D46" s="137">
        <v>0</v>
      </c>
      <c r="E46" s="137">
        <v>0</v>
      </c>
      <c r="F46" s="137">
        <v>0</v>
      </c>
      <c r="G46" s="137">
        <v>0</v>
      </c>
      <c r="H46" s="137">
        <v>0</v>
      </c>
      <c r="I46" s="137">
        <v>7</v>
      </c>
      <c r="J46" s="137">
        <v>5</v>
      </c>
      <c r="K46" s="137">
        <v>3</v>
      </c>
      <c r="L46" s="137">
        <v>2</v>
      </c>
      <c r="M46" s="137">
        <v>1</v>
      </c>
      <c r="N46" s="137">
        <v>0</v>
      </c>
      <c r="O46" s="137">
        <v>0</v>
      </c>
      <c r="P46" s="137">
        <v>0</v>
      </c>
      <c r="Q46" s="137">
        <v>0</v>
      </c>
      <c r="R46" s="137">
        <v>0</v>
      </c>
      <c r="S46" s="137">
        <v>0</v>
      </c>
      <c r="T46" s="137">
        <v>0</v>
      </c>
      <c r="U46" s="137">
        <v>0</v>
      </c>
      <c r="V46" s="137">
        <v>0</v>
      </c>
      <c r="W46" s="137">
        <v>0</v>
      </c>
      <c r="X46" s="137">
        <v>0</v>
      </c>
      <c r="Y46" s="137">
        <v>0</v>
      </c>
      <c r="Z46" s="137">
        <v>0</v>
      </c>
    </row>
    <row r="47" spans="2:26" x14ac:dyDescent="0.2">
      <c r="B47" s="138">
        <v>41852</v>
      </c>
      <c r="C47" s="137">
        <v>0</v>
      </c>
      <c r="D47" s="137">
        <v>0</v>
      </c>
      <c r="E47" s="137">
        <v>0</v>
      </c>
      <c r="F47" s="137">
        <v>0</v>
      </c>
      <c r="G47" s="137">
        <v>0</v>
      </c>
      <c r="H47" s="137">
        <v>0</v>
      </c>
      <c r="I47" s="137">
        <v>0</v>
      </c>
      <c r="J47" s="137">
        <v>7</v>
      </c>
      <c r="K47" s="137">
        <v>5</v>
      </c>
      <c r="L47" s="137">
        <v>3</v>
      </c>
      <c r="M47" s="137">
        <v>2</v>
      </c>
      <c r="N47" s="137">
        <v>1</v>
      </c>
      <c r="O47" s="137">
        <v>0</v>
      </c>
      <c r="P47" s="137">
        <v>0</v>
      </c>
      <c r="Q47" s="137">
        <v>0</v>
      </c>
      <c r="R47" s="137">
        <v>0</v>
      </c>
      <c r="S47" s="137">
        <v>0</v>
      </c>
      <c r="T47" s="137">
        <v>0</v>
      </c>
      <c r="U47" s="137">
        <v>0</v>
      </c>
      <c r="V47" s="137">
        <v>0</v>
      </c>
      <c r="W47" s="137">
        <v>0</v>
      </c>
      <c r="X47" s="137">
        <v>0</v>
      </c>
      <c r="Y47" s="137">
        <v>0</v>
      </c>
      <c r="Z47" s="137">
        <v>0</v>
      </c>
    </row>
    <row r="48" spans="2:26" x14ac:dyDescent="0.2">
      <c r="B48" s="138">
        <v>41883</v>
      </c>
      <c r="C48" s="137">
        <v>0</v>
      </c>
      <c r="D48" s="137">
        <v>0</v>
      </c>
      <c r="E48" s="137">
        <v>0</v>
      </c>
      <c r="F48" s="137">
        <v>0</v>
      </c>
      <c r="G48" s="137">
        <v>0</v>
      </c>
      <c r="H48" s="137">
        <v>0</v>
      </c>
      <c r="I48" s="137">
        <v>0</v>
      </c>
      <c r="J48" s="137">
        <v>0</v>
      </c>
      <c r="K48" s="137">
        <v>7</v>
      </c>
      <c r="L48" s="137">
        <v>5</v>
      </c>
      <c r="M48" s="137">
        <v>3</v>
      </c>
      <c r="N48" s="137">
        <v>2</v>
      </c>
      <c r="O48" s="137">
        <v>0</v>
      </c>
      <c r="P48" s="137">
        <v>0</v>
      </c>
      <c r="Q48" s="137">
        <v>0</v>
      </c>
      <c r="R48" s="137">
        <v>0</v>
      </c>
      <c r="S48" s="137">
        <v>0</v>
      </c>
      <c r="T48" s="137">
        <v>0</v>
      </c>
      <c r="U48" s="137">
        <v>0</v>
      </c>
      <c r="V48" s="137">
        <v>0</v>
      </c>
      <c r="W48" s="137">
        <v>0</v>
      </c>
      <c r="X48" s="137">
        <v>0</v>
      </c>
      <c r="Y48" s="137">
        <v>0</v>
      </c>
      <c r="Z48" s="137">
        <v>0</v>
      </c>
    </row>
    <row r="49" spans="2:26" x14ac:dyDescent="0.2">
      <c r="B49" s="138">
        <v>41913</v>
      </c>
      <c r="C49" s="137">
        <v>0</v>
      </c>
      <c r="D49" s="137">
        <v>0</v>
      </c>
      <c r="E49" s="137">
        <v>0</v>
      </c>
      <c r="F49" s="137">
        <v>0</v>
      </c>
      <c r="G49" s="137">
        <v>0</v>
      </c>
      <c r="H49" s="137">
        <v>0</v>
      </c>
      <c r="I49" s="137">
        <v>0</v>
      </c>
      <c r="J49" s="137">
        <v>0</v>
      </c>
      <c r="K49" s="137">
        <v>0</v>
      </c>
      <c r="L49" s="137">
        <v>7</v>
      </c>
      <c r="M49" s="137">
        <v>5</v>
      </c>
      <c r="N49" s="137">
        <v>3</v>
      </c>
      <c r="O49" s="137">
        <v>0</v>
      </c>
      <c r="P49" s="137">
        <v>0</v>
      </c>
      <c r="Q49" s="137">
        <v>0</v>
      </c>
      <c r="R49" s="137">
        <v>0</v>
      </c>
      <c r="S49" s="137">
        <v>0</v>
      </c>
      <c r="T49" s="137">
        <v>0</v>
      </c>
      <c r="U49" s="137">
        <v>0</v>
      </c>
      <c r="V49" s="137">
        <v>0</v>
      </c>
      <c r="W49" s="137">
        <v>0</v>
      </c>
      <c r="X49" s="137">
        <v>0</v>
      </c>
      <c r="Y49" s="137">
        <v>0</v>
      </c>
      <c r="Z49" s="137">
        <v>0</v>
      </c>
    </row>
    <row r="50" spans="2:26" x14ac:dyDescent="0.2">
      <c r="B50" s="138">
        <v>41944</v>
      </c>
      <c r="C50" s="137">
        <v>0</v>
      </c>
      <c r="D50" s="137">
        <v>0</v>
      </c>
      <c r="E50" s="137">
        <v>0</v>
      </c>
      <c r="F50" s="137">
        <v>0</v>
      </c>
      <c r="G50" s="137">
        <v>0</v>
      </c>
      <c r="H50" s="137">
        <v>0</v>
      </c>
      <c r="I50" s="137">
        <v>0</v>
      </c>
      <c r="J50" s="137">
        <v>0</v>
      </c>
      <c r="K50" s="137">
        <v>0</v>
      </c>
      <c r="L50" s="137">
        <v>0</v>
      </c>
      <c r="M50" s="137">
        <v>7</v>
      </c>
      <c r="N50" s="137">
        <v>5</v>
      </c>
      <c r="O50" s="137">
        <v>0</v>
      </c>
      <c r="P50" s="137">
        <v>0</v>
      </c>
      <c r="Q50" s="137">
        <v>0</v>
      </c>
      <c r="R50" s="137">
        <v>0</v>
      </c>
      <c r="S50" s="137">
        <v>0</v>
      </c>
      <c r="T50" s="137">
        <v>0</v>
      </c>
      <c r="U50" s="137">
        <v>0</v>
      </c>
      <c r="V50" s="137">
        <v>0</v>
      </c>
      <c r="W50" s="137">
        <v>0</v>
      </c>
      <c r="X50" s="137">
        <v>0</v>
      </c>
      <c r="Y50" s="137">
        <v>0</v>
      </c>
      <c r="Z50" s="137">
        <v>0</v>
      </c>
    </row>
    <row r="51" spans="2:26" x14ac:dyDescent="0.2">
      <c r="B51" s="138">
        <v>41974</v>
      </c>
      <c r="C51" s="137">
        <v>0</v>
      </c>
      <c r="D51" s="137">
        <v>0</v>
      </c>
      <c r="E51" s="137">
        <v>0</v>
      </c>
      <c r="F51" s="137">
        <v>0</v>
      </c>
      <c r="G51" s="137">
        <v>0</v>
      </c>
      <c r="H51" s="137">
        <v>0</v>
      </c>
      <c r="I51" s="137">
        <v>0</v>
      </c>
      <c r="J51" s="137">
        <v>0</v>
      </c>
      <c r="K51" s="137">
        <v>0</v>
      </c>
      <c r="L51" s="137">
        <v>0</v>
      </c>
      <c r="M51" s="137">
        <v>0</v>
      </c>
      <c r="N51" s="137">
        <v>7</v>
      </c>
      <c r="O51" s="137">
        <v>0</v>
      </c>
      <c r="P51" s="137">
        <v>0</v>
      </c>
      <c r="Q51" s="137">
        <v>0</v>
      </c>
      <c r="R51" s="137">
        <v>0</v>
      </c>
      <c r="S51" s="137">
        <v>0</v>
      </c>
      <c r="T51" s="137">
        <v>0</v>
      </c>
      <c r="U51" s="137">
        <v>0</v>
      </c>
      <c r="V51" s="137">
        <v>0</v>
      </c>
      <c r="W51" s="137">
        <v>0</v>
      </c>
      <c r="X51" s="137">
        <v>0</v>
      </c>
      <c r="Y51" s="137">
        <v>0</v>
      </c>
      <c r="Z51" s="137">
        <v>0</v>
      </c>
    </row>
    <row r="52" spans="2:26" x14ac:dyDescent="0.2">
      <c r="B52" s="138">
        <v>42005</v>
      </c>
      <c r="C52" s="137">
        <v>0</v>
      </c>
      <c r="D52" s="137">
        <v>0</v>
      </c>
      <c r="E52" s="137">
        <v>0</v>
      </c>
      <c r="F52" s="137">
        <v>0</v>
      </c>
      <c r="G52" s="137">
        <v>0</v>
      </c>
      <c r="H52" s="137">
        <v>0</v>
      </c>
      <c r="I52" s="137">
        <v>0</v>
      </c>
      <c r="J52" s="137">
        <v>0</v>
      </c>
      <c r="K52" s="137">
        <v>0</v>
      </c>
      <c r="L52" s="137">
        <v>0</v>
      </c>
      <c r="M52" s="137">
        <v>0</v>
      </c>
      <c r="N52" s="137">
        <v>0</v>
      </c>
      <c r="O52" s="137">
        <v>0</v>
      </c>
      <c r="P52" s="137">
        <v>0</v>
      </c>
      <c r="Q52" s="137">
        <v>0</v>
      </c>
      <c r="R52" s="137">
        <v>0</v>
      </c>
      <c r="S52" s="137">
        <v>0</v>
      </c>
      <c r="T52" s="137">
        <v>0</v>
      </c>
      <c r="U52" s="137">
        <v>0</v>
      </c>
      <c r="V52" s="137">
        <v>0</v>
      </c>
      <c r="W52" s="137">
        <v>0</v>
      </c>
      <c r="X52" s="137">
        <v>0</v>
      </c>
      <c r="Y52" s="137">
        <v>0</v>
      </c>
      <c r="Z52" s="137">
        <v>0</v>
      </c>
    </row>
    <row r="53" spans="2:26" x14ac:dyDescent="0.2">
      <c r="B53" s="138">
        <v>42036</v>
      </c>
      <c r="C53" s="137">
        <v>0</v>
      </c>
      <c r="D53" s="137">
        <v>0</v>
      </c>
      <c r="E53" s="137">
        <v>0</v>
      </c>
      <c r="F53" s="137">
        <v>0</v>
      </c>
      <c r="G53" s="137">
        <v>0</v>
      </c>
      <c r="H53" s="137">
        <v>0</v>
      </c>
      <c r="I53" s="137">
        <v>0</v>
      </c>
      <c r="J53" s="137">
        <v>0</v>
      </c>
      <c r="K53" s="137">
        <v>0</v>
      </c>
      <c r="L53" s="137">
        <v>0</v>
      </c>
      <c r="M53" s="137">
        <v>0</v>
      </c>
      <c r="N53" s="137">
        <v>0</v>
      </c>
      <c r="O53" s="137">
        <v>0</v>
      </c>
      <c r="P53" s="137">
        <v>0</v>
      </c>
      <c r="Q53" s="137">
        <v>0</v>
      </c>
      <c r="R53" s="137">
        <v>0</v>
      </c>
      <c r="S53" s="137">
        <v>0</v>
      </c>
      <c r="T53" s="137">
        <v>0</v>
      </c>
      <c r="U53" s="137">
        <v>0</v>
      </c>
      <c r="V53" s="137">
        <v>0</v>
      </c>
      <c r="W53" s="137">
        <v>0</v>
      </c>
      <c r="X53" s="137">
        <v>0</v>
      </c>
      <c r="Y53" s="137">
        <v>0</v>
      </c>
      <c r="Z53" s="137">
        <v>0</v>
      </c>
    </row>
    <row r="54" spans="2:26" x14ac:dyDescent="0.2">
      <c r="B54" s="138">
        <v>42064</v>
      </c>
      <c r="C54" s="137">
        <v>0</v>
      </c>
      <c r="D54" s="137">
        <v>0</v>
      </c>
      <c r="E54" s="137">
        <v>0</v>
      </c>
      <c r="F54" s="137">
        <v>0</v>
      </c>
      <c r="G54" s="137">
        <v>0</v>
      </c>
      <c r="H54" s="137">
        <v>0</v>
      </c>
      <c r="I54" s="137">
        <v>0</v>
      </c>
      <c r="J54" s="137">
        <v>0</v>
      </c>
      <c r="K54" s="137">
        <v>0</v>
      </c>
      <c r="L54" s="137">
        <v>0</v>
      </c>
      <c r="M54" s="137">
        <v>0</v>
      </c>
      <c r="N54" s="137">
        <v>0</v>
      </c>
      <c r="O54" s="137">
        <v>0</v>
      </c>
      <c r="P54" s="137">
        <v>0</v>
      </c>
      <c r="Q54" s="137">
        <v>0</v>
      </c>
      <c r="R54" s="137">
        <v>0</v>
      </c>
      <c r="S54" s="137">
        <v>0</v>
      </c>
      <c r="T54" s="137">
        <v>0</v>
      </c>
      <c r="U54" s="137">
        <v>0</v>
      </c>
      <c r="V54" s="137">
        <v>0</v>
      </c>
      <c r="W54" s="137">
        <v>0</v>
      </c>
      <c r="X54" s="137">
        <v>0</v>
      </c>
      <c r="Y54" s="137">
        <v>0</v>
      </c>
      <c r="Z54" s="137">
        <v>0</v>
      </c>
    </row>
    <row r="55" spans="2:26" x14ac:dyDescent="0.2">
      <c r="B55" s="138">
        <v>42095</v>
      </c>
      <c r="C55" s="137">
        <v>0</v>
      </c>
      <c r="D55" s="137">
        <v>0</v>
      </c>
      <c r="E55" s="137">
        <v>0</v>
      </c>
      <c r="F55" s="137">
        <v>0</v>
      </c>
      <c r="G55" s="137">
        <v>0</v>
      </c>
      <c r="H55" s="137">
        <v>0</v>
      </c>
      <c r="I55" s="137">
        <v>0</v>
      </c>
      <c r="J55" s="137">
        <v>0</v>
      </c>
      <c r="K55" s="137">
        <v>0</v>
      </c>
      <c r="L55" s="137">
        <v>0</v>
      </c>
      <c r="M55" s="137">
        <v>0</v>
      </c>
      <c r="N55" s="137">
        <v>0</v>
      </c>
      <c r="O55" s="137">
        <v>0</v>
      </c>
      <c r="P55" s="137">
        <v>0</v>
      </c>
      <c r="Q55" s="137">
        <v>0</v>
      </c>
      <c r="R55" s="137">
        <v>0</v>
      </c>
      <c r="S55" s="137">
        <v>0</v>
      </c>
      <c r="T55" s="137">
        <v>0</v>
      </c>
      <c r="U55" s="137">
        <v>0</v>
      </c>
      <c r="V55" s="137">
        <v>0</v>
      </c>
      <c r="W55" s="137">
        <v>0</v>
      </c>
      <c r="X55" s="137">
        <v>0</v>
      </c>
      <c r="Y55" s="137">
        <v>0</v>
      </c>
      <c r="Z55" s="137">
        <v>0</v>
      </c>
    </row>
    <row r="56" spans="2:26" x14ac:dyDescent="0.2">
      <c r="B56" s="138">
        <v>42125</v>
      </c>
      <c r="C56" s="137">
        <v>0</v>
      </c>
      <c r="D56" s="137">
        <v>0</v>
      </c>
      <c r="E56" s="137">
        <v>0</v>
      </c>
      <c r="F56" s="137">
        <v>0</v>
      </c>
      <c r="G56" s="137">
        <v>0</v>
      </c>
      <c r="H56" s="137">
        <v>0</v>
      </c>
      <c r="I56" s="137">
        <v>0</v>
      </c>
      <c r="J56" s="137">
        <v>0</v>
      </c>
      <c r="K56" s="137">
        <v>0</v>
      </c>
      <c r="L56" s="137">
        <v>0</v>
      </c>
      <c r="M56" s="137">
        <v>0</v>
      </c>
      <c r="N56" s="137">
        <v>0</v>
      </c>
      <c r="O56" s="137">
        <v>0</v>
      </c>
      <c r="P56" s="137">
        <v>0</v>
      </c>
      <c r="Q56" s="137">
        <v>0</v>
      </c>
      <c r="R56" s="137">
        <v>0</v>
      </c>
      <c r="S56" s="137">
        <v>0</v>
      </c>
      <c r="T56" s="137">
        <v>0</v>
      </c>
      <c r="U56" s="137">
        <v>0</v>
      </c>
      <c r="V56" s="137">
        <v>0</v>
      </c>
      <c r="W56" s="137">
        <v>0</v>
      </c>
      <c r="X56" s="137">
        <v>0</v>
      </c>
      <c r="Y56" s="137">
        <v>0</v>
      </c>
      <c r="Z56" s="137">
        <v>0</v>
      </c>
    </row>
    <row r="57" spans="2:26" x14ac:dyDescent="0.2">
      <c r="B57" s="138">
        <v>42156</v>
      </c>
      <c r="C57" s="137">
        <v>0</v>
      </c>
      <c r="D57" s="137">
        <v>0</v>
      </c>
      <c r="E57" s="137">
        <v>0</v>
      </c>
      <c r="F57" s="137">
        <v>0</v>
      </c>
      <c r="G57" s="137">
        <v>0</v>
      </c>
      <c r="H57" s="137">
        <v>0</v>
      </c>
      <c r="I57" s="137">
        <v>0</v>
      </c>
      <c r="J57" s="137">
        <v>0</v>
      </c>
      <c r="K57" s="137">
        <v>0</v>
      </c>
      <c r="L57" s="137">
        <v>0</v>
      </c>
      <c r="M57" s="137">
        <v>0</v>
      </c>
      <c r="N57" s="137">
        <v>0</v>
      </c>
      <c r="O57" s="137">
        <v>0</v>
      </c>
      <c r="P57" s="137">
        <v>0</v>
      </c>
      <c r="Q57" s="137">
        <v>0</v>
      </c>
      <c r="R57" s="137">
        <v>0</v>
      </c>
      <c r="S57" s="137">
        <v>0</v>
      </c>
      <c r="T57" s="137">
        <v>0</v>
      </c>
      <c r="U57" s="137">
        <v>0</v>
      </c>
      <c r="V57" s="137">
        <v>0</v>
      </c>
      <c r="W57" s="137">
        <v>0</v>
      </c>
      <c r="X57" s="137">
        <v>0</v>
      </c>
      <c r="Y57" s="137">
        <v>0</v>
      </c>
      <c r="Z57" s="137">
        <v>0</v>
      </c>
    </row>
    <row r="58" spans="2:26" x14ac:dyDescent="0.2">
      <c r="B58" s="138">
        <v>42186</v>
      </c>
      <c r="C58" s="137">
        <v>0</v>
      </c>
      <c r="D58" s="137">
        <v>0</v>
      </c>
      <c r="E58" s="137">
        <v>0</v>
      </c>
      <c r="F58" s="137">
        <v>0</v>
      </c>
      <c r="G58" s="137">
        <v>0</v>
      </c>
      <c r="H58" s="137">
        <v>0</v>
      </c>
      <c r="I58" s="137">
        <v>0</v>
      </c>
      <c r="J58" s="137">
        <v>0</v>
      </c>
      <c r="K58" s="137">
        <v>0</v>
      </c>
      <c r="L58" s="137">
        <v>0</v>
      </c>
      <c r="M58" s="137">
        <v>0</v>
      </c>
      <c r="N58" s="137">
        <v>0</v>
      </c>
      <c r="O58" s="137">
        <v>0</v>
      </c>
      <c r="P58" s="137">
        <v>0</v>
      </c>
      <c r="Q58" s="137">
        <v>0</v>
      </c>
      <c r="R58" s="137">
        <v>0</v>
      </c>
      <c r="S58" s="137">
        <v>0</v>
      </c>
      <c r="T58" s="137">
        <v>0</v>
      </c>
      <c r="U58" s="137">
        <v>0</v>
      </c>
      <c r="V58" s="137">
        <v>0</v>
      </c>
      <c r="W58" s="137">
        <v>0</v>
      </c>
      <c r="X58" s="137">
        <v>0</v>
      </c>
      <c r="Y58" s="137">
        <v>0</v>
      </c>
      <c r="Z58" s="137">
        <v>0</v>
      </c>
    </row>
    <row r="59" spans="2:26" x14ac:dyDescent="0.2">
      <c r="B59" s="138">
        <v>42217</v>
      </c>
      <c r="C59" s="137">
        <v>0</v>
      </c>
      <c r="D59" s="137">
        <v>0</v>
      </c>
      <c r="E59" s="137">
        <v>0</v>
      </c>
      <c r="F59" s="137">
        <v>0</v>
      </c>
      <c r="G59" s="137">
        <v>0</v>
      </c>
      <c r="H59" s="137">
        <v>0</v>
      </c>
      <c r="I59" s="137">
        <v>0</v>
      </c>
      <c r="J59" s="137">
        <v>0</v>
      </c>
      <c r="K59" s="137">
        <v>0</v>
      </c>
      <c r="L59" s="137">
        <v>0</v>
      </c>
      <c r="M59" s="137">
        <v>0</v>
      </c>
      <c r="N59" s="137">
        <v>0</v>
      </c>
      <c r="O59" s="137">
        <v>0</v>
      </c>
      <c r="P59" s="137">
        <v>0</v>
      </c>
      <c r="Q59" s="137">
        <v>0</v>
      </c>
      <c r="R59" s="137">
        <v>0</v>
      </c>
      <c r="S59" s="137">
        <v>0</v>
      </c>
      <c r="T59" s="137">
        <v>0</v>
      </c>
      <c r="U59" s="137">
        <v>0</v>
      </c>
      <c r="V59" s="137">
        <v>0</v>
      </c>
      <c r="W59" s="137">
        <v>0</v>
      </c>
      <c r="X59" s="137">
        <v>0</v>
      </c>
      <c r="Y59" s="137">
        <v>0</v>
      </c>
      <c r="Z59" s="137">
        <v>0</v>
      </c>
    </row>
    <row r="60" spans="2:26" x14ac:dyDescent="0.2">
      <c r="B60" s="138">
        <v>42248</v>
      </c>
      <c r="C60" s="137">
        <v>0</v>
      </c>
      <c r="D60" s="137">
        <v>0</v>
      </c>
      <c r="E60" s="137">
        <v>0</v>
      </c>
      <c r="F60" s="137">
        <v>0</v>
      </c>
      <c r="G60" s="137">
        <v>0</v>
      </c>
      <c r="H60" s="137">
        <v>0</v>
      </c>
      <c r="I60" s="137">
        <v>0</v>
      </c>
      <c r="J60" s="137">
        <v>0</v>
      </c>
      <c r="K60" s="137">
        <v>0</v>
      </c>
      <c r="L60" s="137">
        <v>0</v>
      </c>
      <c r="M60" s="137">
        <v>0</v>
      </c>
      <c r="N60" s="137">
        <v>0</v>
      </c>
      <c r="O60" s="137">
        <v>0</v>
      </c>
      <c r="P60" s="137">
        <v>0</v>
      </c>
      <c r="Q60" s="137">
        <v>0</v>
      </c>
      <c r="R60" s="137">
        <v>0</v>
      </c>
      <c r="S60" s="137">
        <v>0</v>
      </c>
      <c r="T60" s="137">
        <v>0</v>
      </c>
      <c r="U60" s="137">
        <v>0</v>
      </c>
      <c r="V60" s="137">
        <v>0</v>
      </c>
      <c r="W60" s="137">
        <v>0</v>
      </c>
      <c r="X60" s="137">
        <v>0</v>
      </c>
      <c r="Y60" s="137">
        <v>0</v>
      </c>
      <c r="Z60" s="137">
        <v>0</v>
      </c>
    </row>
    <row r="61" spans="2:26" x14ac:dyDescent="0.2">
      <c r="B61" s="138">
        <v>42278</v>
      </c>
      <c r="C61" s="137">
        <v>0</v>
      </c>
      <c r="D61" s="137">
        <v>0</v>
      </c>
      <c r="E61" s="137">
        <v>0</v>
      </c>
      <c r="F61" s="137">
        <v>0</v>
      </c>
      <c r="G61" s="137">
        <v>0</v>
      </c>
      <c r="H61" s="137">
        <v>0</v>
      </c>
      <c r="I61" s="137">
        <v>0</v>
      </c>
      <c r="J61" s="137">
        <v>0</v>
      </c>
      <c r="K61" s="137">
        <v>0</v>
      </c>
      <c r="L61" s="137">
        <v>0</v>
      </c>
      <c r="M61" s="137">
        <v>0</v>
      </c>
      <c r="N61" s="137">
        <v>0</v>
      </c>
      <c r="O61" s="137">
        <v>0</v>
      </c>
      <c r="P61" s="137">
        <v>0</v>
      </c>
      <c r="Q61" s="137">
        <v>0</v>
      </c>
      <c r="R61" s="137">
        <v>0</v>
      </c>
      <c r="S61" s="137">
        <v>0</v>
      </c>
      <c r="T61" s="137">
        <v>0</v>
      </c>
      <c r="U61" s="137">
        <v>0</v>
      </c>
      <c r="V61" s="137">
        <v>0</v>
      </c>
      <c r="W61" s="137">
        <v>0</v>
      </c>
      <c r="X61" s="137">
        <v>0</v>
      </c>
      <c r="Y61" s="137">
        <v>0</v>
      </c>
      <c r="Z61" s="137">
        <v>0</v>
      </c>
    </row>
    <row r="62" spans="2:26" x14ac:dyDescent="0.2">
      <c r="B62" s="138">
        <v>42309</v>
      </c>
      <c r="C62" s="137">
        <v>0</v>
      </c>
      <c r="D62" s="137">
        <v>0</v>
      </c>
      <c r="E62" s="137">
        <v>0</v>
      </c>
      <c r="F62" s="137">
        <v>0</v>
      </c>
      <c r="G62" s="137">
        <v>0</v>
      </c>
      <c r="H62" s="137">
        <v>0</v>
      </c>
      <c r="I62" s="137">
        <v>0</v>
      </c>
      <c r="J62" s="137">
        <v>0</v>
      </c>
      <c r="K62" s="137">
        <v>0</v>
      </c>
      <c r="L62" s="137">
        <v>0</v>
      </c>
      <c r="M62" s="137">
        <v>0</v>
      </c>
      <c r="N62" s="137">
        <v>0</v>
      </c>
      <c r="O62" s="137">
        <v>0</v>
      </c>
      <c r="P62" s="137">
        <v>0</v>
      </c>
      <c r="Q62" s="137">
        <v>0</v>
      </c>
      <c r="R62" s="137">
        <v>0</v>
      </c>
      <c r="S62" s="137">
        <v>0</v>
      </c>
      <c r="T62" s="137">
        <v>0</v>
      </c>
      <c r="U62" s="137">
        <v>0</v>
      </c>
      <c r="V62" s="137">
        <v>0</v>
      </c>
      <c r="W62" s="137">
        <v>0</v>
      </c>
      <c r="X62" s="137">
        <v>0</v>
      </c>
      <c r="Y62" s="137">
        <v>0</v>
      </c>
      <c r="Z62" s="137">
        <v>0</v>
      </c>
    </row>
    <row r="63" spans="2:26" x14ac:dyDescent="0.2">
      <c r="B63" s="138">
        <v>42339</v>
      </c>
      <c r="C63" s="137">
        <v>0</v>
      </c>
      <c r="D63" s="137">
        <v>0</v>
      </c>
      <c r="E63" s="137">
        <v>0</v>
      </c>
      <c r="F63" s="137">
        <v>0</v>
      </c>
      <c r="G63" s="137">
        <v>0</v>
      </c>
      <c r="H63" s="137">
        <v>0</v>
      </c>
      <c r="I63" s="137">
        <v>0</v>
      </c>
      <c r="J63" s="137">
        <v>0</v>
      </c>
      <c r="K63" s="137">
        <v>0</v>
      </c>
      <c r="L63" s="137">
        <v>0</v>
      </c>
      <c r="M63" s="137">
        <v>0</v>
      </c>
      <c r="N63" s="137">
        <v>0</v>
      </c>
      <c r="O63" s="137">
        <v>0</v>
      </c>
      <c r="P63" s="137">
        <v>0</v>
      </c>
      <c r="Q63" s="137">
        <v>0</v>
      </c>
      <c r="R63" s="137">
        <v>0</v>
      </c>
      <c r="S63" s="137">
        <v>0</v>
      </c>
      <c r="T63" s="137">
        <v>0</v>
      </c>
      <c r="U63" s="137">
        <v>0</v>
      </c>
      <c r="V63" s="137">
        <v>0</v>
      </c>
      <c r="W63" s="137">
        <v>0</v>
      </c>
      <c r="X63" s="137">
        <v>0</v>
      </c>
      <c r="Y63" s="137">
        <v>0</v>
      </c>
      <c r="Z63" s="137">
        <v>0</v>
      </c>
    </row>
    <row r="64" spans="2:26" x14ac:dyDescent="0.2">
      <c r="B64" s="135"/>
      <c r="C64" s="139">
        <f>SUM(C36:C63)</f>
        <v>18</v>
      </c>
      <c r="D64" s="139">
        <f>SUM(D36:D63)</f>
        <v>18</v>
      </c>
      <c r="E64" s="139">
        <v>22</v>
      </c>
      <c r="F64" s="139">
        <f t="shared" ref="F64:Z64" si="9">SUM(F36:F63)</f>
        <v>18</v>
      </c>
      <c r="G64" s="139">
        <f t="shared" si="9"/>
        <v>18</v>
      </c>
      <c r="H64" s="139">
        <f t="shared" si="9"/>
        <v>18</v>
      </c>
      <c r="I64" s="139">
        <f t="shared" si="9"/>
        <v>18</v>
      </c>
      <c r="J64" s="139">
        <f t="shared" si="9"/>
        <v>18</v>
      </c>
      <c r="K64" s="139">
        <f t="shared" si="9"/>
        <v>18</v>
      </c>
      <c r="L64" s="139">
        <f t="shared" si="9"/>
        <v>18</v>
      </c>
      <c r="M64" s="139">
        <f t="shared" si="9"/>
        <v>18</v>
      </c>
      <c r="N64" s="139">
        <f t="shared" si="9"/>
        <v>18</v>
      </c>
      <c r="O64" s="139">
        <f t="shared" si="9"/>
        <v>0</v>
      </c>
      <c r="P64" s="139">
        <f t="shared" si="9"/>
        <v>0</v>
      </c>
      <c r="Q64" s="139">
        <f t="shared" si="9"/>
        <v>0</v>
      </c>
      <c r="R64" s="139">
        <f t="shared" si="9"/>
        <v>0</v>
      </c>
      <c r="S64" s="139">
        <f t="shared" si="9"/>
        <v>0</v>
      </c>
      <c r="T64" s="139">
        <f t="shared" si="9"/>
        <v>0</v>
      </c>
      <c r="U64" s="139">
        <f t="shared" si="9"/>
        <v>0</v>
      </c>
      <c r="V64" s="139">
        <f t="shared" si="9"/>
        <v>0</v>
      </c>
      <c r="W64" s="139">
        <f t="shared" si="9"/>
        <v>0</v>
      </c>
      <c r="X64" s="139">
        <f t="shared" si="9"/>
        <v>0</v>
      </c>
      <c r="Y64" s="139">
        <f t="shared" si="9"/>
        <v>0</v>
      </c>
      <c r="Z64" s="139">
        <f t="shared" si="9"/>
        <v>0</v>
      </c>
    </row>
  </sheetData>
  <pageMargins left="0.7" right="0.7" top="0.75" bottom="0.75" header="0.3" footer="0.3"/>
  <pageSetup scale="3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3925-922D-9846-BC21-F321DAF5E8F8}">
  <dimension ref="B2:H21"/>
  <sheetViews>
    <sheetView workbookViewId="0">
      <selection activeCell="H2" sqref="H2"/>
    </sheetView>
  </sheetViews>
  <sheetFormatPr baseColWidth="10" defaultRowHeight="15" x14ac:dyDescent="0.2"/>
  <cols>
    <col min="2" max="2" width="15.83203125" bestFit="1" customWidth="1"/>
    <col min="7" max="7" width="13" bestFit="1" customWidth="1"/>
  </cols>
  <sheetData>
    <row r="2" spans="2:8" x14ac:dyDescent="0.2">
      <c r="B2" t="s">
        <v>336</v>
      </c>
      <c r="C2">
        <v>2200</v>
      </c>
      <c r="G2" t="s">
        <v>346</v>
      </c>
      <c r="H2">
        <v>10000</v>
      </c>
    </row>
    <row r="3" spans="2:8" x14ac:dyDescent="0.2">
      <c r="B3" t="s">
        <v>337</v>
      </c>
      <c r="C3">
        <f>C2/0.1</f>
        <v>22000</v>
      </c>
    </row>
    <row r="4" spans="2:8" x14ac:dyDescent="0.2">
      <c r="B4" t="s">
        <v>338</v>
      </c>
      <c r="C4">
        <f>C3/0.4</f>
        <v>55000</v>
      </c>
      <c r="G4" t="s">
        <v>343</v>
      </c>
      <c r="H4">
        <f>0.25*H2</f>
        <v>2500</v>
      </c>
    </row>
    <row r="5" spans="2:8" x14ac:dyDescent="0.2">
      <c r="B5" t="s">
        <v>121</v>
      </c>
      <c r="C5">
        <f>C4/0.8</f>
        <v>68750</v>
      </c>
      <c r="G5" t="s">
        <v>344</v>
      </c>
      <c r="H5">
        <f>0.75*H2</f>
        <v>7500</v>
      </c>
    </row>
    <row r="6" spans="2:8" x14ac:dyDescent="0.2">
      <c r="B6" t="s">
        <v>274</v>
      </c>
      <c r="C6">
        <f>C5/0.8</f>
        <v>85937.5</v>
      </c>
    </row>
    <row r="7" spans="2:8" x14ac:dyDescent="0.2">
      <c r="G7" t="s">
        <v>347</v>
      </c>
      <c r="H7">
        <v>40</v>
      </c>
    </row>
    <row r="8" spans="2:8" x14ac:dyDescent="0.2">
      <c r="B8" t="s">
        <v>339</v>
      </c>
      <c r="C8" s="140">
        <v>0.4</v>
      </c>
      <c r="G8" t="s">
        <v>348</v>
      </c>
      <c r="H8">
        <v>17.95</v>
      </c>
    </row>
    <row r="9" spans="2:8" x14ac:dyDescent="0.2">
      <c r="B9" t="s">
        <v>340</v>
      </c>
      <c r="C9" s="140">
        <v>0.6</v>
      </c>
    </row>
    <row r="10" spans="2:8" x14ac:dyDescent="0.2">
      <c r="G10" t="s">
        <v>349</v>
      </c>
      <c r="H10">
        <f>H4*H7</f>
        <v>100000</v>
      </c>
    </row>
    <row r="11" spans="2:8" x14ac:dyDescent="0.2">
      <c r="B11" t="s">
        <v>341</v>
      </c>
      <c r="C11" s="15">
        <f>C6*C8</f>
        <v>34375</v>
      </c>
      <c r="G11" t="s">
        <v>350</v>
      </c>
      <c r="H11">
        <f>H5*H8</f>
        <v>134625</v>
      </c>
    </row>
    <row r="12" spans="2:8" x14ac:dyDescent="0.2">
      <c r="B12" t="s">
        <v>342</v>
      </c>
      <c r="C12" s="15">
        <f>C9*C6</f>
        <v>51562.5</v>
      </c>
      <c r="G12" t="s">
        <v>135</v>
      </c>
      <c r="H12">
        <f>SUM(H10:H11)</f>
        <v>234625</v>
      </c>
    </row>
    <row r="14" spans="2:8" x14ac:dyDescent="0.2">
      <c r="B14" t="s">
        <v>343</v>
      </c>
      <c r="C14" s="15">
        <f>C11/40</f>
        <v>859.375</v>
      </c>
      <c r="G14" t="s">
        <v>351</v>
      </c>
      <c r="H14">
        <f>0.3*H12</f>
        <v>70387.5</v>
      </c>
    </row>
    <row r="15" spans="2:8" x14ac:dyDescent="0.2">
      <c r="B15" t="s">
        <v>344</v>
      </c>
      <c r="C15" s="15">
        <f>C12/17.95</f>
        <v>2872.5626740947077</v>
      </c>
      <c r="G15" t="s">
        <v>352</v>
      </c>
      <c r="H15">
        <f>H12-H14</f>
        <v>164237.5</v>
      </c>
    </row>
    <row r="17" spans="2:8" x14ac:dyDescent="0.2">
      <c r="B17" t="s">
        <v>345</v>
      </c>
      <c r="C17" s="15">
        <f>SUM(C14:C15)</f>
        <v>3731.9376740947077</v>
      </c>
      <c r="G17" t="s">
        <v>15</v>
      </c>
      <c r="H17">
        <f>0.4*H15</f>
        <v>65695</v>
      </c>
    </row>
    <row r="19" spans="2:8" x14ac:dyDescent="0.2">
      <c r="G19" t="s">
        <v>353</v>
      </c>
      <c r="H19">
        <f>H15-H17</f>
        <v>98542.5</v>
      </c>
    </row>
    <row r="21" spans="2:8" x14ac:dyDescent="0.2">
      <c r="G21" t="s">
        <v>354</v>
      </c>
      <c r="H21">
        <f>0.1*H19</f>
        <v>9854.25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>
    <pageSetUpPr fitToPage="1"/>
  </sheetPr>
  <dimension ref="A1:Z55"/>
  <sheetViews>
    <sheetView zoomScaleNormal="100" workbookViewId="0">
      <pane ySplit="4" topLeftCell="A35" activePane="bottomLeft" state="frozen"/>
      <selection activeCell="N45" sqref="N45"/>
      <selection pane="bottomLeft" activeCell="C61" sqref="C61"/>
    </sheetView>
  </sheetViews>
  <sheetFormatPr baseColWidth="10" defaultColWidth="8.83203125" defaultRowHeight="15" x14ac:dyDescent="0.2"/>
  <cols>
    <col min="1" max="1" width="2" style="35" customWidth="1"/>
    <col min="2" max="2" width="39" bestFit="1" customWidth="1"/>
    <col min="3" max="14" width="7.5" bestFit="1" customWidth="1"/>
    <col min="15" max="26" width="8.5" customWidth="1"/>
  </cols>
  <sheetData>
    <row r="1" spans="1:26" ht="19" x14ac:dyDescent="0.25">
      <c r="B1" s="16" t="s">
        <v>174</v>
      </c>
      <c r="D1" s="121" t="s">
        <v>226</v>
      </c>
      <c r="E1" s="122" t="s">
        <v>122</v>
      </c>
      <c r="F1" s="122" t="s">
        <v>13</v>
      </c>
      <c r="G1" s="123" t="s">
        <v>192</v>
      </c>
    </row>
    <row r="2" spans="1:26" x14ac:dyDescent="0.2">
      <c r="D2" s="124">
        <f ca="1">PL!AD5/1000</f>
        <v>387.84337999999997</v>
      </c>
      <c r="E2" s="125">
        <f ca="1">PL!AD7/1000</f>
        <v>312.13275327999997</v>
      </c>
      <c r="F2" s="125">
        <f ca="1">PL!AD35/1000</f>
        <v>127.69275327999995</v>
      </c>
      <c r="G2" s="126">
        <f ca="1">MIN(CF!O30:Z30)/1000</f>
        <v>142.00622451808457</v>
      </c>
    </row>
    <row r="4" spans="1:26" x14ac:dyDescent="0.2">
      <c r="B4" s="24"/>
      <c r="C4" s="59">
        <v>41640</v>
      </c>
      <c r="D4" s="59">
        <v>41671</v>
      </c>
      <c r="E4" s="59">
        <v>41699</v>
      </c>
      <c r="F4" s="59">
        <v>41730</v>
      </c>
      <c r="G4" s="59">
        <v>41760</v>
      </c>
      <c r="H4" s="59">
        <v>41791</v>
      </c>
      <c r="I4" s="59">
        <v>41821</v>
      </c>
      <c r="J4" s="59">
        <v>41852</v>
      </c>
      <c r="K4" s="59">
        <v>41883</v>
      </c>
      <c r="L4" s="59">
        <v>41913</v>
      </c>
      <c r="M4" s="59">
        <v>41944</v>
      </c>
      <c r="N4" s="59">
        <v>41974</v>
      </c>
      <c r="O4" s="59">
        <v>42005</v>
      </c>
      <c r="P4" s="59">
        <v>42036</v>
      </c>
      <c r="Q4" s="59">
        <v>42064</v>
      </c>
      <c r="R4" s="59">
        <v>42095</v>
      </c>
      <c r="S4" s="59">
        <v>42125</v>
      </c>
      <c r="T4" s="59">
        <v>42156</v>
      </c>
      <c r="U4" s="59">
        <v>42186</v>
      </c>
      <c r="V4" s="59">
        <v>42217</v>
      </c>
      <c r="W4" s="59">
        <v>42248</v>
      </c>
      <c r="X4" s="59">
        <v>42278</v>
      </c>
      <c r="Y4" s="59">
        <v>42309</v>
      </c>
      <c r="Z4" s="59">
        <v>42339</v>
      </c>
    </row>
    <row r="5" spans="1:26" x14ac:dyDescent="0.2">
      <c r="B5" s="2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x14ac:dyDescent="0.2">
      <c r="B6" s="7" t="s">
        <v>130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x14ac:dyDescent="0.2">
      <c r="B7" s="24" t="s">
        <v>310</v>
      </c>
      <c r="C7" s="36">
        <v>5000</v>
      </c>
      <c r="D7" s="36">
        <v>5000</v>
      </c>
      <c r="E7" s="36">
        <v>5000</v>
      </c>
      <c r="F7" s="36">
        <v>5000</v>
      </c>
      <c r="G7" s="36">
        <v>5000</v>
      </c>
      <c r="H7" s="36">
        <v>5000</v>
      </c>
      <c r="I7" s="36">
        <v>5000</v>
      </c>
      <c r="J7" s="36">
        <v>5000</v>
      </c>
      <c r="K7" s="36">
        <v>5000</v>
      </c>
      <c r="L7" s="36">
        <v>5000</v>
      </c>
      <c r="M7" s="36">
        <v>5000</v>
      </c>
      <c r="N7" s="36">
        <v>5000</v>
      </c>
      <c r="O7" s="36">
        <v>5000</v>
      </c>
      <c r="P7" s="36">
        <v>5000</v>
      </c>
      <c r="Q7" s="36">
        <v>5000</v>
      </c>
      <c r="R7" s="36">
        <v>5000</v>
      </c>
      <c r="S7" s="36">
        <v>5000</v>
      </c>
      <c r="T7" s="36">
        <v>5000</v>
      </c>
      <c r="U7" s="36">
        <v>5000</v>
      </c>
      <c r="V7" s="36">
        <v>5000</v>
      </c>
      <c r="W7" s="36">
        <v>5000</v>
      </c>
      <c r="X7" s="36">
        <v>5000</v>
      </c>
      <c r="Y7" s="36">
        <v>5000</v>
      </c>
      <c r="Z7" s="36">
        <v>5000</v>
      </c>
    </row>
    <row r="8" spans="1:26" x14ac:dyDescent="0.2">
      <c r="B8" s="24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x14ac:dyDescent="0.2">
      <c r="B9" s="25" t="s">
        <v>281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x14ac:dyDescent="0.2">
      <c r="B10" s="40" t="s">
        <v>132</v>
      </c>
      <c r="C10" s="40">
        <v>12</v>
      </c>
      <c r="D10" s="40">
        <v>11</v>
      </c>
      <c r="E10" s="40">
        <v>10</v>
      </c>
      <c r="F10" s="40">
        <v>9</v>
      </c>
      <c r="G10" s="40">
        <v>8</v>
      </c>
      <c r="H10" s="40">
        <v>7</v>
      </c>
      <c r="I10" s="40">
        <v>6</v>
      </c>
      <c r="J10" s="40">
        <v>5</v>
      </c>
      <c r="K10" s="40">
        <v>4</v>
      </c>
      <c r="L10" s="40">
        <v>3</v>
      </c>
      <c r="M10" s="40">
        <v>2</v>
      </c>
      <c r="N10" s="40">
        <v>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x14ac:dyDescent="0.2">
      <c r="B11" s="24" t="s">
        <v>131</v>
      </c>
      <c r="C11" s="26">
        <v>7.4999999999999997E-2</v>
      </c>
      <c r="D11" s="26">
        <v>4.7500000000000001E-2</v>
      </c>
      <c r="E11" s="26">
        <v>2.75E-2</v>
      </c>
      <c r="F11" s="26">
        <v>2.75E-2</v>
      </c>
      <c r="G11" s="26">
        <v>5.0000000000002265E-3</v>
      </c>
      <c r="H11" s="26">
        <v>2.75E-2</v>
      </c>
      <c r="I11" s="26">
        <v>4.7500000000000001E-2</v>
      </c>
      <c r="J11" s="26">
        <v>6.7500000000000004E-2</v>
      </c>
      <c r="K11" s="26">
        <v>7.4999999999999997E-2</v>
      </c>
      <c r="L11" s="26">
        <v>0.15</v>
      </c>
      <c r="M11" s="26">
        <v>0.3</v>
      </c>
      <c r="N11" s="26">
        <v>0.15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x14ac:dyDescent="0.2">
      <c r="B12" s="24" t="s">
        <v>275</v>
      </c>
      <c r="C12" s="36">
        <v>1</v>
      </c>
      <c r="D12" s="2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x14ac:dyDescent="0.2">
      <c r="C13" s="33"/>
      <c r="D13" s="33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x14ac:dyDescent="0.2">
      <c r="A14"/>
      <c r="B14" s="7" t="s">
        <v>252</v>
      </c>
    </row>
    <row r="15" spans="1:26" x14ac:dyDescent="0.2">
      <c r="A15"/>
      <c r="B15" s="24" t="s">
        <v>259</v>
      </c>
      <c r="C15" s="37">
        <f t="shared" ref="C15:K15" si="0">C55</f>
        <v>15</v>
      </c>
      <c r="D15" s="37">
        <f t="shared" si="0"/>
        <v>15</v>
      </c>
      <c r="E15" s="37">
        <f t="shared" si="0"/>
        <v>15</v>
      </c>
      <c r="F15" s="37">
        <f t="shared" si="0"/>
        <v>15</v>
      </c>
      <c r="G15" s="37">
        <f t="shared" si="0"/>
        <v>15</v>
      </c>
      <c r="H15" s="37">
        <f t="shared" si="0"/>
        <v>15</v>
      </c>
      <c r="I15" s="37">
        <f t="shared" si="0"/>
        <v>15</v>
      </c>
      <c r="J15" s="37">
        <f t="shared" si="0"/>
        <v>15</v>
      </c>
      <c r="K15" s="37">
        <f t="shared" si="0"/>
        <v>15</v>
      </c>
      <c r="L15" s="37">
        <f t="shared" ref="L15:N15" si="1">L55</f>
        <v>15</v>
      </c>
      <c r="M15" s="37">
        <f t="shared" si="1"/>
        <v>15</v>
      </c>
      <c r="N15" s="37">
        <f t="shared" si="1"/>
        <v>15</v>
      </c>
    </row>
    <row r="16" spans="1:26" x14ac:dyDescent="0.2">
      <c r="A16"/>
      <c r="B16" s="7"/>
    </row>
    <row r="17" spans="1:26" x14ac:dyDescent="0.2">
      <c r="A17"/>
      <c r="B17" s="25" t="s">
        <v>122</v>
      </c>
    </row>
    <row r="18" spans="1:26" x14ac:dyDescent="0.2">
      <c r="B18" s="24" t="s">
        <v>276</v>
      </c>
      <c r="C18" s="149">
        <v>1000</v>
      </c>
      <c r="D18" s="149">
        <v>1000</v>
      </c>
      <c r="E18" s="149">
        <v>1000</v>
      </c>
      <c r="F18" s="149">
        <v>1000</v>
      </c>
      <c r="G18" s="149">
        <v>1000</v>
      </c>
      <c r="H18" s="149">
        <v>1000</v>
      </c>
      <c r="I18" s="149">
        <v>1000</v>
      </c>
      <c r="J18" s="149">
        <v>1000</v>
      </c>
      <c r="K18" s="149">
        <v>1000</v>
      </c>
      <c r="L18" s="149">
        <v>1000</v>
      </c>
      <c r="M18" s="149">
        <v>1000</v>
      </c>
      <c r="N18" s="149">
        <v>1000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x14ac:dyDescent="0.2">
      <c r="B19" s="24" t="s">
        <v>277</v>
      </c>
      <c r="C19" s="149">
        <v>1000</v>
      </c>
      <c r="D19" s="149">
        <v>1000</v>
      </c>
      <c r="E19" s="149">
        <v>1000</v>
      </c>
      <c r="F19" s="149">
        <v>1000</v>
      </c>
      <c r="G19" s="149">
        <v>1000</v>
      </c>
      <c r="H19" s="149">
        <v>1000</v>
      </c>
      <c r="I19" s="149">
        <v>1000</v>
      </c>
      <c r="J19" s="149">
        <v>1000</v>
      </c>
      <c r="K19" s="149">
        <v>1000</v>
      </c>
      <c r="L19" s="149">
        <v>1000</v>
      </c>
      <c r="M19" s="149">
        <v>1000</v>
      </c>
      <c r="N19" s="149">
        <v>1000</v>
      </c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x14ac:dyDescent="0.2">
      <c r="B20" s="24" t="s">
        <v>278</v>
      </c>
      <c r="C20" s="149">
        <v>1000</v>
      </c>
      <c r="D20" s="149">
        <v>1000</v>
      </c>
      <c r="E20" s="149">
        <v>1000</v>
      </c>
      <c r="F20" s="149">
        <v>1000</v>
      </c>
      <c r="G20" s="149">
        <v>1000</v>
      </c>
      <c r="H20" s="149">
        <v>1000</v>
      </c>
      <c r="I20" s="149">
        <v>1000</v>
      </c>
      <c r="J20" s="149">
        <v>1000</v>
      </c>
      <c r="K20" s="149">
        <v>1000</v>
      </c>
      <c r="L20" s="149">
        <v>1000</v>
      </c>
      <c r="M20" s="149">
        <v>1000</v>
      </c>
      <c r="N20" s="149">
        <v>1000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x14ac:dyDescent="0.2">
      <c r="B21" s="24" t="s">
        <v>279</v>
      </c>
      <c r="C21" s="149">
        <v>1000</v>
      </c>
      <c r="D21" s="149">
        <v>1000</v>
      </c>
      <c r="E21" s="149">
        <v>1000</v>
      </c>
      <c r="F21" s="149">
        <v>1000</v>
      </c>
      <c r="G21" s="149">
        <v>1000</v>
      </c>
      <c r="H21" s="149">
        <v>1000</v>
      </c>
      <c r="I21" s="149">
        <v>1000</v>
      </c>
      <c r="J21" s="149">
        <v>1000</v>
      </c>
      <c r="K21" s="149">
        <v>1000</v>
      </c>
      <c r="L21" s="149">
        <v>1000</v>
      </c>
      <c r="M21" s="149">
        <v>1000</v>
      </c>
      <c r="N21" s="149">
        <v>1000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x14ac:dyDescent="0.2">
      <c r="B22" s="24" t="s">
        <v>280</v>
      </c>
      <c r="C22" s="149">
        <v>1000</v>
      </c>
      <c r="D22" s="149">
        <v>1000</v>
      </c>
      <c r="E22" s="149">
        <v>1000</v>
      </c>
      <c r="F22" s="149">
        <v>1000</v>
      </c>
      <c r="G22" s="149">
        <v>1000</v>
      </c>
      <c r="H22" s="149">
        <v>1000</v>
      </c>
      <c r="I22" s="149">
        <v>1000</v>
      </c>
      <c r="J22" s="149">
        <v>1000</v>
      </c>
      <c r="K22" s="149">
        <v>1000</v>
      </c>
      <c r="L22" s="149">
        <v>1000</v>
      </c>
      <c r="M22" s="149">
        <v>1000</v>
      </c>
      <c r="N22" s="149">
        <v>1000</v>
      </c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s="146" customFormat="1" x14ac:dyDescent="0.2">
      <c r="B23" s="147" t="s">
        <v>260</v>
      </c>
      <c r="C23" s="150">
        <f>SUM(C18:C22)</f>
        <v>5000</v>
      </c>
      <c r="D23" s="150">
        <f t="shared" ref="D23:N23" si="2">SUM(D18:D22)</f>
        <v>5000</v>
      </c>
      <c r="E23" s="150">
        <f t="shared" si="2"/>
        <v>5000</v>
      </c>
      <c r="F23" s="150">
        <f t="shared" si="2"/>
        <v>5000</v>
      </c>
      <c r="G23" s="150">
        <f t="shared" si="2"/>
        <v>5000</v>
      </c>
      <c r="H23" s="150">
        <f t="shared" si="2"/>
        <v>5000</v>
      </c>
      <c r="I23" s="150">
        <f t="shared" si="2"/>
        <v>5000</v>
      </c>
      <c r="J23" s="150">
        <f t="shared" si="2"/>
        <v>5000</v>
      </c>
      <c r="K23" s="150">
        <f t="shared" si="2"/>
        <v>5000</v>
      </c>
      <c r="L23" s="150">
        <f t="shared" si="2"/>
        <v>5000</v>
      </c>
      <c r="M23" s="150">
        <f t="shared" si="2"/>
        <v>5000</v>
      </c>
      <c r="N23" s="150">
        <f t="shared" si="2"/>
        <v>5000</v>
      </c>
      <c r="O23" s="147">
        <f ca="1">SUMPRODUCT($C$11:$N$11,OFFSET(D7:O7,,-$C$12))</f>
        <v>5000.0000000000009</v>
      </c>
      <c r="P23" s="147">
        <f t="shared" ref="P23:Z23" ca="1" si="3">SUMPRODUCT($C$11:$N$11,OFFSET(E7:P7,,-$C$12))</f>
        <v>5000.0000000000009</v>
      </c>
      <c r="Q23" s="147">
        <f t="shared" ca="1" si="3"/>
        <v>5000.0000000000009</v>
      </c>
      <c r="R23" s="147">
        <f t="shared" ca="1" si="3"/>
        <v>5000.0000000000009</v>
      </c>
      <c r="S23" s="147">
        <f t="shared" ca="1" si="3"/>
        <v>5000.0000000000009</v>
      </c>
      <c r="T23" s="147">
        <f t="shared" ca="1" si="3"/>
        <v>5000.0000000000009</v>
      </c>
      <c r="U23" s="147">
        <f t="shared" ca="1" si="3"/>
        <v>5000.0000000000009</v>
      </c>
      <c r="V23" s="147">
        <f t="shared" ca="1" si="3"/>
        <v>5000.0000000000009</v>
      </c>
      <c r="W23" s="147">
        <f t="shared" ca="1" si="3"/>
        <v>5000.0000000000009</v>
      </c>
      <c r="X23" s="147">
        <f t="shared" ca="1" si="3"/>
        <v>5000.0000000000009</v>
      </c>
      <c r="Y23" s="147">
        <f t="shared" ca="1" si="3"/>
        <v>5000.0000000000009</v>
      </c>
      <c r="Z23" s="147">
        <f t="shared" ca="1" si="3"/>
        <v>5000.0000000000009</v>
      </c>
    </row>
    <row r="24" spans="1:26" x14ac:dyDescent="0.2">
      <c r="B24" s="25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x14ac:dyDescent="0.2">
      <c r="B25" s="7" t="s">
        <v>257</v>
      </c>
    </row>
    <row r="26" spans="1:26" x14ac:dyDescent="0.2">
      <c r="B26" s="135" t="s">
        <v>244</v>
      </c>
      <c r="C26" s="136">
        <v>41640</v>
      </c>
      <c r="D26" s="136">
        <v>41671</v>
      </c>
      <c r="E26" s="136">
        <v>41699</v>
      </c>
      <c r="F26" s="136">
        <v>41730</v>
      </c>
      <c r="G26" s="136">
        <v>41760</v>
      </c>
      <c r="H26" s="136">
        <v>41791</v>
      </c>
      <c r="I26" s="136">
        <v>41821</v>
      </c>
      <c r="J26" s="136">
        <v>41852</v>
      </c>
      <c r="K26" s="136">
        <v>41883</v>
      </c>
      <c r="L26" s="136">
        <v>41913</v>
      </c>
      <c r="M26" s="136">
        <v>41944</v>
      </c>
      <c r="N26" s="136">
        <v>41974</v>
      </c>
      <c r="O26" s="136">
        <v>42005</v>
      </c>
      <c r="P26" s="136">
        <v>42036</v>
      </c>
      <c r="Q26" s="136">
        <v>42064</v>
      </c>
      <c r="R26" s="136">
        <v>42095</v>
      </c>
      <c r="S26" s="136">
        <v>42125</v>
      </c>
      <c r="T26" s="136">
        <v>42156</v>
      </c>
      <c r="U26" s="136">
        <v>42186</v>
      </c>
      <c r="V26" s="136">
        <v>42217</v>
      </c>
      <c r="W26" s="136">
        <v>42248</v>
      </c>
      <c r="X26" s="136">
        <v>42278</v>
      </c>
      <c r="Y26" s="136">
        <v>42309</v>
      </c>
      <c r="Z26" s="136">
        <v>42339</v>
      </c>
    </row>
    <row r="27" spans="1:26" x14ac:dyDescent="0.2">
      <c r="B27" s="138">
        <v>41518</v>
      </c>
      <c r="C27" s="137">
        <v>1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0</v>
      </c>
      <c r="M27" s="137">
        <v>0</v>
      </c>
      <c r="N27" s="137">
        <v>0</v>
      </c>
      <c r="O27" s="137">
        <v>0</v>
      </c>
      <c r="P27" s="137">
        <v>0</v>
      </c>
      <c r="Q27" s="137">
        <v>0</v>
      </c>
      <c r="R27" s="137">
        <v>0</v>
      </c>
      <c r="S27" s="137">
        <v>0</v>
      </c>
      <c r="T27" s="137">
        <v>0</v>
      </c>
      <c r="U27" s="137">
        <v>0</v>
      </c>
      <c r="V27" s="137">
        <v>0</v>
      </c>
      <c r="W27" s="137">
        <v>0</v>
      </c>
      <c r="X27" s="137">
        <v>0</v>
      </c>
      <c r="Y27" s="137">
        <v>0</v>
      </c>
      <c r="Z27" s="137">
        <v>0</v>
      </c>
    </row>
    <row r="28" spans="1:26" x14ac:dyDescent="0.2">
      <c r="B28" s="138">
        <v>41548</v>
      </c>
      <c r="C28" s="137">
        <v>2</v>
      </c>
      <c r="D28" s="137">
        <v>1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0</v>
      </c>
      <c r="M28" s="137">
        <v>0</v>
      </c>
      <c r="N28" s="137">
        <v>0</v>
      </c>
      <c r="O28" s="137">
        <v>0</v>
      </c>
      <c r="P28" s="137">
        <v>0</v>
      </c>
      <c r="Q28" s="137">
        <v>0</v>
      </c>
      <c r="R28" s="137">
        <v>0</v>
      </c>
      <c r="S28" s="137">
        <v>0</v>
      </c>
      <c r="T28" s="137">
        <v>0</v>
      </c>
      <c r="U28" s="137">
        <v>0</v>
      </c>
      <c r="V28" s="137">
        <v>0</v>
      </c>
      <c r="W28" s="137">
        <v>0</v>
      </c>
      <c r="X28" s="137">
        <v>0</v>
      </c>
      <c r="Y28" s="137">
        <v>0</v>
      </c>
      <c r="Z28" s="137">
        <v>0</v>
      </c>
    </row>
    <row r="29" spans="1:26" x14ac:dyDescent="0.2">
      <c r="B29" s="138">
        <v>41579</v>
      </c>
      <c r="C29" s="137">
        <v>3</v>
      </c>
      <c r="D29" s="137">
        <v>2</v>
      </c>
      <c r="E29" s="137">
        <v>1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0</v>
      </c>
      <c r="M29" s="137">
        <v>0</v>
      </c>
      <c r="N29" s="137">
        <v>0</v>
      </c>
      <c r="O29" s="137">
        <v>0</v>
      </c>
      <c r="P29" s="137">
        <v>0</v>
      </c>
      <c r="Q29" s="137">
        <v>0</v>
      </c>
      <c r="R29" s="137">
        <v>0</v>
      </c>
      <c r="S29" s="137">
        <v>0</v>
      </c>
      <c r="T29" s="137">
        <v>0</v>
      </c>
      <c r="U29" s="137">
        <v>0</v>
      </c>
      <c r="V29" s="137">
        <v>0</v>
      </c>
      <c r="W29" s="137">
        <v>0</v>
      </c>
      <c r="X29" s="137">
        <v>0</v>
      </c>
      <c r="Y29" s="137">
        <v>0</v>
      </c>
      <c r="Z29" s="137">
        <v>0</v>
      </c>
    </row>
    <row r="30" spans="1:26" x14ac:dyDescent="0.2">
      <c r="B30" s="138">
        <v>41609</v>
      </c>
      <c r="C30" s="137">
        <v>4</v>
      </c>
      <c r="D30" s="137">
        <v>3</v>
      </c>
      <c r="E30" s="137">
        <v>2</v>
      </c>
      <c r="F30" s="137">
        <v>1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0</v>
      </c>
      <c r="M30" s="137">
        <v>0</v>
      </c>
      <c r="N30" s="137">
        <v>0</v>
      </c>
      <c r="O30" s="137">
        <v>0</v>
      </c>
      <c r="P30" s="137">
        <v>0</v>
      </c>
      <c r="Q30" s="137">
        <v>0</v>
      </c>
      <c r="R30" s="137">
        <v>0</v>
      </c>
      <c r="S30" s="137">
        <v>0</v>
      </c>
      <c r="T30" s="137">
        <v>0</v>
      </c>
      <c r="U30" s="137">
        <v>0</v>
      </c>
      <c r="V30" s="137">
        <v>0</v>
      </c>
      <c r="W30" s="137">
        <v>0</v>
      </c>
      <c r="X30" s="137">
        <v>0</v>
      </c>
      <c r="Y30" s="137">
        <v>0</v>
      </c>
      <c r="Z30" s="137">
        <v>0</v>
      </c>
    </row>
    <row r="31" spans="1:26" x14ac:dyDescent="0.2">
      <c r="B31" s="138">
        <v>41640</v>
      </c>
      <c r="C31" s="137">
        <v>5</v>
      </c>
      <c r="D31" s="137">
        <v>4</v>
      </c>
      <c r="E31" s="137">
        <v>3</v>
      </c>
      <c r="F31" s="137">
        <v>2</v>
      </c>
      <c r="G31" s="137">
        <v>1</v>
      </c>
      <c r="H31" s="137">
        <v>0</v>
      </c>
      <c r="I31" s="137">
        <v>0</v>
      </c>
      <c r="J31" s="137">
        <v>0</v>
      </c>
      <c r="K31" s="137">
        <v>0</v>
      </c>
      <c r="L31" s="137">
        <v>0</v>
      </c>
      <c r="M31" s="137">
        <v>0</v>
      </c>
      <c r="N31" s="137">
        <v>0</v>
      </c>
      <c r="O31" s="137">
        <v>0</v>
      </c>
      <c r="P31" s="137">
        <v>0</v>
      </c>
      <c r="Q31" s="137">
        <v>0</v>
      </c>
      <c r="R31" s="137">
        <v>0</v>
      </c>
      <c r="S31" s="137">
        <v>0</v>
      </c>
      <c r="T31" s="137">
        <v>0</v>
      </c>
      <c r="U31" s="137">
        <v>0</v>
      </c>
      <c r="V31" s="137">
        <v>0</v>
      </c>
      <c r="W31" s="137">
        <v>0</v>
      </c>
      <c r="X31" s="137">
        <v>0</v>
      </c>
      <c r="Y31" s="137">
        <v>0</v>
      </c>
      <c r="Z31" s="137">
        <v>0</v>
      </c>
    </row>
    <row r="32" spans="1:26" x14ac:dyDescent="0.2">
      <c r="B32" s="138">
        <v>41671</v>
      </c>
      <c r="C32" s="137">
        <v>0</v>
      </c>
      <c r="D32" s="137">
        <v>5</v>
      </c>
      <c r="E32" s="137">
        <v>4</v>
      </c>
      <c r="F32" s="137">
        <v>3</v>
      </c>
      <c r="G32" s="137">
        <v>2</v>
      </c>
      <c r="H32" s="137">
        <v>1</v>
      </c>
      <c r="I32" s="137">
        <v>0</v>
      </c>
      <c r="J32" s="137">
        <v>0</v>
      </c>
      <c r="K32" s="137">
        <v>0</v>
      </c>
      <c r="L32" s="137">
        <v>0</v>
      </c>
      <c r="M32" s="137">
        <v>0</v>
      </c>
      <c r="N32" s="137">
        <v>0</v>
      </c>
      <c r="O32" s="137">
        <v>0</v>
      </c>
      <c r="P32" s="137">
        <v>0</v>
      </c>
      <c r="Q32" s="137">
        <v>0</v>
      </c>
      <c r="R32" s="137">
        <v>0</v>
      </c>
      <c r="S32" s="137">
        <v>0</v>
      </c>
      <c r="T32" s="137">
        <v>0</v>
      </c>
      <c r="U32" s="137">
        <v>0</v>
      </c>
      <c r="V32" s="137">
        <v>0</v>
      </c>
      <c r="W32" s="137">
        <v>0</v>
      </c>
      <c r="X32" s="137">
        <v>0</v>
      </c>
      <c r="Y32" s="137">
        <v>0</v>
      </c>
      <c r="Z32" s="137">
        <v>0</v>
      </c>
    </row>
    <row r="33" spans="2:26" x14ac:dyDescent="0.2">
      <c r="B33" s="138">
        <v>41699</v>
      </c>
      <c r="C33" s="137">
        <v>0</v>
      </c>
      <c r="D33" s="137">
        <v>0</v>
      </c>
      <c r="E33" s="137">
        <v>5</v>
      </c>
      <c r="F33" s="137">
        <v>4</v>
      </c>
      <c r="G33" s="137">
        <v>3</v>
      </c>
      <c r="H33" s="137">
        <v>2</v>
      </c>
      <c r="I33" s="137">
        <v>1</v>
      </c>
      <c r="J33" s="137">
        <v>0</v>
      </c>
      <c r="K33" s="137">
        <v>0</v>
      </c>
      <c r="L33" s="137">
        <v>0</v>
      </c>
      <c r="M33" s="137">
        <v>0</v>
      </c>
      <c r="N33" s="137">
        <v>0</v>
      </c>
      <c r="O33" s="137">
        <v>0</v>
      </c>
      <c r="P33" s="137">
        <v>0</v>
      </c>
      <c r="Q33" s="137">
        <v>0</v>
      </c>
      <c r="R33" s="137">
        <v>0</v>
      </c>
      <c r="S33" s="137">
        <v>0</v>
      </c>
      <c r="T33" s="137">
        <v>0</v>
      </c>
      <c r="U33" s="137">
        <v>0</v>
      </c>
      <c r="V33" s="137">
        <v>0</v>
      </c>
      <c r="W33" s="137">
        <v>0</v>
      </c>
      <c r="X33" s="137">
        <v>0</v>
      </c>
      <c r="Y33" s="137">
        <v>0</v>
      </c>
      <c r="Z33" s="137">
        <v>0</v>
      </c>
    </row>
    <row r="34" spans="2:26" x14ac:dyDescent="0.2">
      <c r="B34" s="138">
        <v>41730</v>
      </c>
      <c r="C34" s="137">
        <v>0</v>
      </c>
      <c r="D34" s="137">
        <v>0</v>
      </c>
      <c r="E34" s="137">
        <v>0</v>
      </c>
      <c r="F34" s="137">
        <v>5</v>
      </c>
      <c r="G34" s="137">
        <v>4</v>
      </c>
      <c r="H34" s="137">
        <v>3</v>
      </c>
      <c r="I34" s="137">
        <v>2</v>
      </c>
      <c r="J34" s="137">
        <v>1</v>
      </c>
      <c r="K34" s="137">
        <v>0</v>
      </c>
      <c r="L34" s="137">
        <v>0</v>
      </c>
      <c r="M34" s="137">
        <v>0</v>
      </c>
      <c r="N34" s="137">
        <v>0</v>
      </c>
      <c r="O34" s="137">
        <v>0</v>
      </c>
      <c r="P34" s="137">
        <v>0</v>
      </c>
      <c r="Q34" s="137">
        <v>0</v>
      </c>
      <c r="R34" s="137">
        <v>0</v>
      </c>
      <c r="S34" s="137">
        <v>0</v>
      </c>
      <c r="T34" s="137">
        <v>0</v>
      </c>
      <c r="U34" s="137">
        <v>0</v>
      </c>
      <c r="V34" s="137">
        <v>0</v>
      </c>
      <c r="W34" s="137">
        <v>0</v>
      </c>
      <c r="X34" s="137">
        <v>0</v>
      </c>
      <c r="Y34" s="137">
        <v>0</v>
      </c>
      <c r="Z34" s="137">
        <v>0</v>
      </c>
    </row>
    <row r="35" spans="2:26" x14ac:dyDescent="0.2">
      <c r="B35" s="138">
        <v>41760</v>
      </c>
      <c r="C35" s="137">
        <v>0</v>
      </c>
      <c r="D35" s="137">
        <v>0</v>
      </c>
      <c r="E35" s="137">
        <v>0</v>
      </c>
      <c r="F35" s="137">
        <v>0</v>
      </c>
      <c r="G35" s="137">
        <v>5</v>
      </c>
      <c r="H35" s="137">
        <v>4</v>
      </c>
      <c r="I35" s="137">
        <v>3</v>
      </c>
      <c r="J35" s="137">
        <v>2</v>
      </c>
      <c r="K35" s="137">
        <v>1</v>
      </c>
      <c r="L35" s="137">
        <v>0</v>
      </c>
      <c r="M35" s="137">
        <v>0</v>
      </c>
      <c r="N35" s="137">
        <v>0</v>
      </c>
      <c r="O35" s="137">
        <v>0</v>
      </c>
      <c r="P35" s="137">
        <v>0</v>
      </c>
      <c r="Q35" s="137">
        <v>0</v>
      </c>
      <c r="R35" s="137">
        <v>0</v>
      </c>
      <c r="S35" s="137">
        <v>0</v>
      </c>
      <c r="T35" s="137">
        <v>0</v>
      </c>
      <c r="U35" s="137">
        <v>0</v>
      </c>
      <c r="V35" s="137">
        <v>0</v>
      </c>
      <c r="W35" s="137">
        <v>0</v>
      </c>
      <c r="X35" s="137">
        <v>0</v>
      </c>
      <c r="Y35" s="137">
        <v>0</v>
      </c>
      <c r="Z35" s="137">
        <v>0</v>
      </c>
    </row>
    <row r="36" spans="2:26" x14ac:dyDescent="0.2">
      <c r="B36" s="138">
        <v>41791</v>
      </c>
      <c r="C36" s="137">
        <v>0</v>
      </c>
      <c r="D36" s="137">
        <v>0</v>
      </c>
      <c r="E36" s="137">
        <v>0</v>
      </c>
      <c r="F36" s="137">
        <v>0</v>
      </c>
      <c r="G36" s="137">
        <v>0</v>
      </c>
      <c r="H36" s="137">
        <v>5</v>
      </c>
      <c r="I36" s="137">
        <v>4</v>
      </c>
      <c r="J36" s="137">
        <v>3</v>
      </c>
      <c r="K36" s="137">
        <v>2</v>
      </c>
      <c r="L36" s="137">
        <v>1</v>
      </c>
      <c r="M36" s="137">
        <v>0</v>
      </c>
      <c r="N36" s="137">
        <v>0</v>
      </c>
      <c r="O36" s="137">
        <v>0</v>
      </c>
      <c r="P36" s="137">
        <v>0</v>
      </c>
      <c r="Q36" s="137">
        <v>0</v>
      </c>
      <c r="R36" s="137">
        <v>0</v>
      </c>
      <c r="S36" s="137">
        <v>0</v>
      </c>
      <c r="T36" s="137">
        <v>0</v>
      </c>
      <c r="U36" s="137">
        <v>0</v>
      </c>
      <c r="V36" s="137">
        <v>0</v>
      </c>
      <c r="W36" s="137">
        <v>0</v>
      </c>
      <c r="X36" s="137">
        <v>0</v>
      </c>
      <c r="Y36" s="137">
        <v>0</v>
      </c>
      <c r="Z36" s="137">
        <v>0</v>
      </c>
    </row>
    <row r="37" spans="2:26" x14ac:dyDescent="0.2">
      <c r="B37" s="138">
        <v>41821</v>
      </c>
      <c r="C37" s="137">
        <v>0</v>
      </c>
      <c r="D37" s="137">
        <v>0</v>
      </c>
      <c r="E37" s="137">
        <v>0</v>
      </c>
      <c r="F37" s="137">
        <v>0</v>
      </c>
      <c r="G37" s="137">
        <v>0</v>
      </c>
      <c r="H37" s="137">
        <v>0</v>
      </c>
      <c r="I37" s="137">
        <v>5</v>
      </c>
      <c r="J37" s="137">
        <v>4</v>
      </c>
      <c r="K37" s="137">
        <v>3</v>
      </c>
      <c r="L37" s="137">
        <v>2</v>
      </c>
      <c r="M37" s="137">
        <v>1</v>
      </c>
      <c r="N37" s="137">
        <v>0</v>
      </c>
      <c r="O37" s="137">
        <v>0</v>
      </c>
      <c r="P37" s="137">
        <v>0</v>
      </c>
      <c r="Q37" s="137">
        <v>0</v>
      </c>
      <c r="R37" s="137">
        <v>0</v>
      </c>
      <c r="S37" s="137">
        <v>0</v>
      </c>
      <c r="T37" s="137">
        <v>0</v>
      </c>
      <c r="U37" s="137">
        <v>0</v>
      </c>
      <c r="V37" s="137">
        <v>0</v>
      </c>
      <c r="W37" s="137">
        <v>0</v>
      </c>
      <c r="X37" s="137">
        <v>0</v>
      </c>
      <c r="Y37" s="137">
        <v>0</v>
      </c>
      <c r="Z37" s="137">
        <v>0</v>
      </c>
    </row>
    <row r="38" spans="2:26" x14ac:dyDescent="0.2">
      <c r="B38" s="138">
        <v>41852</v>
      </c>
      <c r="C38" s="137">
        <v>0</v>
      </c>
      <c r="D38" s="137">
        <v>0</v>
      </c>
      <c r="E38" s="137">
        <v>0</v>
      </c>
      <c r="F38" s="137">
        <v>0</v>
      </c>
      <c r="G38" s="137">
        <v>0</v>
      </c>
      <c r="H38" s="137">
        <v>0</v>
      </c>
      <c r="I38" s="137">
        <v>0</v>
      </c>
      <c r="J38" s="137">
        <v>5</v>
      </c>
      <c r="K38" s="137">
        <v>4</v>
      </c>
      <c r="L38" s="137">
        <v>3</v>
      </c>
      <c r="M38" s="137">
        <v>2</v>
      </c>
      <c r="N38" s="137">
        <v>1</v>
      </c>
      <c r="O38" s="137">
        <v>0</v>
      </c>
      <c r="P38" s="137">
        <v>0</v>
      </c>
      <c r="Q38" s="137">
        <v>0</v>
      </c>
      <c r="R38" s="137">
        <v>0</v>
      </c>
      <c r="S38" s="137">
        <v>0</v>
      </c>
      <c r="T38" s="137">
        <v>0</v>
      </c>
      <c r="U38" s="137">
        <v>0</v>
      </c>
      <c r="V38" s="137">
        <v>0</v>
      </c>
      <c r="W38" s="137">
        <v>0</v>
      </c>
      <c r="X38" s="137">
        <v>0</v>
      </c>
      <c r="Y38" s="137">
        <v>0</v>
      </c>
      <c r="Z38" s="137">
        <v>0</v>
      </c>
    </row>
    <row r="39" spans="2:26" x14ac:dyDescent="0.2">
      <c r="B39" s="138">
        <v>41883</v>
      </c>
      <c r="C39" s="137">
        <v>0</v>
      </c>
      <c r="D39" s="137">
        <v>0</v>
      </c>
      <c r="E39" s="137">
        <v>0</v>
      </c>
      <c r="F39" s="137">
        <v>0</v>
      </c>
      <c r="G39" s="137">
        <v>0</v>
      </c>
      <c r="H39" s="137">
        <v>0</v>
      </c>
      <c r="I39" s="137">
        <v>0</v>
      </c>
      <c r="J39" s="137">
        <v>0</v>
      </c>
      <c r="K39" s="137">
        <v>5</v>
      </c>
      <c r="L39" s="137">
        <v>4</v>
      </c>
      <c r="M39" s="137">
        <v>3</v>
      </c>
      <c r="N39" s="137">
        <v>2</v>
      </c>
      <c r="O39" s="137">
        <v>0</v>
      </c>
      <c r="P39" s="137">
        <v>0</v>
      </c>
      <c r="Q39" s="137">
        <v>0</v>
      </c>
      <c r="R39" s="137">
        <v>0</v>
      </c>
      <c r="S39" s="137">
        <v>0</v>
      </c>
      <c r="T39" s="137">
        <v>0</v>
      </c>
      <c r="U39" s="137">
        <v>0</v>
      </c>
      <c r="V39" s="137">
        <v>0</v>
      </c>
      <c r="W39" s="137">
        <v>0</v>
      </c>
      <c r="X39" s="137">
        <v>0</v>
      </c>
      <c r="Y39" s="137">
        <v>0</v>
      </c>
      <c r="Z39" s="137">
        <v>0</v>
      </c>
    </row>
    <row r="40" spans="2:26" x14ac:dyDescent="0.2">
      <c r="B40" s="138">
        <v>41913</v>
      </c>
      <c r="C40" s="137">
        <v>0</v>
      </c>
      <c r="D40" s="137">
        <v>0</v>
      </c>
      <c r="E40" s="137">
        <v>0</v>
      </c>
      <c r="F40" s="137">
        <v>0</v>
      </c>
      <c r="G40" s="137">
        <v>0</v>
      </c>
      <c r="H40" s="137">
        <v>0</v>
      </c>
      <c r="I40" s="137">
        <v>0</v>
      </c>
      <c r="J40" s="137">
        <v>0</v>
      </c>
      <c r="K40" s="137">
        <v>0</v>
      </c>
      <c r="L40" s="137">
        <v>5</v>
      </c>
      <c r="M40" s="137">
        <v>4</v>
      </c>
      <c r="N40" s="137">
        <v>3</v>
      </c>
      <c r="O40" s="137">
        <v>0</v>
      </c>
      <c r="P40" s="137">
        <v>0</v>
      </c>
      <c r="Q40" s="137">
        <v>0</v>
      </c>
      <c r="R40" s="137">
        <v>0</v>
      </c>
      <c r="S40" s="137">
        <v>0</v>
      </c>
      <c r="T40" s="137">
        <v>0</v>
      </c>
      <c r="U40" s="137">
        <v>0</v>
      </c>
      <c r="V40" s="137">
        <v>0</v>
      </c>
      <c r="W40" s="137">
        <v>0</v>
      </c>
      <c r="X40" s="137">
        <v>0</v>
      </c>
      <c r="Y40" s="137">
        <v>0</v>
      </c>
      <c r="Z40" s="137">
        <v>0</v>
      </c>
    </row>
    <row r="41" spans="2:26" x14ac:dyDescent="0.2">
      <c r="B41" s="138">
        <v>41944</v>
      </c>
      <c r="C41" s="137">
        <v>0</v>
      </c>
      <c r="D41" s="137">
        <v>0</v>
      </c>
      <c r="E41" s="137">
        <v>0</v>
      </c>
      <c r="F41" s="137">
        <v>0</v>
      </c>
      <c r="G41" s="137">
        <v>0</v>
      </c>
      <c r="H41" s="137">
        <v>0</v>
      </c>
      <c r="I41" s="137">
        <v>0</v>
      </c>
      <c r="J41" s="137">
        <v>0</v>
      </c>
      <c r="K41" s="137">
        <v>0</v>
      </c>
      <c r="L41" s="137">
        <v>0</v>
      </c>
      <c r="M41" s="137">
        <v>5</v>
      </c>
      <c r="N41" s="137">
        <v>4</v>
      </c>
      <c r="O41" s="137">
        <v>0</v>
      </c>
      <c r="P41" s="137">
        <v>0</v>
      </c>
      <c r="Q41" s="137">
        <v>0</v>
      </c>
      <c r="R41" s="137">
        <v>0</v>
      </c>
      <c r="S41" s="137">
        <v>0</v>
      </c>
      <c r="T41" s="137">
        <v>0</v>
      </c>
      <c r="U41" s="137">
        <v>0</v>
      </c>
      <c r="V41" s="137">
        <v>0</v>
      </c>
      <c r="W41" s="137">
        <v>0</v>
      </c>
      <c r="X41" s="137">
        <v>0</v>
      </c>
      <c r="Y41" s="137">
        <v>0</v>
      </c>
      <c r="Z41" s="137">
        <v>0</v>
      </c>
    </row>
    <row r="42" spans="2:26" x14ac:dyDescent="0.2">
      <c r="B42" s="138">
        <v>41974</v>
      </c>
      <c r="C42" s="137">
        <v>0</v>
      </c>
      <c r="D42" s="137">
        <v>0</v>
      </c>
      <c r="E42" s="137">
        <v>0</v>
      </c>
      <c r="F42" s="137">
        <v>0</v>
      </c>
      <c r="G42" s="137">
        <v>0</v>
      </c>
      <c r="H42" s="137">
        <v>0</v>
      </c>
      <c r="I42" s="137">
        <v>0</v>
      </c>
      <c r="J42" s="137">
        <v>0</v>
      </c>
      <c r="K42" s="137">
        <v>0</v>
      </c>
      <c r="L42" s="137">
        <v>0</v>
      </c>
      <c r="M42" s="137">
        <v>0</v>
      </c>
      <c r="N42" s="137">
        <v>5</v>
      </c>
      <c r="O42" s="137">
        <v>0</v>
      </c>
      <c r="P42" s="137">
        <v>0</v>
      </c>
      <c r="Q42" s="137">
        <v>0</v>
      </c>
      <c r="R42" s="137">
        <v>0</v>
      </c>
      <c r="S42" s="137">
        <v>0</v>
      </c>
      <c r="T42" s="137">
        <v>0</v>
      </c>
      <c r="U42" s="137">
        <v>0</v>
      </c>
      <c r="V42" s="137">
        <v>0</v>
      </c>
      <c r="W42" s="137">
        <v>0</v>
      </c>
      <c r="X42" s="137">
        <v>0</v>
      </c>
      <c r="Y42" s="137">
        <v>0</v>
      </c>
      <c r="Z42" s="137">
        <v>0</v>
      </c>
    </row>
    <row r="43" spans="2:26" x14ac:dyDescent="0.2">
      <c r="B43" s="138">
        <v>42005</v>
      </c>
      <c r="C43" s="137">
        <v>0</v>
      </c>
      <c r="D43" s="137">
        <v>0</v>
      </c>
      <c r="E43" s="137">
        <v>0</v>
      </c>
      <c r="F43" s="137">
        <v>0</v>
      </c>
      <c r="G43" s="137">
        <v>0</v>
      </c>
      <c r="H43" s="137">
        <v>0</v>
      </c>
      <c r="I43" s="137">
        <v>0</v>
      </c>
      <c r="J43" s="137">
        <v>0</v>
      </c>
      <c r="K43" s="137">
        <v>0</v>
      </c>
      <c r="L43" s="137">
        <v>0</v>
      </c>
      <c r="M43" s="137">
        <v>0</v>
      </c>
      <c r="N43" s="137">
        <v>0</v>
      </c>
      <c r="O43" s="137">
        <v>0</v>
      </c>
      <c r="P43" s="137">
        <v>0</v>
      </c>
      <c r="Q43" s="137">
        <v>0</v>
      </c>
      <c r="R43" s="137">
        <v>0</v>
      </c>
      <c r="S43" s="137">
        <v>0</v>
      </c>
      <c r="T43" s="137">
        <v>0</v>
      </c>
      <c r="U43" s="137">
        <v>0</v>
      </c>
      <c r="V43" s="137">
        <v>0</v>
      </c>
      <c r="W43" s="137">
        <v>0</v>
      </c>
      <c r="X43" s="137">
        <v>0</v>
      </c>
      <c r="Y43" s="137">
        <v>0</v>
      </c>
      <c r="Z43" s="137">
        <v>0</v>
      </c>
    </row>
    <row r="44" spans="2:26" x14ac:dyDescent="0.2">
      <c r="B44" s="138">
        <v>42036</v>
      </c>
      <c r="C44" s="137">
        <v>0</v>
      </c>
      <c r="D44" s="137">
        <v>0</v>
      </c>
      <c r="E44" s="137">
        <v>0</v>
      </c>
      <c r="F44" s="137">
        <v>0</v>
      </c>
      <c r="G44" s="137">
        <v>0</v>
      </c>
      <c r="H44" s="137">
        <v>0</v>
      </c>
      <c r="I44" s="137">
        <v>0</v>
      </c>
      <c r="J44" s="137">
        <v>0</v>
      </c>
      <c r="K44" s="137">
        <v>0</v>
      </c>
      <c r="L44" s="137">
        <v>0</v>
      </c>
      <c r="M44" s="137">
        <v>0</v>
      </c>
      <c r="N44" s="137">
        <v>0</v>
      </c>
      <c r="O44" s="137">
        <v>0</v>
      </c>
      <c r="P44" s="137">
        <v>0</v>
      </c>
      <c r="Q44" s="137">
        <v>0</v>
      </c>
      <c r="R44" s="137">
        <v>0</v>
      </c>
      <c r="S44" s="137">
        <v>0</v>
      </c>
      <c r="T44" s="137">
        <v>0</v>
      </c>
      <c r="U44" s="137">
        <v>0</v>
      </c>
      <c r="V44" s="137">
        <v>0</v>
      </c>
      <c r="W44" s="137">
        <v>0</v>
      </c>
      <c r="X44" s="137">
        <v>0</v>
      </c>
      <c r="Y44" s="137">
        <v>0</v>
      </c>
      <c r="Z44" s="137">
        <v>0</v>
      </c>
    </row>
    <row r="45" spans="2:26" x14ac:dyDescent="0.2">
      <c r="B45" s="138">
        <v>42064</v>
      </c>
      <c r="C45" s="137">
        <v>0</v>
      </c>
      <c r="D45" s="137">
        <v>0</v>
      </c>
      <c r="E45" s="137">
        <v>0</v>
      </c>
      <c r="F45" s="137">
        <v>0</v>
      </c>
      <c r="G45" s="137">
        <v>0</v>
      </c>
      <c r="H45" s="137">
        <v>0</v>
      </c>
      <c r="I45" s="137">
        <v>0</v>
      </c>
      <c r="J45" s="137">
        <v>0</v>
      </c>
      <c r="K45" s="137">
        <v>0</v>
      </c>
      <c r="L45" s="137">
        <v>0</v>
      </c>
      <c r="M45" s="137">
        <v>0</v>
      </c>
      <c r="N45" s="137">
        <v>0</v>
      </c>
      <c r="O45" s="137">
        <v>0</v>
      </c>
      <c r="P45" s="137">
        <v>0</v>
      </c>
      <c r="Q45" s="137">
        <v>0</v>
      </c>
      <c r="R45" s="137">
        <v>0</v>
      </c>
      <c r="S45" s="137">
        <v>0</v>
      </c>
      <c r="T45" s="137">
        <v>0</v>
      </c>
      <c r="U45" s="137">
        <v>0</v>
      </c>
      <c r="V45" s="137">
        <v>0</v>
      </c>
      <c r="W45" s="137">
        <v>0</v>
      </c>
      <c r="X45" s="137">
        <v>0</v>
      </c>
      <c r="Y45" s="137">
        <v>0</v>
      </c>
      <c r="Z45" s="137">
        <v>0</v>
      </c>
    </row>
    <row r="46" spans="2:26" x14ac:dyDescent="0.2">
      <c r="B46" s="138">
        <v>42095</v>
      </c>
      <c r="C46" s="137">
        <v>0</v>
      </c>
      <c r="D46" s="137">
        <v>0</v>
      </c>
      <c r="E46" s="137">
        <v>0</v>
      </c>
      <c r="F46" s="137">
        <v>0</v>
      </c>
      <c r="G46" s="137">
        <v>0</v>
      </c>
      <c r="H46" s="137">
        <v>0</v>
      </c>
      <c r="I46" s="137">
        <v>0</v>
      </c>
      <c r="J46" s="137">
        <v>0</v>
      </c>
      <c r="K46" s="137">
        <v>0</v>
      </c>
      <c r="L46" s="137">
        <v>0</v>
      </c>
      <c r="M46" s="137">
        <v>0</v>
      </c>
      <c r="N46" s="137">
        <v>0</v>
      </c>
      <c r="O46" s="137">
        <v>0</v>
      </c>
      <c r="P46" s="137">
        <v>0</v>
      </c>
      <c r="Q46" s="137">
        <v>0</v>
      </c>
      <c r="R46" s="137">
        <v>0</v>
      </c>
      <c r="S46" s="137">
        <v>0</v>
      </c>
      <c r="T46" s="137">
        <v>0</v>
      </c>
      <c r="U46" s="137">
        <v>0</v>
      </c>
      <c r="V46" s="137">
        <v>0</v>
      </c>
      <c r="W46" s="137">
        <v>0</v>
      </c>
      <c r="X46" s="137">
        <v>0</v>
      </c>
      <c r="Y46" s="137">
        <v>0</v>
      </c>
      <c r="Z46" s="137">
        <v>0</v>
      </c>
    </row>
    <row r="47" spans="2:26" x14ac:dyDescent="0.2">
      <c r="B47" s="138">
        <v>42125</v>
      </c>
      <c r="C47" s="137">
        <v>0</v>
      </c>
      <c r="D47" s="137">
        <v>0</v>
      </c>
      <c r="E47" s="137">
        <v>0</v>
      </c>
      <c r="F47" s="137">
        <v>0</v>
      </c>
      <c r="G47" s="137">
        <v>0</v>
      </c>
      <c r="H47" s="137">
        <v>0</v>
      </c>
      <c r="I47" s="137">
        <v>0</v>
      </c>
      <c r="J47" s="137">
        <v>0</v>
      </c>
      <c r="K47" s="137">
        <v>0</v>
      </c>
      <c r="L47" s="137">
        <v>0</v>
      </c>
      <c r="M47" s="137">
        <v>0</v>
      </c>
      <c r="N47" s="137">
        <v>0</v>
      </c>
      <c r="O47" s="137">
        <v>0</v>
      </c>
      <c r="P47" s="137">
        <v>0</v>
      </c>
      <c r="Q47" s="137">
        <v>0</v>
      </c>
      <c r="R47" s="137">
        <v>0</v>
      </c>
      <c r="S47" s="137">
        <v>0</v>
      </c>
      <c r="T47" s="137">
        <v>0</v>
      </c>
      <c r="U47" s="137">
        <v>0</v>
      </c>
      <c r="V47" s="137">
        <v>0</v>
      </c>
      <c r="W47" s="137">
        <v>0</v>
      </c>
      <c r="X47" s="137">
        <v>0</v>
      </c>
      <c r="Y47" s="137">
        <v>0</v>
      </c>
      <c r="Z47" s="137">
        <v>0</v>
      </c>
    </row>
    <row r="48" spans="2:26" x14ac:dyDescent="0.2">
      <c r="B48" s="138">
        <v>42156</v>
      </c>
      <c r="C48" s="137">
        <v>0</v>
      </c>
      <c r="D48" s="137">
        <v>0</v>
      </c>
      <c r="E48" s="137">
        <v>0</v>
      </c>
      <c r="F48" s="137">
        <v>0</v>
      </c>
      <c r="G48" s="137">
        <v>0</v>
      </c>
      <c r="H48" s="137">
        <v>0</v>
      </c>
      <c r="I48" s="137">
        <v>0</v>
      </c>
      <c r="J48" s="137">
        <v>0</v>
      </c>
      <c r="K48" s="137">
        <v>0</v>
      </c>
      <c r="L48" s="137">
        <v>0</v>
      </c>
      <c r="M48" s="137">
        <v>0</v>
      </c>
      <c r="N48" s="137">
        <v>0</v>
      </c>
      <c r="O48" s="137">
        <v>0</v>
      </c>
      <c r="P48" s="137">
        <v>0</v>
      </c>
      <c r="Q48" s="137">
        <v>0</v>
      </c>
      <c r="R48" s="137">
        <v>0</v>
      </c>
      <c r="S48" s="137">
        <v>0</v>
      </c>
      <c r="T48" s="137">
        <v>0</v>
      </c>
      <c r="U48" s="137">
        <v>0</v>
      </c>
      <c r="V48" s="137">
        <v>0</v>
      </c>
      <c r="W48" s="137">
        <v>0</v>
      </c>
      <c r="X48" s="137">
        <v>0</v>
      </c>
      <c r="Y48" s="137">
        <v>0</v>
      </c>
      <c r="Z48" s="137">
        <v>0</v>
      </c>
    </row>
    <row r="49" spans="2:26" x14ac:dyDescent="0.2">
      <c r="B49" s="138">
        <v>42186</v>
      </c>
      <c r="C49" s="137">
        <v>0</v>
      </c>
      <c r="D49" s="137">
        <v>0</v>
      </c>
      <c r="E49" s="137">
        <v>0</v>
      </c>
      <c r="F49" s="137">
        <v>0</v>
      </c>
      <c r="G49" s="137">
        <v>0</v>
      </c>
      <c r="H49" s="137">
        <v>0</v>
      </c>
      <c r="I49" s="137">
        <v>0</v>
      </c>
      <c r="J49" s="137">
        <v>0</v>
      </c>
      <c r="K49" s="137">
        <v>0</v>
      </c>
      <c r="L49" s="137">
        <v>0</v>
      </c>
      <c r="M49" s="137">
        <v>0</v>
      </c>
      <c r="N49" s="137">
        <v>0</v>
      </c>
      <c r="O49" s="137">
        <v>0</v>
      </c>
      <c r="P49" s="137">
        <v>0</v>
      </c>
      <c r="Q49" s="137">
        <v>0</v>
      </c>
      <c r="R49" s="137">
        <v>0</v>
      </c>
      <c r="S49" s="137">
        <v>0</v>
      </c>
      <c r="T49" s="137">
        <v>0</v>
      </c>
      <c r="U49" s="137">
        <v>0</v>
      </c>
      <c r="V49" s="137">
        <v>0</v>
      </c>
      <c r="W49" s="137">
        <v>0</v>
      </c>
      <c r="X49" s="137">
        <v>0</v>
      </c>
      <c r="Y49" s="137">
        <v>0</v>
      </c>
      <c r="Z49" s="137">
        <v>0</v>
      </c>
    </row>
    <row r="50" spans="2:26" x14ac:dyDescent="0.2">
      <c r="B50" s="138">
        <v>42217</v>
      </c>
      <c r="C50" s="137">
        <v>0</v>
      </c>
      <c r="D50" s="137">
        <v>0</v>
      </c>
      <c r="E50" s="137">
        <v>0</v>
      </c>
      <c r="F50" s="137">
        <v>0</v>
      </c>
      <c r="G50" s="137">
        <v>0</v>
      </c>
      <c r="H50" s="137">
        <v>0</v>
      </c>
      <c r="I50" s="137">
        <v>0</v>
      </c>
      <c r="J50" s="137">
        <v>0</v>
      </c>
      <c r="K50" s="137">
        <v>0</v>
      </c>
      <c r="L50" s="137">
        <v>0</v>
      </c>
      <c r="M50" s="137">
        <v>0</v>
      </c>
      <c r="N50" s="137">
        <v>0</v>
      </c>
      <c r="O50" s="137">
        <v>0</v>
      </c>
      <c r="P50" s="137">
        <v>0</v>
      </c>
      <c r="Q50" s="137">
        <v>0</v>
      </c>
      <c r="R50" s="137">
        <v>0</v>
      </c>
      <c r="S50" s="137">
        <v>0</v>
      </c>
      <c r="T50" s="137">
        <v>0</v>
      </c>
      <c r="U50" s="137">
        <v>0</v>
      </c>
      <c r="V50" s="137">
        <v>0</v>
      </c>
      <c r="W50" s="137">
        <v>0</v>
      </c>
      <c r="X50" s="137">
        <v>0</v>
      </c>
      <c r="Y50" s="137">
        <v>0</v>
      </c>
      <c r="Z50" s="137">
        <v>0</v>
      </c>
    </row>
    <row r="51" spans="2:26" x14ac:dyDescent="0.2">
      <c r="B51" s="138">
        <v>42248</v>
      </c>
      <c r="C51" s="137">
        <v>0</v>
      </c>
      <c r="D51" s="137">
        <v>0</v>
      </c>
      <c r="E51" s="137">
        <v>0</v>
      </c>
      <c r="F51" s="137">
        <v>0</v>
      </c>
      <c r="G51" s="137">
        <v>0</v>
      </c>
      <c r="H51" s="137">
        <v>0</v>
      </c>
      <c r="I51" s="137">
        <v>0</v>
      </c>
      <c r="J51" s="137">
        <v>0</v>
      </c>
      <c r="K51" s="137">
        <v>0</v>
      </c>
      <c r="L51" s="137">
        <v>0</v>
      </c>
      <c r="M51" s="137">
        <v>0</v>
      </c>
      <c r="N51" s="137">
        <v>0</v>
      </c>
      <c r="O51" s="137">
        <v>0</v>
      </c>
      <c r="P51" s="137">
        <v>0</v>
      </c>
      <c r="Q51" s="137">
        <v>0</v>
      </c>
      <c r="R51" s="137">
        <v>0</v>
      </c>
      <c r="S51" s="137">
        <v>0</v>
      </c>
      <c r="T51" s="137">
        <v>0</v>
      </c>
      <c r="U51" s="137">
        <v>0</v>
      </c>
      <c r="V51" s="137">
        <v>0</v>
      </c>
      <c r="W51" s="137">
        <v>0</v>
      </c>
      <c r="X51" s="137">
        <v>0</v>
      </c>
      <c r="Y51" s="137">
        <v>0</v>
      </c>
      <c r="Z51" s="137">
        <v>0</v>
      </c>
    </row>
    <row r="52" spans="2:26" x14ac:dyDescent="0.2">
      <c r="B52" s="138">
        <v>42278</v>
      </c>
      <c r="C52" s="137">
        <v>0</v>
      </c>
      <c r="D52" s="137">
        <v>0</v>
      </c>
      <c r="E52" s="137">
        <v>0</v>
      </c>
      <c r="F52" s="137">
        <v>0</v>
      </c>
      <c r="G52" s="137">
        <v>0</v>
      </c>
      <c r="H52" s="137">
        <v>0</v>
      </c>
      <c r="I52" s="137">
        <v>0</v>
      </c>
      <c r="J52" s="137">
        <v>0</v>
      </c>
      <c r="K52" s="137">
        <v>0</v>
      </c>
      <c r="L52" s="137">
        <v>0</v>
      </c>
      <c r="M52" s="137">
        <v>0</v>
      </c>
      <c r="N52" s="137">
        <v>0</v>
      </c>
      <c r="O52" s="137">
        <v>0</v>
      </c>
      <c r="P52" s="137">
        <v>0</v>
      </c>
      <c r="Q52" s="137">
        <v>0</v>
      </c>
      <c r="R52" s="137">
        <v>0</v>
      </c>
      <c r="S52" s="137">
        <v>0</v>
      </c>
      <c r="T52" s="137">
        <v>0</v>
      </c>
      <c r="U52" s="137">
        <v>0</v>
      </c>
      <c r="V52" s="137">
        <v>0</v>
      </c>
      <c r="W52" s="137">
        <v>0</v>
      </c>
      <c r="X52" s="137">
        <v>0</v>
      </c>
      <c r="Y52" s="137">
        <v>0</v>
      </c>
      <c r="Z52" s="137">
        <v>0</v>
      </c>
    </row>
    <row r="53" spans="2:26" x14ac:dyDescent="0.2">
      <c r="B53" s="138">
        <v>42309</v>
      </c>
      <c r="C53" s="137">
        <v>0</v>
      </c>
      <c r="D53" s="137">
        <v>0</v>
      </c>
      <c r="E53" s="137">
        <v>0</v>
      </c>
      <c r="F53" s="137">
        <v>0</v>
      </c>
      <c r="G53" s="137">
        <v>0</v>
      </c>
      <c r="H53" s="137">
        <v>0</v>
      </c>
      <c r="I53" s="137">
        <v>0</v>
      </c>
      <c r="J53" s="137">
        <v>0</v>
      </c>
      <c r="K53" s="137">
        <v>0</v>
      </c>
      <c r="L53" s="137">
        <v>0</v>
      </c>
      <c r="M53" s="137">
        <v>0</v>
      </c>
      <c r="N53" s="137">
        <v>0</v>
      </c>
      <c r="O53" s="137">
        <v>0</v>
      </c>
      <c r="P53" s="137">
        <v>0</v>
      </c>
      <c r="Q53" s="137">
        <v>0</v>
      </c>
      <c r="R53" s="137">
        <v>0</v>
      </c>
      <c r="S53" s="137">
        <v>0</v>
      </c>
      <c r="T53" s="137">
        <v>0</v>
      </c>
      <c r="U53" s="137">
        <v>0</v>
      </c>
      <c r="V53" s="137">
        <v>0</v>
      </c>
      <c r="W53" s="137">
        <v>0</v>
      </c>
      <c r="X53" s="137">
        <v>0</v>
      </c>
      <c r="Y53" s="137">
        <v>0</v>
      </c>
      <c r="Z53" s="137">
        <v>0</v>
      </c>
    </row>
    <row r="54" spans="2:26" x14ac:dyDescent="0.2">
      <c r="B54" s="138">
        <v>42339</v>
      </c>
      <c r="C54" s="137">
        <v>0</v>
      </c>
      <c r="D54" s="137">
        <v>0</v>
      </c>
      <c r="E54" s="137">
        <v>0</v>
      </c>
      <c r="F54" s="137">
        <v>0</v>
      </c>
      <c r="G54" s="137">
        <v>0</v>
      </c>
      <c r="H54" s="137">
        <v>0</v>
      </c>
      <c r="I54" s="137">
        <v>0</v>
      </c>
      <c r="J54" s="137">
        <v>0</v>
      </c>
      <c r="K54" s="137">
        <v>0</v>
      </c>
      <c r="L54" s="137">
        <v>0</v>
      </c>
      <c r="M54" s="137">
        <v>0</v>
      </c>
      <c r="N54" s="137">
        <v>0</v>
      </c>
      <c r="O54" s="137">
        <v>0</v>
      </c>
      <c r="P54" s="137">
        <v>0</v>
      </c>
      <c r="Q54" s="137">
        <v>0</v>
      </c>
      <c r="R54" s="137">
        <v>0</v>
      </c>
      <c r="S54" s="137">
        <v>0</v>
      </c>
      <c r="T54" s="137">
        <v>0</v>
      </c>
      <c r="U54" s="137">
        <v>0</v>
      </c>
      <c r="V54" s="137">
        <v>0</v>
      </c>
      <c r="W54" s="137">
        <v>0</v>
      </c>
      <c r="X54" s="137">
        <v>0</v>
      </c>
      <c r="Y54" s="137">
        <v>0</v>
      </c>
      <c r="Z54" s="137">
        <v>0</v>
      </c>
    </row>
    <row r="55" spans="2:26" x14ac:dyDescent="0.2">
      <c r="B55" s="135" t="s">
        <v>175</v>
      </c>
      <c r="C55" s="139">
        <f t="shared" ref="C55:Z55" si="4">SUM(C27:C54)</f>
        <v>15</v>
      </c>
      <c r="D55" s="139">
        <f t="shared" si="4"/>
        <v>15</v>
      </c>
      <c r="E55" s="139">
        <f t="shared" si="4"/>
        <v>15</v>
      </c>
      <c r="F55" s="139">
        <f t="shared" si="4"/>
        <v>15</v>
      </c>
      <c r="G55" s="139">
        <f t="shared" si="4"/>
        <v>15</v>
      </c>
      <c r="H55" s="139">
        <f t="shared" si="4"/>
        <v>15</v>
      </c>
      <c r="I55" s="139">
        <f t="shared" si="4"/>
        <v>15</v>
      </c>
      <c r="J55" s="139">
        <f t="shared" si="4"/>
        <v>15</v>
      </c>
      <c r="K55" s="139">
        <f t="shared" si="4"/>
        <v>15</v>
      </c>
      <c r="L55" s="139">
        <f t="shared" si="4"/>
        <v>15</v>
      </c>
      <c r="M55" s="139">
        <f t="shared" si="4"/>
        <v>15</v>
      </c>
      <c r="N55" s="139">
        <f t="shared" si="4"/>
        <v>15</v>
      </c>
      <c r="O55" s="139">
        <f t="shared" si="4"/>
        <v>0</v>
      </c>
      <c r="P55" s="139">
        <f t="shared" si="4"/>
        <v>0</v>
      </c>
      <c r="Q55" s="139">
        <f t="shared" si="4"/>
        <v>0</v>
      </c>
      <c r="R55" s="139">
        <f t="shared" si="4"/>
        <v>0</v>
      </c>
      <c r="S55" s="139">
        <f t="shared" si="4"/>
        <v>0</v>
      </c>
      <c r="T55" s="139">
        <f t="shared" si="4"/>
        <v>0</v>
      </c>
      <c r="U55" s="139">
        <f t="shared" si="4"/>
        <v>0</v>
      </c>
      <c r="V55" s="139">
        <f t="shared" si="4"/>
        <v>0</v>
      </c>
      <c r="W55" s="139">
        <f t="shared" si="4"/>
        <v>0</v>
      </c>
      <c r="X55" s="139">
        <f t="shared" si="4"/>
        <v>0</v>
      </c>
      <c r="Y55" s="139">
        <f t="shared" si="4"/>
        <v>0</v>
      </c>
      <c r="Z55" s="139">
        <f t="shared" si="4"/>
        <v>0</v>
      </c>
    </row>
  </sheetData>
  <sortState xmlns:xlrd2="http://schemas.microsoft.com/office/spreadsheetml/2017/richdata2" ref="B16:C23">
    <sortCondition ref="B16"/>
  </sortState>
  <pageMargins left="0.7" right="0.7" top="0.75" bottom="0.75" header="0.3" footer="0.3"/>
  <pageSetup scale="2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3">
    <pageSetUpPr fitToPage="1"/>
  </sheetPr>
  <dimension ref="A1:AR11"/>
  <sheetViews>
    <sheetView zoomScaleNormal="100" workbookViewId="0">
      <pane ySplit="4" topLeftCell="A5" activePane="bottomLeft" state="frozen"/>
      <selection activeCell="G23" sqref="G23"/>
      <selection pane="bottomLeft"/>
    </sheetView>
  </sheetViews>
  <sheetFormatPr baseColWidth="10" defaultColWidth="8.83203125" defaultRowHeight="15" x14ac:dyDescent="0.2"/>
  <cols>
    <col min="1" max="1" width="2" customWidth="1"/>
    <col min="2" max="2" width="31.6640625" customWidth="1"/>
    <col min="3" max="3" width="11.33203125" bestFit="1" customWidth="1"/>
    <col min="4" max="4" width="7" bestFit="1" customWidth="1"/>
    <col min="5" max="5" width="7.5" bestFit="1" customWidth="1"/>
    <col min="6" max="6" width="6" bestFit="1" customWidth="1"/>
    <col min="7" max="7" width="6.5" bestFit="1" customWidth="1"/>
    <col min="8" max="8" width="6.6640625" bestFit="1" customWidth="1"/>
    <col min="9" max="9" width="6.5" bestFit="1" customWidth="1"/>
    <col min="10" max="10" width="6.83203125" bestFit="1" customWidth="1"/>
    <col min="11" max="12" width="6.1640625" bestFit="1" customWidth="1"/>
    <col min="13" max="14" width="6.5" bestFit="1" customWidth="1"/>
    <col min="15" max="15" width="6.33203125" bestFit="1" customWidth="1"/>
    <col min="16" max="16" width="6.6640625" bestFit="1" customWidth="1"/>
    <col min="17" max="17" width="6.5" bestFit="1" customWidth="1"/>
    <col min="18" max="18" width="6.1640625" bestFit="1" customWidth="1"/>
    <col min="19" max="19" width="6.5" bestFit="1" customWidth="1"/>
    <col min="20" max="20" width="6.6640625" bestFit="1" customWidth="1"/>
    <col min="21" max="21" width="6.5" bestFit="1" customWidth="1"/>
    <col min="22" max="22" width="6.83203125" bestFit="1" customWidth="1"/>
    <col min="23" max="23" width="6.1640625" bestFit="1" customWidth="1"/>
    <col min="24" max="24" width="5.6640625" bestFit="1" customWidth="1"/>
    <col min="25" max="26" width="6.5" bestFit="1" customWidth="1"/>
    <col min="27" max="27" width="6.33203125" bestFit="1" customWidth="1"/>
    <col min="28" max="28" width="6.6640625" bestFit="1" customWidth="1"/>
    <col min="29" max="29" width="6.5" bestFit="1" customWidth="1"/>
  </cols>
  <sheetData>
    <row r="1" spans="1:44" ht="19" x14ac:dyDescent="0.25">
      <c r="B1" s="16" t="s">
        <v>314</v>
      </c>
      <c r="C1" s="16"/>
      <c r="D1" s="16"/>
    </row>
    <row r="2" spans="1:44" x14ac:dyDescent="0.2">
      <c r="A2" s="24"/>
      <c r="B2" s="24" t="s">
        <v>304</v>
      </c>
      <c r="C2" s="24"/>
      <c r="D2" s="2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</row>
    <row r="3" spans="1:44" x14ac:dyDescent="0.2">
      <c r="A3" s="24"/>
      <c r="E3" s="2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</row>
    <row r="4" spans="1:44" x14ac:dyDescent="0.2">
      <c r="A4" s="24"/>
      <c r="B4" s="60" t="s">
        <v>129</v>
      </c>
      <c r="C4" s="60" t="s">
        <v>311</v>
      </c>
      <c r="D4" s="60" t="s">
        <v>217</v>
      </c>
      <c r="E4" s="120" t="s">
        <v>216</v>
      </c>
      <c r="F4" s="107">
        <v>41640</v>
      </c>
      <c r="G4" s="107">
        <v>41671</v>
      </c>
      <c r="H4" s="107">
        <v>41699</v>
      </c>
      <c r="I4" s="107">
        <v>41730</v>
      </c>
      <c r="J4" s="107">
        <v>41760</v>
      </c>
      <c r="K4" s="107">
        <v>41791</v>
      </c>
      <c r="L4" s="107">
        <v>41821</v>
      </c>
      <c r="M4" s="107">
        <v>41852</v>
      </c>
      <c r="N4" s="107">
        <v>41883</v>
      </c>
      <c r="O4" s="107">
        <v>41913</v>
      </c>
      <c r="P4" s="107">
        <v>41944</v>
      </c>
      <c r="Q4" s="107">
        <v>41974</v>
      </c>
      <c r="R4" s="107">
        <v>42005</v>
      </c>
      <c r="S4" s="107">
        <v>42036</v>
      </c>
      <c r="T4" s="107">
        <v>42064</v>
      </c>
      <c r="U4" s="107">
        <v>42095</v>
      </c>
      <c r="V4" s="107">
        <v>42125</v>
      </c>
      <c r="W4" s="107">
        <v>42156</v>
      </c>
      <c r="X4" s="107">
        <v>42186</v>
      </c>
      <c r="Y4" s="107">
        <v>42217</v>
      </c>
      <c r="Z4" s="107">
        <v>42248</v>
      </c>
      <c r="AA4" s="107">
        <v>42278</v>
      </c>
      <c r="AB4" s="107">
        <v>42309</v>
      </c>
      <c r="AC4" s="107">
        <v>42339</v>
      </c>
    </row>
    <row r="5" spans="1:44" x14ac:dyDescent="0.2">
      <c r="A5" s="56"/>
      <c r="B5" s="24" t="s">
        <v>305</v>
      </c>
      <c r="C5" s="24" t="s">
        <v>312</v>
      </c>
      <c r="D5" s="34">
        <v>41640</v>
      </c>
      <c r="E5" s="161">
        <f>SUM(F5:AD5)</f>
        <v>1000</v>
      </c>
      <c r="F5" s="102">
        <v>0</v>
      </c>
      <c r="G5" s="102">
        <v>0</v>
      </c>
      <c r="H5" s="102">
        <v>500</v>
      </c>
      <c r="I5" s="102">
        <v>0</v>
      </c>
      <c r="J5" s="102">
        <v>0</v>
      </c>
      <c r="K5" s="102">
        <v>500</v>
      </c>
      <c r="L5" s="102">
        <v>0</v>
      </c>
      <c r="M5" s="102">
        <v>0</v>
      </c>
      <c r="N5" s="102">
        <v>0</v>
      </c>
      <c r="O5" s="102">
        <v>0</v>
      </c>
      <c r="P5" s="102">
        <v>0</v>
      </c>
      <c r="Q5" s="102">
        <v>0</v>
      </c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</row>
    <row r="6" spans="1:44" x14ac:dyDescent="0.2">
      <c r="A6" s="56"/>
      <c r="B6" s="24" t="s">
        <v>306</v>
      </c>
      <c r="C6" s="24" t="s">
        <v>312</v>
      </c>
      <c r="D6" s="34">
        <v>41699</v>
      </c>
      <c r="E6" s="161">
        <f t="shared" ref="E6:E9" si="0">SUM(F6:AD6)</f>
        <v>1200</v>
      </c>
      <c r="F6" s="102"/>
      <c r="G6" s="102"/>
      <c r="H6" s="102">
        <v>0</v>
      </c>
      <c r="I6" s="102">
        <v>0</v>
      </c>
      <c r="J6" s="102">
        <v>600</v>
      </c>
      <c r="K6" s="102">
        <v>0</v>
      </c>
      <c r="L6" s="102">
        <v>0</v>
      </c>
      <c r="M6" s="102">
        <v>600</v>
      </c>
      <c r="N6" s="102">
        <v>0</v>
      </c>
      <c r="O6" s="102">
        <v>0</v>
      </c>
      <c r="P6" s="102">
        <v>0</v>
      </c>
      <c r="Q6" s="102">
        <v>0</v>
      </c>
      <c r="R6" s="159">
        <v>0</v>
      </c>
      <c r="S6" s="159">
        <v>0</v>
      </c>
      <c r="T6" s="158"/>
      <c r="U6" s="158"/>
      <c r="V6" s="158"/>
      <c r="W6" s="158"/>
      <c r="X6" s="158"/>
      <c r="Y6" s="158"/>
      <c r="Z6" s="158"/>
      <c r="AA6" s="158"/>
      <c r="AB6" s="158"/>
      <c r="AC6" s="158"/>
    </row>
    <row r="7" spans="1:44" x14ac:dyDescent="0.2">
      <c r="A7" s="56"/>
      <c r="B7" s="24" t="s">
        <v>307</v>
      </c>
      <c r="C7" s="24" t="s">
        <v>313</v>
      </c>
      <c r="D7" s="34">
        <v>41760</v>
      </c>
      <c r="E7" s="161">
        <f t="shared" si="0"/>
        <v>1900</v>
      </c>
      <c r="F7" s="102"/>
      <c r="G7" s="102"/>
      <c r="H7" s="102"/>
      <c r="I7" s="102"/>
      <c r="J7" s="102">
        <v>0</v>
      </c>
      <c r="K7" s="102">
        <v>0</v>
      </c>
      <c r="L7" s="102">
        <v>700</v>
      </c>
      <c r="M7" s="102">
        <v>0</v>
      </c>
      <c r="N7" s="102">
        <v>0</v>
      </c>
      <c r="O7" s="102">
        <v>700</v>
      </c>
      <c r="P7" s="102">
        <v>0</v>
      </c>
      <c r="Q7" s="102">
        <v>0</v>
      </c>
      <c r="R7" s="159">
        <v>500</v>
      </c>
      <c r="S7" s="159">
        <v>0</v>
      </c>
      <c r="T7" s="159">
        <v>0</v>
      </c>
      <c r="U7" s="159">
        <v>0</v>
      </c>
      <c r="V7" s="158"/>
      <c r="W7" s="158"/>
      <c r="X7" s="158"/>
      <c r="Y7" s="158"/>
      <c r="Z7" s="158"/>
      <c r="AA7" s="158"/>
      <c r="AB7" s="158"/>
      <c r="AC7" s="158"/>
    </row>
    <row r="8" spans="1:44" x14ac:dyDescent="0.2">
      <c r="A8" s="56"/>
      <c r="B8" s="24" t="s">
        <v>308</v>
      </c>
      <c r="C8" s="24" t="s">
        <v>313</v>
      </c>
      <c r="D8" s="34">
        <v>41821</v>
      </c>
      <c r="E8" s="161">
        <f t="shared" si="0"/>
        <v>2000</v>
      </c>
      <c r="F8" s="102"/>
      <c r="G8" s="102"/>
      <c r="H8" s="102"/>
      <c r="I8" s="102"/>
      <c r="J8" s="102"/>
      <c r="K8" s="102"/>
      <c r="L8" s="102">
        <v>0</v>
      </c>
      <c r="M8" s="102">
        <v>0</v>
      </c>
      <c r="N8" s="102">
        <v>800</v>
      </c>
      <c r="O8" s="102">
        <v>0</v>
      </c>
      <c r="P8" s="102">
        <v>0</v>
      </c>
      <c r="Q8" s="102">
        <v>800</v>
      </c>
      <c r="R8" s="159">
        <v>0</v>
      </c>
      <c r="S8" s="159">
        <v>0</v>
      </c>
      <c r="T8" s="159">
        <v>0</v>
      </c>
      <c r="U8" s="159">
        <v>400</v>
      </c>
      <c r="V8" s="159">
        <v>0</v>
      </c>
      <c r="W8" s="159">
        <v>0</v>
      </c>
      <c r="X8" s="158"/>
      <c r="Y8" s="158"/>
      <c r="Z8" s="158"/>
      <c r="AA8" s="158"/>
      <c r="AB8" s="158"/>
      <c r="AC8" s="158"/>
    </row>
    <row r="9" spans="1:44" x14ac:dyDescent="0.2">
      <c r="A9" s="56"/>
      <c r="B9" s="24" t="s">
        <v>309</v>
      </c>
      <c r="C9" s="24" t="s">
        <v>312</v>
      </c>
      <c r="D9" s="34">
        <v>41883</v>
      </c>
      <c r="E9" s="161">
        <f t="shared" si="0"/>
        <v>2100</v>
      </c>
      <c r="F9" s="102"/>
      <c r="G9" s="102"/>
      <c r="H9" s="102"/>
      <c r="I9" s="102"/>
      <c r="J9" s="102"/>
      <c r="K9" s="102"/>
      <c r="L9" s="102"/>
      <c r="M9" s="102"/>
      <c r="N9" s="102">
        <v>0</v>
      </c>
      <c r="O9" s="102">
        <v>0</v>
      </c>
      <c r="P9" s="102">
        <v>900</v>
      </c>
      <c r="Q9" s="102">
        <v>0</v>
      </c>
      <c r="R9" s="159">
        <v>0</v>
      </c>
      <c r="S9" s="159">
        <v>900</v>
      </c>
      <c r="T9" s="159">
        <v>0</v>
      </c>
      <c r="U9" s="159">
        <v>0</v>
      </c>
      <c r="V9" s="159">
        <v>0</v>
      </c>
      <c r="W9" s="159">
        <v>300</v>
      </c>
      <c r="X9" s="159">
        <v>0</v>
      </c>
      <c r="Y9" s="159">
        <v>0</v>
      </c>
      <c r="Z9" s="158"/>
      <c r="AA9" s="158"/>
      <c r="AB9" s="158"/>
      <c r="AC9" s="158"/>
    </row>
    <row r="10" spans="1:44" x14ac:dyDescent="0.2">
      <c r="A10" s="24"/>
      <c r="B10" s="38" t="s">
        <v>167</v>
      </c>
      <c r="C10" s="38"/>
      <c r="D10" s="38"/>
      <c r="E10" s="160">
        <f t="shared" ref="E10:AC10" si="1">SUM(E5:E9)</f>
        <v>8200</v>
      </c>
      <c r="F10" s="160">
        <f t="shared" si="1"/>
        <v>0</v>
      </c>
      <c r="G10" s="160">
        <f t="shared" si="1"/>
        <v>0</v>
      </c>
      <c r="H10" s="160">
        <f t="shared" si="1"/>
        <v>500</v>
      </c>
      <c r="I10" s="160">
        <f t="shared" si="1"/>
        <v>0</v>
      </c>
      <c r="J10" s="160">
        <f t="shared" si="1"/>
        <v>600</v>
      </c>
      <c r="K10" s="160">
        <f t="shared" si="1"/>
        <v>500</v>
      </c>
      <c r="L10" s="160">
        <f t="shared" si="1"/>
        <v>700</v>
      </c>
      <c r="M10" s="160">
        <f t="shared" si="1"/>
        <v>600</v>
      </c>
      <c r="N10" s="160">
        <f t="shared" si="1"/>
        <v>800</v>
      </c>
      <c r="O10" s="160">
        <f t="shared" si="1"/>
        <v>700</v>
      </c>
      <c r="P10" s="160">
        <f t="shared" si="1"/>
        <v>900</v>
      </c>
      <c r="Q10" s="160">
        <f t="shared" si="1"/>
        <v>800</v>
      </c>
      <c r="R10" s="160">
        <f t="shared" si="1"/>
        <v>500</v>
      </c>
      <c r="S10" s="160">
        <f t="shared" si="1"/>
        <v>900</v>
      </c>
      <c r="T10" s="160">
        <f t="shared" si="1"/>
        <v>0</v>
      </c>
      <c r="U10" s="160">
        <f t="shared" si="1"/>
        <v>400</v>
      </c>
      <c r="V10" s="160">
        <f t="shared" si="1"/>
        <v>0</v>
      </c>
      <c r="W10" s="160">
        <f t="shared" si="1"/>
        <v>300</v>
      </c>
      <c r="X10" s="160">
        <f t="shared" si="1"/>
        <v>0</v>
      </c>
      <c r="Y10" s="160">
        <f t="shared" si="1"/>
        <v>0</v>
      </c>
      <c r="Z10" s="160">
        <f t="shared" si="1"/>
        <v>0</v>
      </c>
      <c r="AA10" s="160">
        <f t="shared" si="1"/>
        <v>0</v>
      </c>
      <c r="AB10" s="160">
        <f t="shared" si="1"/>
        <v>0</v>
      </c>
      <c r="AC10" s="160">
        <f t="shared" si="1"/>
        <v>0</v>
      </c>
    </row>
    <row r="11" spans="1:44" x14ac:dyDescent="0.2">
      <c r="A11" s="24"/>
      <c r="B11" s="24" t="s">
        <v>225</v>
      </c>
      <c r="C11" s="24"/>
      <c r="D11" s="24"/>
      <c r="E11" s="24"/>
    </row>
  </sheetData>
  <pageMargins left="0.7" right="0.7" top="0.75" bottom="0.75" header="0.3" footer="0.3"/>
  <pageSetup scale="3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Z49"/>
  <sheetViews>
    <sheetView zoomScaleNormal="100" workbookViewId="0">
      <selection activeCell="C24" sqref="C24"/>
    </sheetView>
  </sheetViews>
  <sheetFormatPr baseColWidth="10" defaultColWidth="8.83203125" defaultRowHeight="15" x14ac:dyDescent="0.2"/>
  <cols>
    <col min="1" max="1" width="2" customWidth="1"/>
    <col min="2" max="2" width="27.83203125" bestFit="1" customWidth="1"/>
    <col min="3" max="26" width="7.5" bestFit="1" customWidth="1"/>
  </cols>
  <sheetData>
    <row r="1" spans="1:26" ht="19" x14ac:dyDescent="0.25">
      <c r="B1" s="16" t="s">
        <v>172</v>
      </c>
      <c r="D1" s="121" t="s">
        <v>226</v>
      </c>
      <c r="E1" s="122" t="s">
        <v>122</v>
      </c>
      <c r="F1" s="122" t="s">
        <v>13</v>
      </c>
      <c r="G1" s="123" t="s">
        <v>192</v>
      </c>
    </row>
    <row r="2" spans="1:26" x14ac:dyDescent="0.2">
      <c r="D2" s="124">
        <f ca="1">PL!AD5/1000</f>
        <v>387.84337999999997</v>
      </c>
      <c r="E2" s="125">
        <f ca="1">PL!AD7/1000</f>
        <v>312.13275327999997</v>
      </c>
      <c r="F2" s="125">
        <f ca="1">PL!AD35/1000</f>
        <v>127.69275327999995</v>
      </c>
      <c r="G2" s="152">
        <f ca="1">MIN(CF!O30:Z30)/1000</f>
        <v>142.00622451808457</v>
      </c>
    </row>
    <row r="3" spans="1:26" x14ac:dyDescent="0.2">
      <c r="B3" s="7" t="s">
        <v>130</v>
      </c>
    </row>
    <row r="4" spans="1:26" x14ac:dyDescent="0.2">
      <c r="C4" s="23">
        <v>41640</v>
      </c>
      <c r="D4" s="23">
        <v>41671</v>
      </c>
      <c r="E4" s="23">
        <v>41699</v>
      </c>
      <c r="F4" s="23">
        <v>41730</v>
      </c>
      <c r="G4" s="23">
        <v>41760</v>
      </c>
      <c r="H4" s="23">
        <v>41791</v>
      </c>
      <c r="I4" s="23">
        <v>41821</v>
      </c>
      <c r="J4" s="23">
        <v>41852</v>
      </c>
      <c r="K4" s="23">
        <v>41883</v>
      </c>
      <c r="L4" s="23">
        <v>41913</v>
      </c>
      <c r="M4" s="23">
        <v>41944</v>
      </c>
      <c r="N4" s="23">
        <v>41974</v>
      </c>
      <c r="O4" s="23">
        <v>42005</v>
      </c>
      <c r="P4" s="23">
        <v>42036</v>
      </c>
      <c r="Q4" s="23">
        <v>42064</v>
      </c>
      <c r="R4" s="23">
        <v>42095</v>
      </c>
      <c r="S4" s="23">
        <v>42125</v>
      </c>
      <c r="T4" s="23">
        <v>42156</v>
      </c>
      <c r="U4" s="23">
        <v>42186</v>
      </c>
      <c r="V4" s="23">
        <v>42217</v>
      </c>
      <c r="W4" s="23">
        <v>42248</v>
      </c>
      <c r="X4" s="23">
        <v>42278</v>
      </c>
      <c r="Y4" s="23">
        <v>42309</v>
      </c>
      <c r="Z4" s="23">
        <v>42339</v>
      </c>
    </row>
    <row r="5" spans="1:26" s="24" customFormat="1" x14ac:dyDescent="0.2">
      <c r="A5"/>
      <c r="B5" s="24" t="s">
        <v>218</v>
      </c>
      <c r="C5" s="104">
        <v>0.8</v>
      </c>
      <c r="D5" s="104">
        <v>0.8</v>
      </c>
      <c r="E5" s="104">
        <v>0.8</v>
      </c>
      <c r="F5" s="104">
        <v>0.8</v>
      </c>
      <c r="G5" s="104">
        <v>0.8</v>
      </c>
      <c r="H5" s="104">
        <v>0.8</v>
      </c>
      <c r="I5" s="104">
        <v>0.8</v>
      </c>
      <c r="J5" s="104">
        <v>0.8</v>
      </c>
      <c r="K5" s="104">
        <v>0.8</v>
      </c>
      <c r="L5" s="104">
        <v>0.8</v>
      </c>
      <c r="M5" s="104">
        <v>0.8</v>
      </c>
      <c r="N5" s="104">
        <v>0.8</v>
      </c>
      <c r="O5" s="26">
        <v>0.8</v>
      </c>
      <c r="P5" s="26">
        <v>0.8</v>
      </c>
      <c r="Q5" s="26">
        <v>0.8</v>
      </c>
      <c r="R5" s="26">
        <v>0.8</v>
      </c>
      <c r="S5" s="26">
        <v>0.8</v>
      </c>
      <c r="T5" s="26">
        <v>0.8</v>
      </c>
      <c r="U5" s="26">
        <v>0.8</v>
      </c>
      <c r="V5" s="26">
        <v>0.8</v>
      </c>
      <c r="W5" s="26">
        <v>0.8</v>
      </c>
      <c r="X5" s="26">
        <v>0.8</v>
      </c>
      <c r="Y5" s="26">
        <v>0.8</v>
      </c>
      <c r="Z5" s="26">
        <v>0.8</v>
      </c>
    </row>
    <row r="6" spans="1:26" s="24" customFormat="1" x14ac:dyDescent="0.2">
      <c r="A6"/>
    </row>
    <row r="7" spans="1:26" s="24" customFormat="1" x14ac:dyDescent="0.2">
      <c r="A7"/>
      <c r="B7" s="7" t="s">
        <v>252</v>
      </c>
    </row>
    <row r="8" spans="1:26" s="24" customFormat="1" x14ac:dyDescent="0.2">
      <c r="A8"/>
      <c r="B8" s="24" t="s">
        <v>219</v>
      </c>
      <c r="C8" s="100">
        <f>C12</f>
        <v>282.43</v>
      </c>
      <c r="D8" s="100">
        <f>SUM(D12:D13)</f>
        <v>536.62</v>
      </c>
      <c r="E8" s="100">
        <f>SUM(E12:E14)</f>
        <v>765.3900000000001</v>
      </c>
      <c r="F8" s="100">
        <f>SUM(F12:F15)</f>
        <v>971.28</v>
      </c>
      <c r="G8" s="100">
        <f>SUM(G12:G16)</f>
        <v>1156.5800000000002</v>
      </c>
      <c r="H8" s="100">
        <f>SUM(H12:H17)</f>
        <v>1323.3500000000001</v>
      </c>
      <c r="I8" s="100">
        <f>SUM(I12:I18)</f>
        <v>1473.44</v>
      </c>
      <c r="J8" s="100">
        <f>SUM(J12:J19)</f>
        <v>1608.5300000000002</v>
      </c>
      <c r="K8" s="100">
        <f>SUM(K12:K20)</f>
        <v>1730.1100000000001</v>
      </c>
      <c r="L8" s="100">
        <f>SUM(L12:L21)</f>
        <v>1839.53</v>
      </c>
      <c r="M8" s="100">
        <f>SUM(M12:M22)</f>
        <v>1938.01</v>
      </c>
      <c r="N8" s="100">
        <f>SUM(N12:N23)</f>
        <v>2026.64</v>
      </c>
      <c r="O8" s="98">
        <f>Revenue!C14*O5</f>
        <v>11114.624</v>
      </c>
      <c r="P8" s="98">
        <f>Revenue!D14*P5</f>
        <v>11317.976000000001</v>
      </c>
      <c r="Q8" s="98">
        <f>Revenue!E14*Q5</f>
        <v>11900.992</v>
      </c>
      <c r="R8" s="98">
        <f>Revenue!F14*R5</f>
        <v>11665.704</v>
      </c>
      <c r="S8" s="98">
        <f>Revenue!G14*S5</f>
        <v>12293.944</v>
      </c>
      <c r="T8" s="98">
        <f>Revenue!H14*T5</f>
        <v>12347.36</v>
      </c>
      <c r="U8" s="98">
        <f>Revenue!I14*U5</f>
        <v>12627.432000000001</v>
      </c>
      <c r="V8" s="98">
        <f>Revenue!J14*V5</f>
        <v>12655.504000000001</v>
      </c>
      <c r="W8" s="98">
        <f>Revenue!K14*W5</f>
        <v>12912.768</v>
      </c>
      <c r="X8" s="98">
        <f>Revenue!L14*X5</f>
        <v>12920.304</v>
      </c>
      <c r="Y8" s="98">
        <f>Revenue!M14*Y5</f>
        <v>13159.088000000002</v>
      </c>
      <c r="Z8" s="98">
        <f>Revenue!N14*Z5</f>
        <v>13149.991999999998</v>
      </c>
    </row>
    <row r="9" spans="1:26" x14ac:dyDescent="0.2">
      <c r="B9" s="24"/>
    </row>
    <row r="10" spans="1:26" s="24" customFormat="1" x14ac:dyDescent="0.2">
      <c r="A10"/>
      <c r="B10" s="7" t="s">
        <v>254</v>
      </c>
    </row>
    <row r="11" spans="1:26" x14ac:dyDescent="0.2">
      <c r="B11" s="135" t="s">
        <v>253</v>
      </c>
      <c r="C11" s="20">
        <v>41640</v>
      </c>
      <c r="D11" s="20">
        <v>41671</v>
      </c>
      <c r="E11" s="20">
        <v>41699</v>
      </c>
      <c r="F11" s="20">
        <v>41730</v>
      </c>
      <c r="G11" s="20">
        <v>41760</v>
      </c>
      <c r="H11" s="20">
        <v>41791</v>
      </c>
      <c r="I11" s="20">
        <v>41821</v>
      </c>
      <c r="J11" s="20">
        <v>41852</v>
      </c>
      <c r="K11" s="20">
        <v>41883</v>
      </c>
      <c r="L11" s="20">
        <v>41913</v>
      </c>
      <c r="M11" s="20">
        <v>41944</v>
      </c>
      <c r="N11" s="20">
        <v>41974</v>
      </c>
      <c r="O11" s="20">
        <v>42005</v>
      </c>
      <c r="P11" s="20">
        <v>42036</v>
      </c>
      <c r="Q11" s="20">
        <v>42064</v>
      </c>
      <c r="R11" s="20">
        <v>42095</v>
      </c>
      <c r="S11" s="20">
        <v>42125</v>
      </c>
      <c r="T11" s="20">
        <v>42156</v>
      </c>
      <c r="U11" s="20">
        <v>42186</v>
      </c>
      <c r="V11" s="20">
        <v>42217</v>
      </c>
      <c r="W11" s="20">
        <v>42248</v>
      </c>
      <c r="X11" s="20">
        <v>42278</v>
      </c>
      <c r="Y11" s="20">
        <v>42309</v>
      </c>
      <c r="Z11" s="20">
        <v>42339</v>
      </c>
    </row>
    <row r="12" spans="1:26" x14ac:dyDescent="0.2">
      <c r="B12" s="21">
        <v>41275</v>
      </c>
      <c r="C12" s="27">
        <v>282.43</v>
      </c>
      <c r="D12" s="27">
        <v>254.19</v>
      </c>
      <c r="E12" s="27">
        <v>228.77</v>
      </c>
      <c r="F12" s="27">
        <v>205.89</v>
      </c>
      <c r="G12" s="27">
        <v>185.3</v>
      </c>
      <c r="H12" s="27">
        <v>166.77</v>
      </c>
      <c r="I12" s="27">
        <v>150.09</v>
      </c>
      <c r="J12" s="27">
        <v>135.09</v>
      </c>
      <c r="K12" s="27">
        <v>121.58</v>
      </c>
      <c r="L12" s="27">
        <v>109.42</v>
      </c>
      <c r="M12" s="27">
        <v>98.48</v>
      </c>
      <c r="N12" s="27">
        <v>88.63</v>
      </c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">
      <c r="B13" s="21">
        <v>41306</v>
      </c>
      <c r="C13" s="27">
        <v>313.81</v>
      </c>
      <c r="D13" s="27">
        <v>282.43</v>
      </c>
      <c r="E13" s="27">
        <v>254.19</v>
      </c>
      <c r="F13" s="27">
        <v>228.77</v>
      </c>
      <c r="G13" s="27">
        <v>205.89</v>
      </c>
      <c r="H13" s="27">
        <v>185.3</v>
      </c>
      <c r="I13" s="27">
        <v>166.77</v>
      </c>
      <c r="J13" s="27">
        <v>150.09</v>
      </c>
      <c r="K13" s="27">
        <v>135.09</v>
      </c>
      <c r="L13" s="27">
        <v>121.58</v>
      </c>
      <c r="M13" s="27">
        <v>109.42</v>
      </c>
      <c r="N13" s="27">
        <v>98.48</v>
      </c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">
      <c r="B14" s="21">
        <v>41334</v>
      </c>
      <c r="C14" s="27">
        <v>348.68</v>
      </c>
      <c r="D14" s="27">
        <v>313.81</v>
      </c>
      <c r="E14" s="27">
        <v>282.43</v>
      </c>
      <c r="F14" s="27">
        <v>254.19</v>
      </c>
      <c r="G14" s="27">
        <v>228.77</v>
      </c>
      <c r="H14" s="27">
        <v>205.89</v>
      </c>
      <c r="I14" s="27">
        <v>185.3</v>
      </c>
      <c r="J14" s="27">
        <v>166.77</v>
      </c>
      <c r="K14" s="27">
        <v>150.09</v>
      </c>
      <c r="L14" s="27">
        <v>135.09</v>
      </c>
      <c r="M14" s="27">
        <v>121.58</v>
      </c>
      <c r="N14" s="27">
        <v>109.42</v>
      </c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">
      <c r="B15" s="21">
        <v>41365</v>
      </c>
      <c r="C15" s="27">
        <v>387.42</v>
      </c>
      <c r="D15" s="27">
        <v>348.68</v>
      </c>
      <c r="E15" s="27">
        <v>313.81</v>
      </c>
      <c r="F15" s="27">
        <v>282.43</v>
      </c>
      <c r="G15" s="27">
        <v>254.19</v>
      </c>
      <c r="H15" s="27">
        <v>228.77</v>
      </c>
      <c r="I15" s="27">
        <v>205.89</v>
      </c>
      <c r="J15" s="27">
        <v>185.3</v>
      </c>
      <c r="K15" s="27">
        <v>166.77</v>
      </c>
      <c r="L15" s="27">
        <v>150.09</v>
      </c>
      <c r="M15" s="27">
        <v>135.09</v>
      </c>
      <c r="N15" s="27">
        <v>121.58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">
      <c r="B16" s="21">
        <v>41395</v>
      </c>
      <c r="C16" s="27">
        <v>430.47</v>
      </c>
      <c r="D16" s="27">
        <v>387.42</v>
      </c>
      <c r="E16" s="27">
        <v>348.68</v>
      </c>
      <c r="F16" s="27">
        <v>313.81</v>
      </c>
      <c r="G16" s="27">
        <v>282.43</v>
      </c>
      <c r="H16" s="27">
        <v>254.19</v>
      </c>
      <c r="I16" s="27">
        <v>228.77</v>
      </c>
      <c r="J16" s="27">
        <v>205.89</v>
      </c>
      <c r="K16" s="27">
        <v>185.3</v>
      </c>
      <c r="L16" s="27">
        <v>166.77</v>
      </c>
      <c r="M16" s="27">
        <v>150.09</v>
      </c>
      <c r="N16" s="27">
        <v>135.09</v>
      </c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2:26" x14ac:dyDescent="0.2">
      <c r="B17" s="21">
        <v>41426</v>
      </c>
      <c r="C17" s="27">
        <v>478.3</v>
      </c>
      <c r="D17" s="27">
        <v>430.47</v>
      </c>
      <c r="E17" s="27">
        <v>387.42</v>
      </c>
      <c r="F17" s="27">
        <v>348.68</v>
      </c>
      <c r="G17" s="27">
        <v>313.81</v>
      </c>
      <c r="H17" s="27">
        <v>282.43</v>
      </c>
      <c r="I17" s="27">
        <v>254.19</v>
      </c>
      <c r="J17" s="27">
        <v>228.77</v>
      </c>
      <c r="K17" s="27">
        <v>205.89</v>
      </c>
      <c r="L17" s="27">
        <v>185.3</v>
      </c>
      <c r="M17" s="27">
        <v>166.77</v>
      </c>
      <c r="N17" s="27">
        <v>150.09</v>
      </c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2:26" x14ac:dyDescent="0.2">
      <c r="B18" s="21">
        <v>41456</v>
      </c>
      <c r="C18" s="27">
        <v>531.44000000000005</v>
      </c>
      <c r="D18" s="27">
        <v>478.3</v>
      </c>
      <c r="E18" s="27">
        <v>430.47</v>
      </c>
      <c r="F18" s="27">
        <v>387.42</v>
      </c>
      <c r="G18" s="27">
        <v>348.68</v>
      </c>
      <c r="H18" s="27">
        <v>313.81</v>
      </c>
      <c r="I18" s="27">
        <v>282.43</v>
      </c>
      <c r="J18" s="27">
        <v>254.19</v>
      </c>
      <c r="K18" s="27">
        <v>228.77</v>
      </c>
      <c r="L18" s="27">
        <v>205.89</v>
      </c>
      <c r="M18" s="27">
        <v>185.3</v>
      </c>
      <c r="N18" s="27">
        <v>166.77</v>
      </c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2:26" x14ac:dyDescent="0.2">
      <c r="B19" s="21">
        <v>41487</v>
      </c>
      <c r="C19" s="27">
        <v>590.49</v>
      </c>
      <c r="D19" s="27">
        <v>531.44000000000005</v>
      </c>
      <c r="E19" s="27">
        <v>478.3</v>
      </c>
      <c r="F19" s="27">
        <v>430.47</v>
      </c>
      <c r="G19" s="27">
        <v>387.42</v>
      </c>
      <c r="H19" s="27">
        <v>348.68</v>
      </c>
      <c r="I19" s="27">
        <v>313.81</v>
      </c>
      <c r="J19" s="27">
        <v>282.43</v>
      </c>
      <c r="K19" s="27">
        <v>254.19</v>
      </c>
      <c r="L19" s="27">
        <v>228.77</v>
      </c>
      <c r="M19" s="27">
        <v>205.89</v>
      </c>
      <c r="N19" s="27">
        <v>185.3</v>
      </c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2:26" x14ac:dyDescent="0.2">
      <c r="B20" s="21">
        <v>41518</v>
      </c>
      <c r="C20" s="27">
        <v>656.1</v>
      </c>
      <c r="D20" s="27">
        <v>590.49</v>
      </c>
      <c r="E20" s="27">
        <v>531.44000000000005</v>
      </c>
      <c r="F20" s="27">
        <v>478.3</v>
      </c>
      <c r="G20" s="27">
        <v>430.47</v>
      </c>
      <c r="H20" s="27">
        <v>387.42</v>
      </c>
      <c r="I20" s="27">
        <v>348.68</v>
      </c>
      <c r="J20" s="27">
        <v>313.81</v>
      </c>
      <c r="K20" s="27">
        <v>282.43</v>
      </c>
      <c r="L20" s="27">
        <v>254.19</v>
      </c>
      <c r="M20" s="27">
        <v>228.77</v>
      </c>
      <c r="N20" s="27">
        <v>205.89</v>
      </c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2:26" x14ac:dyDescent="0.2">
      <c r="B21" s="21">
        <v>41548</v>
      </c>
      <c r="C21" s="27">
        <v>729</v>
      </c>
      <c r="D21" s="27">
        <v>656.1</v>
      </c>
      <c r="E21" s="27">
        <v>590.49</v>
      </c>
      <c r="F21" s="27">
        <v>531.44000000000005</v>
      </c>
      <c r="G21" s="27">
        <v>478.3</v>
      </c>
      <c r="H21" s="27">
        <v>430.47</v>
      </c>
      <c r="I21" s="27">
        <v>387.42</v>
      </c>
      <c r="J21" s="27">
        <v>348.68</v>
      </c>
      <c r="K21" s="27">
        <v>313.81</v>
      </c>
      <c r="L21" s="27">
        <v>282.43</v>
      </c>
      <c r="M21" s="27">
        <v>254.19</v>
      </c>
      <c r="N21" s="27">
        <v>228.77</v>
      </c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2:26" x14ac:dyDescent="0.2">
      <c r="B22" s="21">
        <v>41579</v>
      </c>
      <c r="C22" s="27">
        <v>810</v>
      </c>
      <c r="D22" s="27">
        <v>729</v>
      </c>
      <c r="E22" s="27">
        <v>656.1</v>
      </c>
      <c r="F22" s="27">
        <v>590.49</v>
      </c>
      <c r="G22" s="27">
        <v>531.44000000000005</v>
      </c>
      <c r="H22" s="27">
        <v>478.3</v>
      </c>
      <c r="I22" s="27">
        <v>430.47</v>
      </c>
      <c r="J22" s="27">
        <v>387.42</v>
      </c>
      <c r="K22" s="27">
        <v>348.68</v>
      </c>
      <c r="L22" s="27">
        <v>313.81</v>
      </c>
      <c r="M22" s="27">
        <v>282.43</v>
      </c>
      <c r="N22" s="27">
        <v>254.19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2:26" x14ac:dyDescent="0.2">
      <c r="B23" s="21">
        <v>41609</v>
      </c>
      <c r="C23" s="27">
        <v>900</v>
      </c>
      <c r="D23" s="27">
        <v>810</v>
      </c>
      <c r="E23" s="27">
        <v>729</v>
      </c>
      <c r="F23" s="27">
        <v>656.1</v>
      </c>
      <c r="G23" s="27">
        <v>590.49</v>
      </c>
      <c r="H23" s="27">
        <v>531.44000000000005</v>
      </c>
      <c r="I23" s="27">
        <v>478.3</v>
      </c>
      <c r="J23" s="27">
        <v>430.47</v>
      </c>
      <c r="K23" s="27">
        <v>387.42</v>
      </c>
      <c r="L23" s="27">
        <v>348.68</v>
      </c>
      <c r="M23" s="27">
        <v>313.81</v>
      </c>
      <c r="N23" s="27">
        <v>282.43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2:26" x14ac:dyDescent="0.2">
      <c r="B24" s="21">
        <v>41640</v>
      </c>
      <c r="C24" s="27">
        <v>1000</v>
      </c>
      <c r="D24" s="27">
        <v>900</v>
      </c>
      <c r="E24" s="27">
        <v>810</v>
      </c>
      <c r="F24" s="27">
        <v>729</v>
      </c>
      <c r="G24" s="27">
        <v>656.1</v>
      </c>
      <c r="H24" s="27">
        <v>590.49</v>
      </c>
      <c r="I24" s="27">
        <v>531.44000000000005</v>
      </c>
      <c r="J24" s="27">
        <v>478.3</v>
      </c>
      <c r="K24" s="27">
        <v>430.47</v>
      </c>
      <c r="L24" s="27">
        <v>387.42</v>
      </c>
      <c r="M24" s="27">
        <v>348.68</v>
      </c>
      <c r="N24" s="27">
        <v>313.81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2:26" x14ac:dyDescent="0.2">
      <c r="B25" s="21">
        <v>41671</v>
      </c>
      <c r="C25" s="27"/>
      <c r="D25" s="27">
        <v>1000</v>
      </c>
      <c r="E25" s="27">
        <v>900</v>
      </c>
      <c r="F25" s="27">
        <v>810</v>
      </c>
      <c r="G25" s="27">
        <v>729</v>
      </c>
      <c r="H25" s="27">
        <v>656.1</v>
      </c>
      <c r="I25" s="27">
        <v>590.49</v>
      </c>
      <c r="J25" s="27">
        <v>531.44000000000005</v>
      </c>
      <c r="K25" s="27">
        <v>478.3</v>
      </c>
      <c r="L25" s="27">
        <v>430.47</v>
      </c>
      <c r="M25" s="27">
        <v>387.42</v>
      </c>
      <c r="N25" s="27">
        <v>348.68</v>
      </c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2:26" x14ac:dyDescent="0.2">
      <c r="B26" s="21">
        <v>41699</v>
      </c>
      <c r="C26" s="27"/>
      <c r="D26" s="27"/>
      <c r="E26" s="27">
        <v>1000</v>
      </c>
      <c r="F26" s="27">
        <v>900</v>
      </c>
      <c r="G26" s="27">
        <v>810</v>
      </c>
      <c r="H26" s="27">
        <v>729</v>
      </c>
      <c r="I26" s="27">
        <v>656.1</v>
      </c>
      <c r="J26" s="27">
        <v>590.49</v>
      </c>
      <c r="K26" s="27">
        <v>531.44000000000005</v>
      </c>
      <c r="L26" s="27">
        <v>478.3</v>
      </c>
      <c r="M26" s="27">
        <v>430.47</v>
      </c>
      <c r="N26" s="27">
        <v>387.42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2:26" x14ac:dyDescent="0.2">
      <c r="B27" s="21">
        <v>41730</v>
      </c>
      <c r="C27" s="27"/>
      <c r="D27" s="27"/>
      <c r="E27" s="27"/>
      <c r="F27" s="27">
        <v>1000</v>
      </c>
      <c r="G27" s="27">
        <v>900</v>
      </c>
      <c r="H27" s="27">
        <v>810</v>
      </c>
      <c r="I27" s="27">
        <v>729</v>
      </c>
      <c r="J27" s="27">
        <v>656.1</v>
      </c>
      <c r="K27" s="27">
        <v>590.49</v>
      </c>
      <c r="L27" s="27">
        <v>531.44000000000005</v>
      </c>
      <c r="M27" s="27">
        <v>478.3</v>
      </c>
      <c r="N27" s="27">
        <v>430.47</v>
      </c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2:26" x14ac:dyDescent="0.2">
      <c r="B28" s="21">
        <v>41760</v>
      </c>
      <c r="C28" s="27"/>
      <c r="D28" s="27"/>
      <c r="E28" s="27"/>
      <c r="F28" s="27"/>
      <c r="G28" s="27">
        <v>1000</v>
      </c>
      <c r="H28" s="27">
        <v>900</v>
      </c>
      <c r="I28" s="27">
        <v>810</v>
      </c>
      <c r="J28" s="27">
        <v>729</v>
      </c>
      <c r="K28" s="27">
        <v>656.1</v>
      </c>
      <c r="L28" s="27">
        <v>590.49</v>
      </c>
      <c r="M28" s="27">
        <v>531.44000000000005</v>
      </c>
      <c r="N28" s="27">
        <v>478.3</v>
      </c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2:26" x14ac:dyDescent="0.2">
      <c r="B29" s="21">
        <v>41791</v>
      </c>
      <c r="C29" s="27"/>
      <c r="D29" s="27"/>
      <c r="E29" s="27"/>
      <c r="F29" s="27"/>
      <c r="G29" s="27"/>
      <c r="H29" s="27">
        <v>1000</v>
      </c>
      <c r="I29" s="27">
        <v>900</v>
      </c>
      <c r="J29" s="27">
        <v>810</v>
      </c>
      <c r="K29" s="27">
        <v>729</v>
      </c>
      <c r="L29" s="27">
        <v>656.1</v>
      </c>
      <c r="M29" s="27">
        <v>590.49</v>
      </c>
      <c r="N29" s="27">
        <v>531.44000000000005</v>
      </c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2:26" x14ac:dyDescent="0.2">
      <c r="B30" s="21">
        <v>41821</v>
      </c>
      <c r="C30" s="27"/>
      <c r="D30" s="27"/>
      <c r="E30" s="27"/>
      <c r="F30" s="27"/>
      <c r="G30" s="27"/>
      <c r="H30" s="27"/>
      <c r="I30" s="27">
        <v>1000</v>
      </c>
      <c r="J30" s="27">
        <v>900</v>
      </c>
      <c r="K30" s="27">
        <v>810</v>
      </c>
      <c r="L30" s="27">
        <v>729</v>
      </c>
      <c r="M30" s="27">
        <v>656.1</v>
      </c>
      <c r="N30" s="27">
        <v>590.49</v>
      </c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2:26" x14ac:dyDescent="0.2">
      <c r="B31" s="21">
        <v>41852</v>
      </c>
      <c r="C31" s="27"/>
      <c r="D31" s="27"/>
      <c r="E31" s="27"/>
      <c r="F31" s="27"/>
      <c r="G31" s="27"/>
      <c r="H31" s="27"/>
      <c r="I31" s="27"/>
      <c r="J31" s="27">
        <v>1000</v>
      </c>
      <c r="K31" s="27">
        <v>900</v>
      </c>
      <c r="L31" s="27">
        <v>810</v>
      </c>
      <c r="M31" s="27">
        <v>729</v>
      </c>
      <c r="N31" s="27">
        <v>656.1</v>
      </c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2:26" x14ac:dyDescent="0.2">
      <c r="B32" s="21">
        <v>41883</v>
      </c>
      <c r="C32" s="27"/>
      <c r="D32" s="27"/>
      <c r="E32" s="27"/>
      <c r="F32" s="27"/>
      <c r="G32" s="27"/>
      <c r="H32" s="27"/>
      <c r="I32" s="27"/>
      <c r="J32" s="27"/>
      <c r="K32" s="27">
        <v>1000</v>
      </c>
      <c r="L32" s="27">
        <v>900</v>
      </c>
      <c r="M32" s="27">
        <v>810</v>
      </c>
      <c r="N32" s="27">
        <v>729</v>
      </c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2:26" x14ac:dyDescent="0.2">
      <c r="B33" s="21">
        <v>41913</v>
      </c>
      <c r="C33" s="27"/>
      <c r="D33" s="27"/>
      <c r="E33" s="27"/>
      <c r="F33" s="27"/>
      <c r="G33" s="27"/>
      <c r="H33" s="27"/>
      <c r="I33" s="27"/>
      <c r="J33" s="27"/>
      <c r="K33" s="27"/>
      <c r="L33" s="27">
        <v>1000</v>
      </c>
      <c r="M33" s="27">
        <v>900</v>
      </c>
      <c r="N33" s="27">
        <v>810</v>
      </c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2:26" x14ac:dyDescent="0.2">
      <c r="B34" s="21">
        <v>41944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>
        <v>1000</v>
      </c>
      <c r="N34" s="27">
        <v>900</v>
      </c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2:26" x14ac:dyDescent="0.2">
      <c r="B35" s="21">
        <v>41974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>
        <v>1000</v>
      </c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2:26" x14ac:dyDescent="0.2">
      <c r="B36" s="21">
        <v>42005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2:26" x14ac:dyDescent="0.2">
      <c r="B37" s="21">
        <v>42036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2:26" x14ac:dyDescent="0.2">
      <c r="B38" s="21">
        <v>42064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2:26" x14ac:dyDescent="0.2">
      <c r="B39" s="21">
        <v>42095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2:26" x14ac:dyDescent="0.2">
      <c r="B40" s="21">
        <v>42125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2:26" x14ac:dyDescent="0.2">
      <c r="B41" s="21">
        <v>42156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2:26" x14ac:dyDescent="0.2">
      <c r="B42" s="21">
        <v>42186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2:26" x14ac:dyDescent="0.2">
      <c r="B43" s="21">
        <v>42217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2:26" x14ac:dyDescent="0.2">
      <c r="B44" s="21">
        <v>42248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2:26" x14ac:dyDescent="0.2">
      <c r="B45" s="21">
        <v>42278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2:26" x14ac:dyDescent="0.2">
      <c r="B46" s="21">
        <v>42309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2:26" x14ac:dyDescent="0.2">
      <c r="B47" s="21">
        <v>42339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2:26" x14ac:dyDescent="0.2">
      <c r="B48" s="19" t="s">
        <v>175</v>
      </c>
      <c r="C48" s="22">
        <f>SUM(C12:C47)</f>
        <v>7458.1399999999994</v>
      </c>
      <c r="D48" s="22">
        <f t="shared" ref="D48:M48" si="0">SUM(D12:D47)</f>
        <v>7712.3300000000008</v>
      </c>
      <c r="E48" s="22">
        <f t="shared" si="0"/>
        <v>7941.1000000000013</v>
      </c>
      <c r="F48" s="22">
        <f t="shared" si="0"/>
        <v>8146.9900000000007</v>
      </c>
      <c r="G48" s="22">
        <f t="shared" si="0"/>
        <v>8332.2900000000009</v>
      </c>
      <c r="H48" s="22">
        <f t="shared" si="0"/>
        <v>8499.0600000000013</v>
      </c>
      <c r="I48" s="22">
        <f t="shared" si="0"/>
        <v>8649.1500000000015</v>
      </c>
      <c r="J48" s="22">
        <f t="shared" si="0"/>
        <v>8784.24</v>
      </c>
      <c r="K48" s="22">
        <f t="shared" si="0"/>
        <v>8905.82</v>
      </c>
      <c r="L48" s="22">
        <f t="shared" si="0"/>
        <v>9015.24</v>
      </c>
      <c r="M48" s="22">
        <f t="shared" si="0"/>
        <v>9113.7200000000012</v>
      </c>
      <c r="N48" s="22">
        <f>SUM(N12:N47)</f>
        <v>9202.35</v>
      </c>
      <c r="O48" s="22">
        <f t="shared" ref="O48:Z48" si="1">SUM(O12:O47)</f>
        <v>0</v>
      </c>
      <c r="P48" s="22">
        <f t="shared" si="1"/>
        <v>0</v>
      </c>
      <c r="Q48" s="22">
        <f t="shared" si="1"/>
        <v>0</v>
      </c>
      <c r="R48" s="22">
        <f t="shared" si="1"/>
        <v>0</v>
      </c>
      <c r="S48" s="22">
        <f t="shared" si="1"/>
        <v>0</v>
      </c>
      <c r="T48" s="22">
        <f t="shared" si="1"/>
        <v>0</v>
      </c>
      <c r="U48" s="22">
        <f t="shared" si="1"/>
        <v>0</v>
      </c>
      <c r="V48" s="22">
        <f t="shared" si="1"/>
        <v>0</v>
      </c>
      <c r="W48" s="22">
        <f t="shared" si="1"/>
        <v>0</v>
      </c>
      <c r="X48" s="22">
        <f t="shared" si="1"/>
        <v>0</v>
      </c>
      <c r="Y48" s="22">
        <f t="shared" si="1"/>
        <v>0</v>
      </c>
      <c r="Z48" s="22">
        <f t="shared" si="1"/>
        <v>0</v>
      </c>
    </row>
    <row r="49" spans="2:26" x14ac:dyDescent="0.2">
      <c r="B49" s="145" t="s">
        <v>176</v>
      </c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>
        <f>SUM(O$12:O23)/C48</f>
        <v>0</v>
      </c>
      <c r="P49" s="162">
        <f>SUM(P$12:P24)/D48</f>
        <v>0</v>
      </c>
      <c r="Q49" s="162">
        <f>SUM(Q$12:Q25)/E48</f>
        <v>0</v>
      </c>
      <c r="R49" s="162">
        <f>SUM(R$12:R26)/F48</f>
        <v>0</v>
      </c>
      <c r="S49" s="162">
        <f>SUM(S$12:S27)/G48</f>
        <v>0</v>
      </c>
      <c r="T49" s="162">
        <f>SUM(T$12:T28)/H48</f>
        <v>0</v>
      </c>
      <c r="U49" s="162">
        <f>SUM(U$12:U29)/I48</f>
        <v>0</v>
      </c>
      <c r="V49" s="162">
        <f>SUM(V$12:V30)/J48</f>
        <v>0</v>
      </c>
      <c r="W49" s="162">
        <f>SUM(W$12:W31)/K48</f>
        <v>0</v>
      </c>
      <c r="X49" s="162">
        <f>SUM(X$12:X32)/L48</f>
        <v>0</v>
      </c>
      <c r="Y49" s="162">
        <f>SUM(Y$12:Y33)/M48</f>
        <v>0</v>
      </c>
      <c r="Z49" s="162">
        <f>SUM(Z$12:Z34)/N48</f>
        <v>0</v>
      </c>
    </row>
  </sheetData>
  <pageMargins left="0.7" right="0.7" top="0.75" bottom="0.75" header="0.3" footer="0.3"/>
  <pageSetup scale="5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>
    <pageSetUpPr fitToPage="1"/>
  </sheetPr>
  <dimension ref="A1:Z21"/>
  <sheetViews>
    <sheetView zoomScaleNormal="100" workbookViewId="0">
      <selection activeCell="C10" sqref="C10"/>
    </sheetView>
  </sheetViews>
  <sheetFormatPr baseColWidth="10" defaultColWidth="8.83203125" defaultRowHeight="15" x14ac:dyDescent="0.2"/>
  <cols>
    <col min="1" max="1" width="2" customWidth="1"/>
    <col min="2" max="2" width="24.1640625" bestFit="1" customWidth="1"/>
    <col min="3" max="26" width="7.5" bestFit="1" customWidth="1"/>
  </cols>
  <sheetData>
    <row r="1" spans="1:26" ht="19" x14ac:dyDescent="0.25">
      <c r="B1" s="134" t="s">
        <v>282</v>
      </c>
      <c r="C1" s="148"/>
    </row>
    <row r="3" spans="1:26" x14ac:dyDescent="0.2">
      <c r="B3" s="7" t="s">
        <v>177</v>
      </c>
    </row>
    <row r="4" spans="1:26" x14ac:dyDescent="0.2">
      <c r="B4" s="130" t="s">
        <v>198</v>
      </c>
    </row>
    <row r="5" spans="1:26" x14ac:dyDescent="0.2">
      <c r="B5" s="24" t="s">
        <v>322</v>
      </c>
      <c r="C5" s="99">
        <v>0.85</v>
      </c>
      <c r="D5" s="99">
        <v>0.85</v>
      </c>
      <c r="E5" s="99">
        <v>0.85</v>
      </c>
      <c r="F5" s="99">
        <v>0.85</v>
      </c>
      <c r="G5" s="99">
        <v>0.85</v>
      </c>
      <c r="H5" s="99">
        <v>0.85</v>
      </c>
      <c r="I5" s="99">
        <v>0.85</v>
      </c>
      <c r="J5" s="99">
        <v>0.85</v>
      </c>
      <c r="K5" s="99">
        <v>0.85</v>
      </c>
      <c r="L5" s="99">
        <v>0.85</v>
      </c>
      <c r="M5" s="99">
        <v>0.85</v>
      </c>
      <c r="N5" s="99">
        <v>0.85</v>
      </c>
      <c r="O5" s="99">
        <v>0.85</v>
      </c>
      <c r="P5" s="99">
        <v>0.85</v>
      </c>
      <c r="Q5" s="99">
        <v>0.85</v>
      </c>
      <c r="R5" s="99">
        <v>0.85</v>
      </c>
      <c r="S5" s="99">
        <v>0.85</v>
      </c>
      <c r="T5" s="99">
        <v>0.85</v>
      </c>
      <c r="U5" s="99">
        <v>0.85</v>
      </c>
      <c r="V5" s="99">
        <v>0.85</v>
      </c>
      <c r="W5" s="99">
        <v>0.85</v>
      </c>
      <c r="X5" s="99">
        <v>0.85</v>
      </c>
      <c r="Y5" s="99">
        <v>0.85</v>
      </c>
      <c r="Z5" s="99">
        <v>0.85</v>
      </c>
    </row>
    <row r="6" spans="1:26" x14ac:dyDescent="0.2">
      <c r="B6" s="24" t="s">
        <v>274</v>
      </c>
      <c r="C6" s="99">
        <v>0.75</v>
      </c>
      <c r="D6" s="99">
        <f t="shared" ref="D6:Z6" si="0">C6</f>
        <v>0.75</v>
      </c>
      <c r="E6" s="99">
        <f t="shared" si="0"/>
        <v>0.75</v>
      </c>
      <c r="F6" s="99">
        <f t="shared" si="0"/>
        <v>0.75</v>
      </c>
      <c r="G6" s="99">
        <f t="shared" si="0"/>
        <v>0.75</v>
      </c>
      <c r="H6" s="99">
        <f t="shared" si="0"/>
        <v>0.75</v>
      </c>
      <c r="I6" s="99">
        <f t="shared" si="0"/>
        <v>0.75</v>
      </c>
      <c r="J6" s="99">
        <f t="shared" si="0"/>
        <v>0.75</v>
      </c>
      <c r="K6" s="99">
        <f t="shared" si="0"/>
        <v>0.75</v>
      </c>
      <c r="L6" s="99">
        <f t="shared" si="0"/>
        <v>0.75</v>
      </c>
      <c r="M6" s="99">
        <f t="shared" si="0"/>
        <v>0.75</v>
      </c>
      <c r="N6" s="99">
        <f t="shared" si="0"/>
        <v>0.75</v>
      </c>
      <c r="O6" s="99">
        <f t="shared" si="0"/>
        <v>0.75</v>
      </c>
      <c r="P6" s="99">
        <f t="shared" si="0"/>
        <v>0.75</v>
      </c>
      <c r="Q6" s="99">
        <f t="shared" si="0"/>
        <v>0.75</v>
      </c>
      <c r="R6" s="99">
        <f t="shared" si="0"/>
        <v>0.75</v>
      </c>
      <c r="S6" s="99">
        <f t="shared" si="0"/>
        <v>0.75</v>
      </c>
      <c r="T6" s="99">
        <f t="shared" si="0"/>
        <v>0.75</v>
      </c>
      <c r="U6" s="99">
        <f t="shared" si="0"/>
        <v>0.75</v>
      </c>
      <c r="V6" s="99">
        <f t="shared" si="0"/>
        <v>0.75</v>
      </c>
      <c r="W6" s="99">
        <f t="shared" si="0"/>
        <v>0.75</v>
      </c>
      <c r="X6" s="99">
        <f t="shared" si="0"/>
        <v>0.75</v>
      </c>
      <c r="Y6" s="99">
        <f t="shared" si="0"/>
        <v>0.75</v>
      </c>
      <c r="Z6" s="99">
        <f t="shared" si="0"/>
        <v>0.75</v>
      </c>
    </row>
    <row r="7" spans="1:26" x14ac:dyDescent="0.2">
      <c r="B7" s="24"/>
    </row>
    <row r="8" spans="1:26" x14ac:dyDescent="0.2">
      <c r="C8" s="23">
        <v>41640</v>
      </c>
      <c r="D8" s="23">
        <v>41671</v>
      </c>
      <c r="E8" s="23">
        <v>41699</v>
      </c>
      <c r="F8" s="23">
        <v>41730</v>
      </c>
      <c r="G8" s="23">
        <v>41760</v>
      </c>
      <c r="H8" s="23">
        <v>41791</v>
      </c>
      <c r="I8" s="23">
        <v>41821</v>
      </c>
      <c r="J8" s="23">
        <v>41852</v>
      </c>
      <c r="K8" s="23">
        <v>41883</v>
      </c>
      <c r="L8" s="23">
        <v>41913</v>
      </c>
      <c r="M8" s="23">
        <v>41944</v>
      </c>
      <c r="N8" s="23">
        <v>41974</v>
      </c>
      <c r="O8" s="23">
        <v>42005</v>
      </c>
      <c r="P8" s="23">
        <v>42036</v>
      </c>
      <c r="Q8" s="23">
        <v>42064</v>
      </c>
      <c r="R8" s="23">
        <v>42095</v>
      </c>
      <c r="S8" s="23">
        <v>42125</v>
      </c>
      <c r="T8" s="23">
        <v>42156</v>
      </c>
      <c r="U8" s="23">
        <v>42186</v>
      </c>
      <c r="V8" s="23">
        <v>42217</v>
      </c>
      <c r="W8" s="23">
        <v>42248</v>
      </c>
      <c r="X8" s="23">
        <v>42278</v>
      </c>
      <c r="Y8" s="23">
        <v>42309</v>
      </c>
      <c r="Z8" s="23">
        <v>42339</v>
      </c>
    </row>
    <row r="9" spans="1:26" x14ac:dyDescent="0.2">
      <c r="B9" s="82" t="s">
        <v>121</v>
      </c>
      <c r="C9" s="1"/>
      <c r="D9" s="1"/>
      <c r="E9" s="1"/>
      <c r="F9" s="1"/>
      <c r="G9" s="1"/>
      <c r="H9" s="1"/>
      <c r="I9" s="1"/>
      <c r="J9" s="1"/>
      <c r="K9" s="1"/>
      <c r="P9" s="154"/>
      <c r="Q9" s="154"/>
      <c r="R9" s="154"/>
      <c r="S9" s="154"/>
      <c r="T9" s="154"/>
      <c r="U9" s="154"/>
      <c r="V9" s="154"/>
      <c r="W9" s="154"/>
      <c r="X9" s="154"/>
    </row>
    <row r="10" spans="1:26" x14ac:dyDescent="0.2">
      <c r="B10" s="24" t="s">
        <v>172</v>
      </c>
      <c r="C10" s="37">
        <f>Retention!C8</f>
        <v>282.43</v>
      </c>
      <c r="D10" s="37">
        <f>Retention!D8</f>
        <v>536.62</v>
      </c>
      <c r="E10" s="37">
        <f>Retention!E8</f>
        <v>765.3900000000001</v>
      </c>
      <c r="F10" s="37">
        <f>Retention!F8</f>
        <v>971.28</v>
      </c>
      <c r="G10" s="37">
        <f>Retention!G8</f>
        <v>1156.5800000000002</v>
      </c>
      <c r="H10" s="37">
        <f>Retention!H8</f>
        <v>1323.3500000000001</v>
      </c>
      <c r="I10" s="37">
        <f>Retention!I8</f>
        <v>1473.44</v>
      </c>
      <c r="J10" s="37">
        <f>Retention!J8</f>
        <v>1608.5300000000002</v>
      </c>
      <c r="K10" s="37">
        <f>Retention!K8</f>
        <v>1730.1100000000001</v>
      </c>
      <c r="L10" s="37">
        <f>Retention!L8</f>
        <v>1839.53</v>
      </c>
      <c r="M10" s="37">
        <f>Retention!M8</f>
        <v>1938.01</v>
      </c>
      <c r="N10" s="37">
        <f>Retention!N8</f>
        <v>2026.64</v>
      </c>
      <c r="O10" s="33">
        <f>Retention!O8</f>
        <v>11114.624</v>
      </c>
      <c r="P10" s="33">
        <f>Retention!P8</f>
        <v>11317.976000000001</v>
      </c>
      <c r="Q10" s="33">
        <f>Retention!Q8</f>
        <v>11900.992</v>
      </c>
      <c r="R10" s="33">
        <f>Retention!R8</f>
        <v>11665.704</v>
      </c>
      <c r="S10" s="33">
        <f>Retention!S8</f>
        <v>12293.944</v>
      </c>
      <c r="T10" s="33">
        <f>Retention!T8</f>
        <v>12347.36</v>
      </c>
      <c r="U10" s="33">
        <f>Retention!U8</f>
        <v>12627.432000000001</v>
      </c>
      <c r="V10" s="33">
        <f>Retention!V8</f>
        <v>12655.504000000001</v>
      </c>
      <c r="W10" s="33">
        <f>Retention!W8</f>
        <v>12912.768</v>
      </c>
      <c r="X10" s="33">
        <f>Retention!X8</f>
        <v>12920.304</v>
      </c>
      <c r="Y10" s="33">
        <f>Retention!Y8</f>
        <v>13159.088000000002</v>
      </c>
      <c r="Z10" s="33">
        <f>Retention!Z8</f>
        <v>13149.991999999998</v>
      </c>
    </row>
    <row r="11" spans="1:26" x14ac:dyDescent="0.2">
      <c r="B11" s="24" t="s">
        <v>197</v>
      </c>
      <c r="C11" s="37">
        <f>'New Organic'!O23</f>
        <v>7175.7099999999991</v>
      </c>
      <c r="D11" s="37">
        <f>'New Organic'!P23</f>
        <v>7175.7099999999991</v>
      </c>
      <c r="E11" s="37">
        <f>'New Organic'!Q23</f>
        <v>7175.7099999999991</v>
      </c>
      <c r="F11" s="37">
        <f>'New Organic'!R23</f>
        <v>7175.7099999999991</v>
      </c>
      <c r="G11" s="37">
        <f>'New Organic'!S23</f>
        <v>7175.7099999999991</v>
      </c>
      <c r="H11" s="37">
        <f>'New Organic'!T23</f>
        <v>7175.7099999999991</v>
      </c>
      <c r="I11" s="37">
        <f>'New Organic'!U23</f>
        <v>7175.7099999999991</v>
      </c>
      <c r="J11" s="37">
        <f>'New Organic'!V23</f>
        <v>7175.7099999999991</v>
      </c>
      <c r="K11" s="37">
        <f>'New Organic'!W23</f>
        <v>7175.7099999999991</v>
      </c>
      <c r="L11" s="37">
        <f>'New Organic'!X23</f>
        <v>7175.7099999999991</v>
      </c>
      <c r="M11" s="37">
        <f>'New Organic'!Y23</f>
        <v>7175.7099999999991</v>
      </c>
      <c r="N11" s="37">
        <f>'New Organic'!Z23</f>
        <v>7175.7099999999991</v>
      </c>
      <c r="O11" s="41">
        <f ca="1">'New Organic'!AA23</f>
        <v>7185.7099999999991</v>
      </c>
      <c r="P11" s="41">
        <f ca="1">'New Organic'!AB23</f>
        <v>7194.7099999999991</v>
      </c>
      <c r="Q11" s="41">
        <f ca="1">'New Organic'!AC23</f>
        <v>7202.8099999999995</v>
      </c>
      <c r="R11" s="41">
        <f ca="1">'New Organic'!AD23</f>
        <v>7210.1</v>
      </c>
      <c r="S11" s="41">
        <f ca="1">'New Organic'!AE23</f>
        <v>7216.6610000000001</v>
      </c>
      <c r="T11" s="41">
        <f ca="1">'New Organic'!AF23</f>
        <v>7222.5658999999996</v>
      </c>
      <c r="U11" s="41">
        <f ca="1">'New Organic'!AG23</f>
        <v>7227.8803000000007</v>
      </c>
      <c r="V11" s="41">
        <f ca="1">'New Organic'!AH23</f>
        <v>7232.6633000000002</v>
      </c>
      <c r="W11" s="41">
        <f ca="1">'New Organic'!AI23</f>
        <v>7236.9680000000008</v>
      </c>
      <c r="X11" s="41">
        <f ca="1">'New Organic'!AJ23</f>
        <v>7240.842200000001</v>
      </c>
      <c r="Y11" s="41">
        <f ca="1">'New Organic'!AK23</f>
        <v>7244.3289999999997</v>
      </c>
      <c r="Z11" s="41">
        <f ca="1">'New Organic'!AL23</f>
        <v>7247.4670999999998</v>
      </c>
    </row>
    <row r="12" spans="1:26" x14ac:dyDescent="0.2">
      <c r="B12" s="24" t="s">
        <v>323</v>
      </c>
      <c r="C12" s="37">
        <f>'New PPC'!C31</f>
        <v>1435.14</v>
      </c>
      <c r="D12" s="37">
        <f>'New PPC'!D31</f>
        <v>1435.14</v>
      </c>
      <c r="E12" s="37">
        <f>'New PPC'!E31</f>
        <v>1435.14</v>
      </c>
      <c r="F12" s="37">
        <f>'New PPC'!F31</f>
        <v>1435.14</v>
      </c>
      <c r="G12" s="37">
        <f>'New PPC'!G31</f>
        <v>1435.14</v>
      </c>
      <c r="H12" s="37">
        <f>'New PPC'!H31</f>
        <v>1435.14</v>
      </c>
      <c r="I12" s="37">
        <f>'New PPC'!I31</f>
        <v>1435.14</v>
      </c>
      <c r="J12" s="37">
        <f>'New PPC'!J31</f>
        <v>1435.14</v>
      </c>
      <c r="K12" s="37">
        <f>'New PPC'!K31</f>
        <v>1435.14</v>
      </c>
      <c r="L12" s="37">
        <f>'New PPC'!L31</f>
        <v>1435.14</v>
      </c>
      <c r="M12" s="37">
        <f>'New PPC'!M31</f>
        <v>1435.14</v>
      </c>
      <c r="N12" s="37">
        <f>'New PPC'!N31</f>
        <v>1435.14</v>
      </c>
      <c r="O12" s="33">
        <f ca="1">'New PPC'!O31</f>
        <v>1301.5749999999998</v>
      </c>
      <c r="P12" s="33">
        <f ca="1">'New PPC'!P31</f>
        <v>1296.5801999999999</v>
      </c>
      <c r="Q12" s="33">
        <f ca="1">'New PPC'!Q31</f>
        <v>1280.7878000000001</v>
      </c>
      <c r="R12" s="33">
        <f ca="1">'New PPC'!R31</f>
        <v>1277.8717999999999</v>
      </c>
      <c r="S12" s="33">
        <f ca="1">'New PPC'!S31</f>
        <v>1275.2474</v>
      </c>
      <c r="T12" s="33">
        <f ca="1">'New PPC'!T31</f>
        <v>1272.88544</v>
      </c>
      <c r="U12" s="33">
        <f ca="1">'New PPC'!U31</f>
        <v>1270.7596800000001</v>
      </c>
      <c r="V12" s="33">
        <f ca="1">'New PPC'!V31</f>
        <v>1268.8464800000002</v>
      </c>
      <c r="W12" s="33">
        <f ca="1">'New PPC'!W31</f>
        <v>1267.1246000000003</v>
      </c>
      <c r="X12" s="33">
        <f ca="1">'New PPC'!X31</f>
        <v>1265.5749200000002</v>
      </c>
      <c r="Y12" s="33">
        <f ca="1">'New PPC'!Y31</f>
        <v>1264.1802000000002</v>
      </c>
      <c r="Z12" s="33">
        <f ca="1">'New PPC'!Z31</f>
        <v>1262.9249600000003</v>
      </c>
    </row>
    <row r="13" spans="1:26" x14ac:dyDescent="0.2">
      <c r="B13" s="24" t="s">
        <v>241</v>
      </c>
      <c r="C13" s="37">
        <f>'New Sales'!C23+'New Unique'!F10</f>
        <v>5000</v>
      </c>
      <c r="D13" s="37">
        <f>'New Sales'!D23+'New Unique'!G10</f>
        <v>5000</v>
      </c>
      <c r="E13" s="37">
        <f>'New Sales'!E23+'New Unique'!H10</f>
        <v>5500</v>
      </c>
      <c r="F13" s="37">
        <f>'New Sales'!F23+'New Unique'!I10</f>
        <v>5000</v>
      </c>
      <c r="G13" s="37">
        <f>'New Sales'!G23+'New Unique'!J10</f>
        <v>5600</v>
      </c>
      <c r="H13" s="37">
        <f>'New Sales'!H23+'New Unique'!K10</f>
        <v>5500</v>
      </c>
      <c r="I13" s="37">
        <f>'New Sales'!I23+'New Unique'!L10</f>
        <v>5700</v>
      </c>
      <c r="J13" s="37">
        <f>'New Sales'!J23+'New Unique'!M10</f>
        <v>5600</v>
      </c>
      <c r="K13" s="37">
        <f>'New Sales'!K23+'New Unique'!N10</f>
        <v>5800</v>
      </c>
      <c r="L13" s="37">
        <f>'New Sales'!L23+'New Unique'!O10</f>
        <v>5700</v>
      </c>
      <c r="M13" s="37">
        <f>'New Sales'!M23+'New Unique'!P10</f>
        <v>5900</v>
      </c>
      <c r="N13" s="37">
        <f>'New Sales'!N23+'New Unique'!Q10</f>
        <v>5800</v>
      </c>
      <c r="O13" s="33">
        <f ca="1">'New Sales'!O23+'New Unique'!R10</f>
        <v>5500.0000000000009</v>
      </c>
      <c r="P13" s="33">
        <f ca="1">'New Sales'!P23+'New Unique'!S10</f>
        <v>5900.0000000000009</v>
      </c>
      <c r="Q13" s="33">
        <f ca="1">'New Sales'!Q23+'New Unique'!T10</f>
        <v>5000.0000000000009</v>
      </c>
      <c r="R13" s="33">
        <f ca="1">'New Sales'!R23+'New Unique'!U10</f>
        <v>5400.0000000000009</v>
      </c>
      <c r="S13" s="33">
        <f ca="1">'New Sales'!S23+'New Unique'!V10</f>
        <v>5000.0000000000009</v>
      </c>
      <c r="T13" s="33">
        <f ca="1">'New Sales'!T23+'New Unique'!W10</f>
        <v>5300.0000000000009</v>
      </c>
      <c r="U13" s="33">
        <f ca="1">'New Sales'!U23+'New Unique'!X10</f>
        <v>5000.0000000000009</v>
      </c>
      <c r="V13" s="33">
        <f ca="1">'New Sales'!V23+'New Unique'!Y10</f>
        <v>5000.0000000000009</v>
      </c>
      <c r="W13" s="33">
        <f ca="1">'New Sales'!W23+'New Unique'!Z10</f>
        <v>5000.0000000000009</v>
      </c>
      <c r="X13" s="33">
        <f ca="1">'New Sales'!X23+'New Unique'!AA10</f>
        <v>5000.0000000000009</v>
      </c>
      <c r="Y13" s="33">
        <f ca="1">'New Sales'!Y23+'New Unique'!AB10</f>
        <v>5000.0000000000009</v>
      </c>
      <c r="Z13" s="33">
        <f ca="1">'New Sales'!Z23+'New Unique'!AC10</f>
        <v>5000.0000000000009</v>
      </c>
    </row>
    <row r="14" spans="1:26" x14ac:dyDescent="0.2">
      <c r="A14" s="17"/>
      <c r="B14" s="62" t="s">
        <v>233</v>
      </c>
      <c r="C14" s="90">
        <f t="shared" ref="C14:Z14" si="1">SUM(C10:C13)</f>
        <v>13893.279999999999</v>
      </c>
      <c r="D14" s="90">
        <f t="shared" si="1"/>
        <v>14147.47</v>
      </c>
      <c r="E14" s="90">
        <f t="shared" si="1"/>
        <v>14876.24</v>
      </c>
      <c r="F14" s="90">
        <f t="shared" si="1"/>
        <v>14582.13</v>
      </c>
      <c r="G14" s="90">
        <f t="shared" si="1"/>
        <v>15367.429999999998</v>
      </c>
      <c r="H14" s="90">
        <f t="shared" si="1"/>
        <v>15434.199999999999</v>
      </c>
      <c r="I14" s="90">
        <f t="shared" si="1"/>
        <v>15784.289999999999</v>
      </c>
      <c r="J14" s="90">
        <f t="shared" si="1"/>
        <v>15819.38</v>
      </c>
      <c r="K14" s="90">
        <f t="shared" si="1"/>
        <v>16140.96</v>
      </c>
      <c r="L14" s="90">
        <f t="shared" si="1"/>
        <v>16150.38</v>
      </c>
      <c r="M14" s="90">
        <f t="shared" si="1"/>
        <v>16448.86</v>
      </c>
      <c r="N14" s="90">
        <f t="shared" si="1"/>
        <v>16437.489999999998</v>
      </c>
      <c r="O14" s="63">
        <f t="shared" ca="1" si="1"/>
        <v>25101.909</v>
      </c>
      <c r="P14" s="63">
        <f t="shared" ca="1" si="1"/>
        <v>25709.266200000002</v>
      </c>
      <c r="Q14" s="63">
        <f t="shared" ca="1" si="1"/>
        <v>25384.589800000002</v>
      </c>
      <c r="R14" s="63">
        <f t="shared" ca="1" si="1"/>
        <v>25553.675800000001</v>
      </c>
      <c r="S14" s="63">
        <f t="shared" ca="1" si="1"/>
        <v>25785.8524</v>
      </c>
      <c r="T14" s="63">
        <f t="shared" ca="1" si="1"/>
        <v>26142.81134</v>
      </c>
      <c r="U14" s="63">
        <f t="shared" ca="1" si="1"/>
        <v>26126.071980000001</v>
      </c>
      <c r="V14" s="63">
        <f t="shared" ca="1" si="1"/>
        <v>26157.013780000001</v>
      </c>
      <c r="W14" s="63">
        <f t="shared" ca="1" si="1"/>
        <v>26416.8606</v>
      </c>
      <c r="X14" s="63">
        <f t="shared" ca="1" si="1"/>
        <v>26426.721120000002</v>
      </c>
      <c r="Y14" s="63">
        <f t="shared" ca="1" si="1"/>
        <v>26667.5972</v>
      </c>
      <c r="Z14" s="63">
        <f t="shared" ca="1" si="1"/>
        <v>26660.38406</v>
      </c>
    </row>
    <row r="15" spans="1:26" x14ac:dyDescent="0.2">
      <c r="A15" s="17"/>
      <c r="C15" s="131"/>
      <c r="D15" s="131"/>
      <c r="E15" s="131"/>
      <c r="F15" s="131"/>
      <c r="G15" s="131"/>
      <c r="H15" s="131"/>
      <c r="I15" s="131"/>
      <c r="J15" s="131"/>
      <c r="K15" s="155"/>
      <c r="L15" s="155"/>
      <c r="M15" s="155"/>
      <c r="N15" s="155"/>
      <c r="O15" s="24"/>
      <c r="P15" s="24"/>
      <c r="Q15" s="24"/>
      <c r="R15" s="24"/>
      <c r="S15" s="24"/>
      <c r="T15" s="24"/>
      <c r="U15" s="24"/>
      <c r="V15" s="33"/>
      <c r="W15" s="58"/>
      <c r="X15" s="24"/>
    </row>
    <row r="16" spans="1:26" x14ac:dyDescent="0.2">
      <c r="A16" s="17"/>
      <c r="B16" s="82" t="s">
        <v>119</v>
      </c>
      <c r="C16" s="14"/>
      <c r="D16" s="14"/>
      <c r="E16" s="14"/>
      <c r="F16" s="14"/>
      <c r="G16" s="14"/>
      <c r="H16" s="14"/>
      <c r="I16" s="14"/>
      <c r="J16" s="14"/>
      <c r="K16" s="156"/>
      <c r="L16" s="119"/>
      <c r="M16" s="119"/>
      <c r="N16" s="119"/>
      <c r="P16" s="154"/>
      <c r="Q16" s="154"/>
      <c r="R16" s="154"/>
      <c r="S16" s="154"/>
      <c r="T16" s="154"/>
      <c r="U16" s="154"/>
      <c r="V16" s="154"/>
      <c r="W16" s="154"/>
      <c r="X16" s="154"/>
      <c r="Y16" s="154"/>
    </row>
    <row r="17" spans="1:26" x14ac:dyDescent="0.2">
      <c r="A17" s="17"/>
      <c r="B17" s="24" t="str">
        <f>B10</f>
        <v>Retention</v>
      </c>
      <c r="C17" s="37">
        <v>353.04</v>
      </c>
      <c r="D17" s="37">
        <v>670.77</v>
      </c>
      <c r="E17" s="37">
        <v>956.73</v>
      </c>
      <c r="F17" s="37">
        <v>1214.0899999999999</v>
      </c>
      <c r="G17" s="37">
        <v>1445.72</v>
      </c>
      <c r="H17" s="37">
        <v>1654.19</v>
      </c>
      <c r="I17" s="37">
        <v>1841.8</v>
      </c>
      <c r="J17" s="37">
        <v>2010.66</v>
      </c>
      <c r="K17" s="37">
        <v>2162.63</v>
      </c>
      <c r="L17" s="37">
        <v>2299.41</v>
      </c>
      <c r="M17" s="37">
        <v>2422.5</v>
      </c>
      <c r="N17" s="37">
        <v>2533.29</v>
      </c>
      <c r="O17" s="58">
        <f>ROUND(O10/AVERAGE(O5:O6),2)</f>
        <v>13893.28</v>
      </c>
      <c r="P17" s="58">
        <f t="shared" ref="P17:Z17" si="2">ROUND(P10/AVERAGE(P5:P6),2)</f>
        <v>14147.47</v>
      </c>
      <c r="Q17" s="58">
        <f t="shared" si="2"/>
        <v>14876.24</v>
      </c>
      <c r="R17" s="58">
        <f t="shared" si="2"/>
        <v>14582.13</v>
      </c>
      <c r="S17" s="58">
        <f t="shared" si="2"/>
        <v>15367.43</v>
      </c>
      <c r="T17" s="58">
        <f t="shared" si="2"/>
        <v>15434.2</v>
      </c>
      <c r="U17" s="58">
        <f t="shared" si="2"/>
        <v>15784.29</v>
      </c>
      <c r="V17" s="58">
        <f t="shared" si="2"/>
        <v>15819.38</v>
      </c>
      <c r="W17" s="58">
        <f t="shared" si="2"/>
        <v>16140.96</v>
      </c>
      <c r="X17" s="58">
        <f t="shared" si="2"/>
        <v>16150.38</v>
      </c>
      <c r="Y17" s="58">
        <f t="shared" si="2"/>
        <v>16448.86</v>
      </c>
      <c r="Z17" s="58">
        <f t="shared" si="2"/>
        <v>16437.490000000002</v>
      </c>
    </row>
    <row r="18" spans="1:26" x14ac:dyDescent="0.2">
      <c r="A18" s="17"/>
      <c r="B18" s="24" t="str">
        <f>B11</f>
        <v>New Organic</v>
      </c>
      <c r="C18" s="37">
        <v>8442.01</v>
      </c>
      <c r="D18" s="37">
        <v>8442.01</v>
      </c>
      <c r="E18" s="37">
        <v>8442.01</v>
      </c>
      <c r="F18" s="37">
        <v>8442.01</v>
      </c>
      <c r="G18" s="37">
        <v>8442.01</v>
      </c>
      <c r="H18" s="37">
        <v>8442.01</v>
      </c>
      <c r="I18" s="37">
        <v>8442.01</v>
      </c>
      <c r="J18" s="37">
        <v>8442.01</v>
      </c>
      <c r="K18" s="37">
        <v>8442.01</v>
      </c>
      <c r="L18" s="37">
        <v>8442.01</v>
      </c>
      <c r="M18" s="37">
        <v>8442.01</v>
      </c>
      <c r="N18" s="37">
        <v>8442.01</v>
      </c>
      <c r="O18" s="58">
        <f ca="1">ROUND(O11/O5,2)</f>
        <v>8453.7800000000007</v>
      </c>
      <c r="P18" s="58">
        <f t="shared" ref="P18:Z18" ca="1" si="3">ROUND(P11/P5,2)</f>
        <v>8464.36</v>
      </c>
      <c r="Q18" s="58">
        <f t="shared" ca="1" si="3"/>
        <v>8473.89</v>
      </c>
      <c r="R18" s="58">
        <f t="shared" ca="1" si="3"/>
        <v>8482.4699999999993</v>
      </c>
      <c r="S18" s="58">
        <f t="shared" ca="1" si="3"/>
        <v>8490.19</v>
      </c>
      <c r="T18" s="58">
        <f t="shared" ca="1" si="3"/>
        <v>8497.14</v>
      </c>
      <c r="U18" s="58">
        <f t="shared" ca="1" si="3"/>
        <v>8503.39</v>
      </c>
      <c r="V18" s="58">
        <f t="shared" ca="1" si="3"/>
        <v>8509.02</v>
      </c>
      <c r="W18" s="58">
        <f t="shared" ca="1" si="3"/>
        <v>8514.08</v>
      </c>
      <c r="X18" s="58">
        <f t="shared" ca="1" si="3"/>
        <v>8518.64</v>
      </c>
      <c r="Y18" s="58">
        <f t="shared" ca="1" si="3"/>
        <v>8522.74</v>
      </c>
      <c r="Z18" s="58">
        <f t="shared" ca="1" si="3"/>
        <v>8526.43</v>
      </c>
    </row>
    <row r="19" spans="1:26" x14ac:dyDescent="0.2">
      <c r="A19" s="17"/>
      <c r="B19" s="24" t="str">
        <f>B12</f>
        <v>New PPC</v>
      </c>
      <c r="C19" s="37">
        <v>1688.4</v>
      </c>
      <c r="D19" s="37">
        <v>1688.4</v>
      </c>
      <c r="E19" s="37">
        <v>1688.4</v>
      </c>
      <c r="F19" s="37">
        <v>1688.4</v>
      </c>
      <c r="G19" s="37">
        <v>1688.4</v>
      </c>
      <c r="H19" s="37">
        <v>1688.4</v>
      </c>
      <c r="I19" s="37">
        <v>1688.4</v>
      </c>
      <c r="J19" s="37">
        <v>1688.4</v>
      </c>
      <c r="K19" s="37">
        <v>1688.4</v>
      </c>
      <c r="L19" s="37">
        <v>1688.4</v>
      </c>
      <c r="M19" s="37">
        <v>1688.4</v>
      </c>
      <c r="N19" s="37">
        <v>1688.4</v>
      </c>
      <c r="O19" s="58">
        <f ca="1">ROUND(O12/O5,2)</f>
        <v>1531.26</v>
      </c>
      <c r="P19" s="58">
        <f t="shared" ref="P19:Z19" ca="1" si="4">ROUND(P12/P5,2)</f>
        <v>1525.39</v>
      </c>
      <c r="Q19" s="58">
        <f t="shared" ca="1" si="4"/>
        <v>1506.81</v>
      </c>
      <c r="R19" s="58">
        <f t="shared" ca="1" si="4"/>
        <v>1503.38</v>
      </c>
      <c r="S19" s="58">
        <f t="shared" ca="1" si="4"/>
        <v>1500.29</v>
      </c>
      <c r="T19" s="58">
        <f t="shared" ca="1" si="4"/>
        <v>1497.51</v>
      </c>
      <c r="U19" s="58">
        <f t="shared" ca="1" si="4"/>
        <v>1495.01</v>
      </c>
      <c r="V19" s="58">
        <f t="shared" ca="1" si="4"/>
        <v>1492.76</v>
      </c>
      <c r="W19" s="58">
        <f t="shared" ca="1" si="4"/>
        <v>1490.73</v>
      </c>
      <c r="X19" s="58">
        <f t="shared" ca="1" si="4"/>
        <v>1488.91</v>
      </c>
      <c r="Y19" s="58">
        <f t="shared" ca="1" si="4"/>
        <v>1487.27</v>
      </c>
      <c r="Z19" s="58">
        <f t="shared" ca="1" si="4"/>
        <v>1485.79</v>
      </c>
    </row>
    <row r="20" spans="1:26" x14ac:dyDescent="0.2">
      <c r="A20" s="17"/>
      <c r="B20" s="24" t="str">
        <f>B13</f>
        <v>New Sales</v>
      </c>
      <c r="C20" s="37">
        <v>6666.67</v>
      </c>
      <c r="D20" s="37">
        <v>6666.67</v>
      </c>
      <c r="E20" s="37">
        <v>7333.33</v>
      </c>
      <c r="F20" s="37">
        <v>6666.67</v>
      </c>
      <c r="G20" s="37">
        <v>7466.67</v>
      </c>
      <c r="H20" s="37">
        <v>7333.33</v>
      </c>
      <c r="I20" s="37">
        <v>7600</v>
      </c>
      <c r="J20" s="37">
        <v>7466.67</v>
      </c>
      <c r="K20" s="37">
        <v>7733.33</v>
      </c>
      <c r="L20" s="37">
        <v>7600</v>
      </c>
      <c r="M20" s="37">
        <v>7866.67</v>
      </c>
      <c r="N20" s="37">
        <v>7733.33</v>
      </c>
      <c r="O20" s="58">
        <f ca="1">ROUND(O13/O6,2)</f>
        <v>7333.33</v>
      </c>
      <c r="P20" s="58">
        <f t="shared" ref="P20:Z20" ca="1" si="5">ROUND(P13/P6,2)</f>
        <v>7866.67</v>
      </c>
      <c r="Q20" s="58">
        <f t="shared" ca="1" si="5"/>
        <v>6666.67</v>
      </c>
      <c r="R20" s="58">
        <f t="shared" ca="1" si="5"/>
        <v>7200</v>
      </c>
      <c r="S20" s="58">
        <f t="shared" ca="1" si="5"/>
        <v>6666.67</v>
      </c>
      <c r="T20" s="58">
        <f t="shared" ca="1" si="5"/>
        <v>7066.67</v>
      </c>
      <c r="U20" s="58">
        <f t="shared" ca="1" si="5"/>
        <v>6666.67</v>
      </c>
      <c r="V20" s="58">
        <f t="shared" ca="1" si="5"/>
        <v>6666.67</v>
      </c>
      <c r="W20" s="58">
        <f t="shared" ca="1" si="5"/>
        <v>6666.67</v>
      </c>
      <c r="X20" s="58">
        <f t="shared" ca="1" si="5"/>
        <v>6666.67</v>
      </c>
      <c r="Y20" s="58">
        <f t="shared" ca="1" si="5"/>
        <v>6666.67</v>
      </c>
      <c r="Z20" s="58">
        <f t="shared" ca="1" si="5"/>
        <v>6666.67</v>
      </c>
    </row>
    <row r="21" spans="1:26" x14ac:dyDescent="0.2">
      <c r="A21" s="17"/>
      <c r="B21" s="62" t="s">
        <v>234</v>
      </c>
      <c r="C21" s="90">
        <f t="shared" ref="C21:Z21" si="6">SUM(C17:C20)</f>
        <v>17150.120000000003</v>
      </c>
      <c r="D21" s="90">
        <f t="shared" si="6"/>
        <v>17467.849999999999</v>
      </c>
      <c r="E21" s="151">
        <f t="shared" si="6"/>
        <v>18420.47</v>
      </c>
      <c r="F21" s="90">
        <f t="shared" si="6"/>
        <v>18011.169999999998</v>
      </c>
      <c r="G21" s="90">
        <f t="shared" si="6"/>
        <v>19042.8</v>
      </c>
      <c r="H21" s="90">
        <f t="shared" si="6"/>
        <v>19117.93</v>
      </c>
      <c r="I21" s="90">
        <f t="shared" si="6"/>
        <v>19572.21</v>
      </c>
      <c r="J21" s="90">
        <f t="shared" si="6"/>
        <v>19607.739999999998</v>
      </c>
      <c r="K21" s="90">
        <f t="shared" si="6"/>
        <v>20026.37</v>
      </c>
      <c r="L21" s="90">
        <f t="shared" si="6"/>
        <v>20029.82</v>
      </c>
      <c r="M21" s="90">
        <f t="shared" si="6"/>
        <v>20419.580000000002</v>
      </c>
      <c r="N21" s="90">
        <f t="shared" si="6"/>
        <v>20397.03</v>
      </c>
      <c r="O21" s="63">
        <f t="shared" ca="1" si="6"/>
        <v>31211.65</v>
      </c>
      <c r="P21" s="63">
        <f t="shared" ca="1" si="6"/>
        <v>32003.89</v>
      </c>
      <c r="Q21" s="63">
        <f t="shared" ca="1" si="6"/>
        <v>31523.61</v>
      </c>
      <c r="R21" s="63">
        <f t="shared" ca="1" si="6"/>
        <v>31767.98</v>
      </c>
      <c r="S21" s="63">
        <f t="shared" ca="1" si="6"/>
        <v>32024.58</v>
      </c>
      <c r="T21" s="63">
        <f t="shared" ca="1" si="6"/>
        <v>32495.519999999997</v>
      </c>
      <c r="U21" s="63">
        <f t="shared" ca="1" si="6"/>
        <v>32449.360000000001</v>
      </c>
      <c r="V21" s="63">
        <f t="shared" ca="1" si="6"/>
        <v>32487.83</v>
      </c>
      <c r="W21" s="63">
        <f t="shared" ca="1" si="6"/>
        <v>32812.44</v>
      </c>
      <c r="X21" s="63">
        <f t="shared" ca="1" si="6"/>
        <v>32824.6</v>
      </c>
      <c r="Y21" s="63">
        <f t="shared" ca="1" si="6"/>
        <v>33125.54</v>
      </c>
      <c r="Z21" s="63">
        <f t="shared" ca="1" si="6"/>
        <v>33116.380000000005</v>
      </c>
    </row>
  </sheetData>
  <pageMargins left="0.7" right="0.7" top="0.75" bottom="0.75" header="0.3" footer="0.3"/>
  <pageSetup scale="7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pageSetUpPr fitToPage="1"/>
  </sheetPr>
  <dimension ref="A1:AI60"/>
  <sheetViews>
    <sheetView zoomScaleNormal="100" workbookViewId="0">
      <pane xSplit="2" ySplit="3" topLeftCell="C4" activePane="bottomRight" state="frozen"/>
      <selection activeCell="N45" sqref="N45"/>
      <selection pane="topRight" activeCell="N45" sqref="N45"/>
      <selection pane="bottomLeft" activeCell="N45" sqref="N45"/>
      <selection pane="bottomRight" activeCell="E6" sqref="E6"/>
    </sheetView>
  </sheetViews>
  <sheetFormatPr baseColWidth="10" defaultColWidth="8.83203125" defaultRowHeight="15" x14ac:dyDescent="0.2"/>
  <cols>
    <col min="1" max="1" width="2" customWidth="1"/>
    <col min="2" max="2" width="44.83203125" style="8" customWidth="1"/>
    <col min="3" max="3" width="3.5" style="10" customWidth="1"/>
    <col min="4" max="4" width="3" style="10" customWidth="1"/>
    <col min="5" max="6" width="9" customWidth="1"/>
    <col min="7" max="7" width="10" style="1" customWidth="1"/>
    <col min="8" max="8" width="2.5" style="10" customWidth="1"/>
    <col min="9" max="9" width="7.5" bestFit="1" customWidth="1"/>
    <col min="10" max="11" width="8.5" bestFit="1" customWidth="1"/>
    <col min="12" max="17" width="8.5" customWidth="1"/>
    <col min="18" max="18" width="8.5" bestFit="1" customWidth="1"/>
    <col min="19" max="32" width="8.5" customWidth="1"/>
    <col min="33" max="33" width="3.1640625" customWidth="1"/>
    <col min="34" max="35" width="10" customWidth="1"/>
  </cols>
  <sheetData>
    <row r="1" spans="1:35" ht="19" x14ac:dyDescent="0.25">
      <c r="B1" s="42" t="s">
        <v>301</v>
      </c>
      <c r="C1" s="13"/>
      <c r="D1" s="9"/>
      <c r="E1" s="3"/>
      <c r="F1" s="11"/>
      <c r="G1" s="5"/>
      <c r="H1" s="1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H1" s="1"/>
      <c r="AI1" s="1"/>
    </row>
    <row r="2" spans="1:35" ht="7.5" customHeight="1" x14ac:dyDescent="0.2"/>
    <row r="3" spans="1:35" x14ac:dyDescent="0.2">
      <c r="A3" s="24"/>
      <c r="B3" s="43"/>
      <c r="C3" s="44" t="s">
        <v>108</v>
      </c>
      <c r="D3" s="44" t="s">
        <v>82</v>
      </c>
      <c r="E3" s="45" t="s">
        <v>78</v>
      </c>
      <c r="F3" s="45" t="s">
        <v>3</v>
      </c>
      <c r="G3" s="45" t="s">
        <v>99</v>
      </c>
      <c r="H3" s="44"/>
      <c r="I3" s="45">
        <v>41640</v>
      </c>
      <c r="J3" s="45">
        <v>41671</v>
      </c>
      <c r="K3" s="45">
        <v>41699</v>
      </c>
      <c r="L3" s="45">
        <v>41730</v>
      </c>
      <c r="M3" s="45">
        <v>41760</v>
      </c>
      <c r="N3" s="45">
        <v>41791</v>
      </c>
      <c r="O3" s="45">
        <v>41821</v>
      </c>
      <c r="P3" s="45">
        <v>41852</v>
      </c>
      <c r="Q3" s="45">
        <v>41883</v>
      </c>
      <c r="R3" s="45">
        <v>41913</v>
      </c>
      <c r="S3" s="45">
        <v>41944</v>
      </c>
      <c r="T3" s="45">
        <v>41974</v>
      </c>
      <c r="U3" s="45">
        <v>42005</v>
      </c>
      <c r="V3" s="45">
        <v>42036</v>
      </c>
      <c r="W3" s="45">
        <v>42064</v>
      </c>
      <c r="X3" s="45">
        <v>42095</v>
      </c>
      <c r="Y3" s="45">
        <v>42125</v>
      </c>
      <c r="Z3" s="45">
        <v>42156</v>
      </c>
      <c r="AA3" s="45">
        <v>42186</v>
      </c>
      <c r="AB3" s="45">
        <v>42217</v>
      </c>
      <c r="AC3" s="45">
        <v>42248</v>
      </c>
      <c r="AD3" s="45">
        <v>42278</v>
      </c>
      <c r="AE3" s="45">
        <v>42309</v>
      </c>
      <c r="AF3" s="45">
        <v>42339</v>
      </c>
      <c r="AG3" s="24"/>
      <c r="AH3" s="45" t="s">
        <v>142</v>
      </c>
      <c r="AI3" s="45" t="s">
        <v>143</v>
      </c>
    </row>
    <row r="4" spans="1:35" x14ac:dyDescent="0.2">
      <c r="A4" s="24"/>
      <c r="B4" s="43"/>
      <c r="C4" s="44"/>
      <c r="D4" s="46"/>
      <c r="E4" s="45"/>
      <c r="F4" s="45"/>
      <c r="G4" s="47"/>
      <c r="H4" s="44"/>
      <c r="J4" s="45"/>
      <c r="K4" s="45"/>
      <c r="L4" s="45"/>
      <c r="M4" s="45"/>
      <c r="N4" s="45"/>
      <c r="O4" s="45"/>
      <c r="P4" s="45"/>
      <c r="Q4" s="45"/>
      <c r="R4" s="45"/>
      <c r="S4" s="45"/>
      <c r="V4" s="45"/>
      <c r="W4" s="45"/>
      <c r="X4" s="45"/>
      <c r="Y4" s="45"/>
      <c r="Z4" s="45"/>
      <c r="AA4" s="45"/>
      <c r="AB4" s="47" t="s">
        <v>128</v>
      </c>
      <c r="AC4" s="48">
        <v>0.05</v>
      </c>
      <c r="AD4" s="45"/>
      <c r="AE4" s="45"/>
      <c r="AF4" s="45"/>
      <c r="AG4" s="24"/>
      <c r="AH4" s="94"/>
      <c r="AI4" s="94"/>
    </row>
    <row r="5" spans="1:35" x14ac:dyDescent="0.2">
      <c r="A5" s="24"/>
      <c r="B5" s="49" t="s">
        <v>127</v>
      </c>
      <c r="C5" s="50"/>
      <c r="D5" s="51"/>
      <c r="E5" s="25"/>
      <c r="F5" s="25"/>
      <c r="G5" s="39"/>
      <c r="H5" s="50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83"/>
      <c r="AI5" s="83"/>
    </row>
    <row r="6" spans="1:35" x14ac:dyDescent="0.2">
      <c r="A6" s="24" t="s">
        <v>100</v>
      </c>
      <c r="B6" s="43" t="s">
        <v>283</v>
      </c>
      <c r="C6" s="50" t="s">
        <v>81</v>
      </c>
      <c r="D6" s="50"/>
      <c r="E6" s="176">
        <v>41640</v>
      </c>
      <c r="F6" s="176"/>
      <c r="G6" s="36">
        <v>0</v>
      </c>
      <c r="H6" s="50"/>
      <c r="I6" s="101">
        <v>833.33333333333337</v>
      </c>
      <c r="J6" s="101">
        <v>833.33333333333337</v>
      </c>
      <c r="K6" s="101">
        <v>833.33333333333337</v>
      </c>
      <c r="L6" s="101">
        <v>833.33333333333337</v>
      </c>
      <c r="M6" s="101">
        <v>833.33333333333337</v>
      </c>
      <c r="N6" s="101">
        <v>833.33333333333337</v>
      </c>
      <c r="O6" s="101">
        <v>833.33333333333337</v>
      </c>
      <c r="P6" s="101">
        <v>833.33333333333337</v>
      </c>
      <c r="Q6" s="101">
        <v>833.33333333333337</v>
      </c>
      <c r="R6" s="101">
        <v>833.33333333333337</v>
      </c>
      <c r="S6" s="101">
        <v>833.33333333333337</v>
      </c>
      <c r="T6" s="101">
        <v>833.33333333333337</v>
      </c>
      <c r="U6" s="33">
        <f t="shared" ref="U6:AB8" si="0">IF(AND(MONTH(U$3)=MONTH($E6),YEAR(U$3)=YEAR($E6)),(DAY(EOMONTH($E6,0))-DAY($E6)+1)/DAY(EOMONTH($E6,0))*$G6/12,IF(AND(MONTH(U$3)=MONTH($F6),YEAR(U$3)=YEAR($F6)),DAY($F6)/DAY(EOMONTH($F6,0))*T6,IF(AND(U$3&gt;=$E6,OR($F6=0,U$3&lt;=$F6)),$G6*(1+$Q$4)/12,0)))</f>
        <v>0</v>
      </c>
      <c r="V6" s="33">
        <f t="shared" si="0"/>
        <v>0</v>
      </c>
      <c r="W6" s="33">
        <f t="shared" si="0"/>
        <v>0</v>
      </c>
      <c r="X6" s="33">
        <f t="shared" si="0"/>
        <v>0</v>
      </c>
      <c r="Y6" s="33">
        <f t="shared" si="0"/>
        <v>0</v>
      </c>
      <c r="Z6" s="33">
        <f t="shared" si="0"/>
        <v>0</v>
      </c>
      <c r="AA6" s="33">
        <f t="shared" si="0"/>
        <v>0</v>
      </c>
      <c r="AB6" s="33">
        <f t="shared" si="0"/>
        <v>0</v>
      </c>
      <c r="AC6" s="33">
        <f t="shared" ref="AC6:AF8" si="1">IF(AND(MONTH(AC$3)=MONTH($E6),YEAR(AC$3)=YEAR($E6)),(DAY(EOMONTH($E6,0))-DAY($E6)+1)/DAY(EOMONTH($E6,0))*$G6/12,IF(AND(MONTH(AC$3)=MONTH($F6),YEAR(AC$3)=YEAR($F6)),DAY($F6)/DAY(EOMONTH($F6,0))*AB6,IF(AND(AC$3&gt;=$E6,OR($F6=0,AC$3&lt;=$F6)),$G6*(1+$Q$4)*(1+$AC$4)/12,0)))</f>
        <v>0</v>
      </c>
      <c r="AD6" s="33">
        <f t="shared" si="1"/>
        <v>0</v>
      </c>
      <c r="AE6" s="33">
        <f t="shared" si="1"/>
        <v>0</v>
      </c>
      <c r="AF6" s="33">
        <f t="shared" si="1"/>
        <v>0</v>
      </c>
      <c r="AG6" s="24"/>
      <c r="AH6" s="84">
        <f>SUM(I6:T6)</f>
        <v>10000</v>
      </c>
      <c r="AI6" s="84">
        <f>SUM(U6:AF6)</f>
        <v>0</v>
      </c>
    </row>
    <row r="7" spans="1:35" x14ac:dyDescent="0.2">
      <c r="A7" s="24"/>
      <c r="B7" s="43" t="s">
        <v>284</v>
      </c>
      <c r="C7" s="50" t="s">
        <v>81</v>
      </c>
      <c r="D7" s="50"/>
      <c r="E7" s="176">
        <v>41640</v>
      </c>
      <c r="F7" s="176"/>
      <c r="G7" s="36">
        <v>0</v>
      </c>
      <c r="H7" s="50"/>
      <c r="I7" s="101">
        <v>833.33333333333337</v>
      </c>
      <c r="J7" s="101">
        <v>833.33333333333337</v>
      </c>
      <c r="K7" s="101">
        <v>833.33333333333337</v>
      </c>
      <c r="L7" s="101">
        <v>833.33333333333337</v>
      </c>
      <c r="M7" s="101">
        <v>833.33333333333337</v>
      </c>
      <c r="N7" s="101">
        <v>833.33333333333337</v>
      </c>
      <c r="O7" s="101">
        <v>833.33333333333337</v>
      </c>
      <c r="P7" s="101">
        <v>833.33333333333337</v>
      </c>
      <c r="Q7" s="101">
        <v>833.33333333333337</v>
      </c>
      <c r="R7" s="101">
        <v>833.33333333333337</v>
      </c>
      <c r="S7" s="101">
        <v>833.33333333333337</v>
      </c>
      <c r="T7" s="101">
        <v>833.33333333333337</v>
      </c>
      <c r="U7" s="33">
        <f t="shared" si="0"/>
        <v>0</v>
      </c>
      <c r="V7" s="33">
        <f t="shared" si="0"/>
        <v>0</v>
      </c>
      <c r="W7" s="33">
        <f t="shared" si="0"/>
        <v>0</v>
      </c>
      <c r="X7" s="33">
        <f t="shared" si="0"/>
        <v>0</v>
      </c>
      <c r="Y7" s="33">
        <f t="shared" si="0"/>
        <v>0</v>
      </c>
      <c r="Z7" s="33">
        <f t="shared" si="0"/>
        <v>0</v>
      </c>
      <c r="AA7" s="33">
        <f t="shared" si="0"/>
        <v>0</v>
      </c>
      <c r="AB7" s="33">
        <f t="shared" si="0"/>
        <v>0</v>
      </c>
      <c r="AC7" s="33">
        <f t="shared" si="1"/>
        <v>0</v>
      </c>
      <c r="AD7" s="33">
        <f t="shared" si="1"/>
        <v>0</v>
      </c>
      <c r="AE7" s="33">
        <f t="shared" si="1"/>
        <v>0</v>
      </c>
      <c r="AF7" s="33">
        <f t="shared" si="1"/>
        <v>0</v>
      </c>
      <c r="AG7" s="24"/>
      <c r="AH7" s="84">
        <f>SUM(I7:T7)</f>
        <v>10000</v>
      </c>
      <c r="AI7" s="84">
        <f>SUM(U7:AF7)</f>
        <v>0</v>
      </c>
    </row>
    <row r="8" spans="1:35" x14ac:dyDescent="0.2">
      <c r="A8" s="24" t="s">
        <v>100</v>
      </c>
      <c r="B8" s="43" t="s">
        <v>285</v>
      </c>
      <c r="C8" s="50" t="s">
        <v>81</v>
      </c>
      <c r="D8" s="50"/>
      <c r="E8" s="176">
        <v>41821</v>
      </c>
      <c r="F8" s="176"/>
      <c r="G8" s="36">
        <v>0</v>
      </c>
      <c r="H8" s="50"/>
      <c r="I8" s="101"/>
      <c r="J8" s="101"/>
      <c r="K8" s="101"/>
      <c r="L8" s="101"/>
      <c r="M8" s="101"/>
      <c r="N8" s="101"/>
      <c r="O8" s="101">
        <v>833.33333333333337</v>
      </c>
      <c r="P8" s="101">
        <v>833.33333333333337</v>
      </c>
      <c r="Q8" s="101">
        <v>833.33333333333337</v>
      </c>
      <c r="R8" s="101">
        <v>833.33333333333337</v>
      </c>
      <c r="S8" s="101">
        <v>833.33333333333337</v>
      </c>
      <c r="T8" s="101">
        <v>833.33333333333337</v>
      </c>
      <c r="U8" s="33">
        <f t="shared" si="0"/>
        <v>0</v>
      </c>
      <c r="V8" s="33">
        <f t="shared" si="0"/>
        <v>0</v>
      </c>
      <c r="W8" s="33">
        <f t="shared" si="0"/>
        <v>0</v>
      </c>
      <c r="X8" s="33">
        <f t="shared" si="0"/>
        <v>0</v>
      </c>
      <c r="Y8" s="33">
        <f t="shared" si="0"/>
        <v>0</v>
      </c>
      <c r="Z8" s="33">
        <f t="shared" si="0"/>
        <v>0</v>
      </c>
      <c r="AA8" s="33">
        <f t="shared" si="0"/>
        <v>0</v>
      </c>
      <c r="AB8" s="33">
        <f t="shared" si="0"/>
        <v>0</v>
      </c>
      <c r="AC8" s="33">
        <f t="shared" si="1"/>
        <v>0</v>
      </c>
      <c r="AD8" s="33">
        <f t="shared" si="1"/>
        <v>0</v>
      </c>
      <c r="AE8" s="33">
        <f t="shared" si="1"/>
        <v>0</v>
      </c>
      <c r="AF8" s="33">
        <f t="shared" si="1"/>
        <v>0</v>
      </c>
      <c r="AG8" s="24"/>
      <c r="AH8" s="84">
        <f>SUM(I8:T8)</f>
        <v>5000</v>
      </c>
      <c r="AI8" s="84">
        <f>SUM(U8:AF8)</f>
        <v>0</v>
      </c>
    </row>
    <row r="9" spans="1:35" x14ac:dyDescent="0.2">
      <c r="A9" s="24"/>
      <c r="B9" s="43"/>
      <c r="C9" s="50"/>
      <c r="D9" s="50"/>
      <c r="E9" s="176"/>
      <c r="F9" s="176"/>
      <c r="G9" s="36"/>
      <c r="H9" s="50"/>
      <c r="I9" s="33"/>
      <c r="J9" s="33"/>
      <c r="K9" s="33"/>
      <c r="L9" s="33"/>
      <c r="M9" s="37"/>
      <c r="N9" s="37"/>
      <c r="O9" s="33"/>
      <c r="P9" s="37"/>
      <c r="Q9" s="37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24"/>
      <c r="AH9" s="84"/>
      <c r="AI9" s="84"/>
    </row>
    <row r="10" spans="1:35" x14ac:dyDescent="0.2">
      <c r="A10" s="24"/>
      <c r="B10" s="49" t="s">
        <v>262</v>
      </c>
      <c r="C10" s="50"/>
      <c r="D10" s="51"/>
      <c r="E10" s="177"/>
      <c r="F10" s="177"/>
      <c r="G10" s="178"/>
      <c r="H10" s="50"/>
      <c r="I10" s="33"/>
      <c r="J10" s="33"/>
      <c r="K10" s="33"/>
      <c r="L10" s="33"/>
      <c r="M10" s="37"/>
      <c r="N10" s="37"/>
      <c r="O10" s="33"/>
      <c r="P10" s="37"/>
      <c r="Q10" s="37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24"/>
      <c r="AH10" s="84"/>
      <c r="AI10" s="84"/>
    </row>
    <row r="11" spans="1:35" x14ac:dyDescent="0.2">
      <c r="A11" s="24"/>
      <c r="B11" s="43" t="s">
        <v>287</v>
      </c>
      <c r="C11" s="50" t="s">
        <v>103</v>
      </c>
      <c r="D11" s="50"/>
      <c r="E11" s="176">
        <v>41640</v>
      </c>
      <c r="F11" s="176"/>
      <c r="G11" s="36">
        <v>0</v>
      </c>
      <c r="H11" s="50"/>
      <c r="I11" s="101">
        <v>833.33333333333337</v>
      </c>
      <c r="J11" s="101">
        <v>833.33333333333337</v>
      </c>
      <c r="K11" s="101">
        <v>833.33333333333337</v>
      </c>
      <c r="L11" s="101">
        <v>833.33333333333337</v>
      </c>
      <c r="M11" s="101">
        <v>833.33333333333337</v>
      </c>
      <c r="N11" s="101">
        <v>833.33333333333337</v>
      </c>
      <c r="O11" s="101">
        <v>833.33333333333337</v>
      </c>
      <c r="P11" s="101">
        <v>833.33333333333337</v>
      </c>
      <c r="Q11" s="101">
        <v>833.33333333333337</v>
      </c>
      <c r="R11" s="101">
        <v>833.33333333333337</v>
      </c>
      <c r="S11" s="101">
        <v>833.33333333333337</v>
      </c>
      <c r="T11" s="101">
        <v>833.33333333333337</v>
      </c>
      <c r="U11" s="33">
        <f t="shared" ref="U11:AB17" si="2">IF(AND(MONTH(U$3)=MONTH($E11),YEAR(U$3)=YEAR($E11)),(DAY(EOMONTH($E11,0))-DAY($E11)+1)/DAY(EOMONTH($E11,0))*$G11/12,IF(AND(MONTH(U$3)=MONTH($F11),YEAR(U$3)=YEAR($F11)),DAY($F11)/DAY(EOMONTH($F11,0))*T11,IF(AND(U$3&gt;=$E11,OR($F11=0,U$3&lt;=$F11)),$G11*(1+$Q$4)/12,0)))</f>
        <v>0</v>
      </c>
      <c r="V11" s="33">
        <f t="shared" si="2"/>
        <v>0</v>
      </c>
      <c r="W11" s="33">
        <f t="shared" si="2"/>
        <v>0</v>
      </c>
      <c r="X11" s="33">
        <f t="shared" si="2"/>
        <v>0</v>
      </c>
      <c r="Y11" s="33">
        <f t="shared" si="2"/>
        <v>0</v>
      </c>
      <c r="Z11" s="33">
        <f t="shared" si="2"/>
        <v>0</v>
      </c>
      <c r="AA11" s="33">
        <f t="shared" si="2"/>
        <v>0</v>
      </c>
      <c r="AB11" s="33">
        <f t="shared" si="2"/>
        <v>0</v>
      </c>
      <c r="AC11" s="33">
        <f t="shared" ref="AC11:AF17" si="3">IF(AND(MONTH(AC$3)=MONTH($E11),YEAR(AC$3)=YEAR($E11)),(DAY(EOMONTH($E11,0))-DAY($E11)+1)/DAY(EOMONTH($E11,0))*$G11/12,IF(AND(MONTH(AC$3)=MONTH($F11),YEAR(AC$3)=YEAR($F11)),DAY($F11)/DAY(EOMONTH($F11,0))*AB11,IF(AND(AC$3&gt;=$E11,OR($F11=0,AC$3&lt;=$F11)),$G11*(1+$Q$4)*(1+$AC$4)/12,0)))</f>
        <v>0</v>
      </c>
      <c r="AD11" s="33">
        <f t="shared" si="3"/>
        <v>0</v>
      </c>
      <c r="AE11" s="33">
        <f t="shared" si="3"/>
        <v>0</v>
      </c>
      <c r="AF11" s="33">
        <f t="shared" si="3"/>
        <v>0</v>
      </c>
      <c r="AG11" s="24"/>
      <c r="AH11" s="84">
        <f t="shared" ref="AH11:AH17" si="4">SUM(I11:T11)</f>
        <v>10000</v>
      </c>
      <c r="AI11" s="84">
        <f t="shared" ref="AI11:AI17" si="5">SUM(U11:AF11)</f>
        <v>0</v>
      </c>
    </row>
    <row r="12" spans="1:35" x14ac:dyDescent="0.2">
      <c r="A12" s="24"/>
      <c r="B12" s="43" t="s">
        <v>288</v>
      </c>
      <c r="C12" s="50" t="s">
        <v>103</v>
      </c>
      <c r="D12" s="50"/>
      <c r="E12" s="176">
        <v>41640</v>
      </c>
      <c r="F12" s="176"/>
      <c r="G12" s="36">
        <v>0</v>
      </c>
      <c r="H12" s="50"/>
      <c r="I12" s="101">
        <v>833.33333333333337</v>
      </c>
      <c r="J12" s="101">
        <v>833.33333333333337</v>
      </c>
      <c r="K12" s="101">
        <v>833.33333333333337</v>
      </c>
      <c r="L12" s="101">
        <v>833.33333333333337</v>
      </c>
      <c r="M12" s="101">
        <v>833.33333333333337</v>
      </c>
      <c r="N12" s="101">
        <v>833.33333333333337</v>
      </c>
      <c r="O12" s="101">
        <v>833.33333333333337</v>
      </c>
      <c r="P12" s="101">
        <v>833.33333333333337</v>
      </c>
      <c r="Q12" s="101">
        <v>833.33333333333337</v>
      </c>
      <c r="R12" s="101">
        <v>833.33333333333337</v>
      </c>
      <c r="S12" s="101">
        <v>833.33333333333337</v>
      </c>
      <c r="T12" s="101">
        <v>833.33333333333337</v>
      </c>
      <c r="U12" s="33">
        <f t="shared" si="2"/>
        <v>0</v>
      </c>
      <c r="V12" s="33">
        <f t="shared" si="2"/>
        <v>0</v>
      </c>
      <c r="W12" s="33">
        <f t="shared" si="2"/>
        <v>0</v>
      </c>
      <c r="X12" s="33">
        <f t="shared" si="2"/>
        <v>0</v>
      </c>
      <c r="Y12" s="33">
        <f t="shared" si="2"/>
        <v>0</v>
      </c>
      <c r="Z12" s="33">
        <f t="shared" si="2"/>
        <v>0</v>
      </c>
      <c r="AA12" s="33">
        <f t="shared" si="2"/>
        <v>0</v>
      </c>
      <c r="AB12" s="33">
        <f t="shared" si="2"/>
        <v>0</v>
      </c>
      <c r="AC12" s="33">
        <f t="shared" si="3"/>
        <v>0</v>
      </c>
      <c r="AD12" s="33">
        <f t="shared" si="3"/>
        <v>0</v>
      </c>
      <c r="AE12" s="33">
        <f t="shared" si="3"/>
        <v>0</v>
      </c>
      <c r="AF12" s="33">
        <f t="shared" si="3"/>
        <v>0</v>
      </c>
      <c r="AG12" s="24"/>
      <c r="AH12" s="84">
        <f t="shared" si="4"/>
        <v>10000</v>
      </c>
      <c r="AI12" s="84">
        <f t="shared" si="5"/>
        <v>0</v>
      </c>
    </row>
    <row r="13" spans="1:35" x14ac:dyDescent="0.2">
      <c r="A13" s="24"/>
      <c r="B13" s="43" t="s">
        <v>289</v>
      </c>
      <c r="C13" s="50" t="s">
        <v>103</v>
      </c>
      <c r="D13" s="50"/>
      <c r="E13" s="176">
        <v>41640</v>
      </c>
      <c r="F13" s="176"/>
      <c r="G13" s="36">
        <v>0</v>
      </c>
      <c r="H13" s="50"/>
      <c r="I13" s="101">
        <v>833.33333333333337</v>
      </c>
      <c r="J13" s="101">
        <v>833.33333333333337</v>
      </c>
      <c r="K13" s="101">
        <v>833.33333333333337</v>
      </c>
      <c r="L13" s="101">
        <v>833.33333333333337</v>
      </c>
      <c r="M13" s="101">
        <v>833.33333333333337</v>
      </c>
      <c r="N13" s="101">
        <v>833.33333333333337</v>
      </c>
      <c r="O13" s="101">
        <v>833.33333333333337</v>
      </c>
      <c r="P13" s="101">
        <v>833.33333333333337</v>
      </c>
      <c r="Q13" s="101">
        <v>833.33333333333337</v>
      </c>
      <c r="R13" s="101">
        <v>833.33333333333337</v>
      </c>
      <c r="S13" s="101">
        <v>833.33333333333337</v>
      </c>
      <c r="T13" s="101">
        <v>833.33333333333337</v>
      </c>
      <c r="U13" s="33">
        <f t="shared" si="2"/>
        <v>0</v>
      </c>
      <c r="V13" s="33">
        <f t="shared" si="2"/>
        <v>0</v>
      </c>
      <c r="W13" s="33">
        <f t="shared" si="2"/>
        <v>0</v>
      </c>
      <c r="X13" s="33">
        <f t="shared" si="2"/>
        <v>0</v>
      </c>
      <c r="Y13" s="33">
        <f t="shared" si="2"/>
        <v>0</v>
      </c>
      <c r="Z13" s="33">
        <f t="shared" si="2"/>
        <v>0</v>
      </c>
      <c r="AA13" s="33">
        <f t="shared" si="2"/>
        <v>0</v>
      </c>
      <c r="AB13" s="33">
        <f t="shared" si="2"/>
        <v>0</v>
      </c>
      <c r="AC13" s="33">
        <f t="shared" si="3"/>
        <v>0</v>
      </c>
      <c r="AD13" s="33">
        <f t="shared" si="3"/>
        <v>0</v>
      </c>
      <c r="AE13" s="33">
        <f t="shared" si="3"/>
        <v>0</v>
      </c>
      <c r="AF13" s="33">
        <f t="shared" si="3"/>
        <v>0</v>
      </c>
      <c r="AG13" s="24"/>
      <c r="AH13" s="84">
        <f t="shared" si="4"/>
        <v>10000</v>
      </c>
      <c r="AI13" s="84">
        <f t="shared" si="5"/>
        <v>0</v>
      </c>
    </row>
    <row r="14" spans="1:35" x14ac:dyDescent="0.2">
      <c r="A14" s="24"/>
      <c r="B14" s="43" t="s">
        <v>286</v>
      </c>
      <c r="C14" s="50" t="s">
        <v>103</v>
      </c>
      <c r="D14" s="50"/>
      <c r="E14" s="176">
        <v>41640</v>
      </c>
      <c r="F14" s="176"/>
      <c r="G14" s="36">
        <v>0</v>
      </c>
      <c r="H14" s="50"/>
      <c r="I14" s="101">
        <v>833.33333333333337</v>
      </c>
      <c r="J14" s="101">
        <v>833.33333333333337</v>
      </c>
      <c r="K14" s="101">
        <v>833.33333333333337</v>
      </c>
      <c r="L14" s="101">
        <v>833.33333333333337</v>
      </c>
      <c r="M14" s="101">
        <v>833.33333333333337</v>
      </c>
      <c r="N14" s="101">
        <v>833.33333333333337</v>
      </c>
      <c r="O14" s="101">
        <v>833.33333333333337</v>
      </c>
      <c r="P14" s="101">
        <v>833.33333333333337</v>
      </c>
      <c r="Q14" s="101">
        <v>833.33333333333337</v>
      </c>
      <c r="R14" s="101">
        <v>833.33333333333337</v>
      </c>
      <c r="S14" s="101">
        <v>833.33333333333337</v>
      </c>
      <c r="T14" s="101">
        <v>833.33333333333337</v>
      </c>
      <c r="U14" s="33">
        <f t="shared" si="2"/>
        <v>0</v>
      </c>
      <c r="V14" s="33">
        <f t="shared" si="2"/>
        <v>0</v>
      </c>
      <c r="W14" s="33">
        <f t="shared" si="2"/>
        <v>0</v>
      </c>
      <c r="X14" s="33">
        <f t="shared" si="2"/>
        <v>0</v>
      </c>
      <c r="Y14" s="33">
        <f t="shared" si="2"/>
        <v>0</v>
      </c>
      <c r="Z14" s="33">
        <f t="shared" si="2"/>
        <v>0</v>
      </c>
      <c r="AA14" s="33">
        <f t="shared" si="2"/>
        <v>0</v>
      </c>
      <c r="AB14" s="33">
        <f t="shared" si="2"/>
        <v>0</v>
      </c>
      <c r="AC14" s="33">
        <f t="shared" si="3"/>
        <v>0</v>
      </c>
      <c r="AD14" s="33">
        <f t="shared" si="3"/>
        <v>0</v>
      </c>
      <c r="AE14" s="33">
        <f t="shared" si="3"/>
        <v>0</v>
      </c>
      <c r="AF14" s="33">
        <f t="shared" si="3"/>
        <v>0</v>
      </c>
      <c r="AG14" s="24"/>
      <c r="AH14" s="84">
        <f t="shared" si="4"/>
        <v>10000</v>
      </c>
      <c r="AI14" s="84">
        <f t="shared" si="5"/>
        <v>0</v>
      </c>
    </row>
    <row r="15" spans="1:35" x14ac:dyDescent="0.2">
      <c r="A15" s="24"/>
      <c r="B15" s="43" t="s">
        <v>286</v>
      </c>
      <c r="C15" s="50" t="s">
        <v>103</v>
      </c>
      <c r="D15" s="50"/>
      <c r="E15" s="176">
        <v>41640</v>
      </c>
      <c r="F15" s="176"/>
      <c r="G15" s="36">
        <v>0</v>
      </c>
      <c r="H15" s="50"/>
      <c r="I15" s="101">
        <v>833.33333333333337</v>
      </c>
      <c r="J15" s="101">
        <v>833.33333333333337</v>
      </c>
      <c r="K15" s="101">
        <v>833.33333333333337</v>
      </c>
      <c r="L15" s="101">
        <v>833.33333333333337</v>
      </c>
      <c r="M15" s="101">
        <v>833.33333333333337</v>
      </c>
      <c r="N15" s="101">
        <v>833.33333333333337</v>
      </c>
      <c r="O15" s="101">
        <v>833.33333333333337</v>
      </c>
      <c r="P15" s="101">
        <v>833.33333333333337</v>
      </c>
      <c r="Q15" s="101">
        <v>833.33333333333337</v>
      </c>
      <c r="R15" s="101">
        <v>833.33333333333337</v>
      </c>
      <c r="S15" s="101">
        <v>833.33333333333337</v>
      </c>
      <c r="T15" s="101">
        <v>833.33333333333337</v>
      </c>
      <c r="U15" s="33">
        <f t="shared" si="2"/>
        <v>0</v>
      </c>
      <c r="V15" s="33">
        <f t="shared" si="2"/>
        <v>0</v>
      </c>
      <c r="W15" s="33">
        <f t="shared" si="2"/>
        <v>0</v>
      </c>
      <c r="X15" s="33">
        <f t="shared" si="2"/>
        <v>0</v>
      </c>
      <c r="Y15" s="33">
        <f t="shared" si="2"/>
        <v>0</v>
      </c>
      <c r="Z15" s="33">
        <f t="shared" si="2"/>
        <v>0</v>
      </c>
      <c r="AA15" s="33">
        <f t="shared" si="2"/>
        <v>0</v>
      </c>
      <c r="AB15" s="33">
        <f t="shared" si="2"/>
        <v>0</v>
      </c>
      <c r="AC15" s="33">
        <f t="shared" si="3"/>
        <v>0</v>
      </c>
      <c r="AD15" s="33">
        <f t="shared" si="3"/>
        <v>0</v>
      </c>
      <c r="AE15" s="33">
        <f t="shared" si="3"/>
        <v>0</v>
      </c>
      <c r="AF15" s="33">
        <f t="shared" si="3"/>
        <v>0</v>
      </c>
      <c r="AG15" s="24"/>
      <c r="AH15" s="84">
        <f t="shared" si="4"/>
        <v>10000</v>
      </c>
      <c r="AI15" s="84">
        <f t="shared" si="5"/>
        <v>0</v>
      </c>
    </row>
    <row r="16" spans="1:35" x14ac:dyDescent="0.2">
      <c r="A16" s="24"/>
      <c r="B16" s="43" t="s">
        <v>286</v>
      </c>
      <c r="C16" s="50" t="s">
        <v>103</v>
      </c>
      <c r="D16" s="50"/>
      <c r="E16" s="176">
        <v>41821</v>
      </c>
      <c r="F16" s="176"/>
      <c r="G16" s="36">
        <v>0</v>
      </c>
      <c r="H16" s="50"/>
      <c r="I16" s="101"/>
      <c r="J16" s="101"/>
      <c r="K16" s="101"/>
      <c r="L16" s="101"/>
      <c r="M16" s="101"/>
      <c r="N16" s="101"/>
      <c r="O16" s="101">
        <v>833.33333333333337</v>
      </c>
      <c r="P16" s="101">
        <v>833.33333333333337</v>
      </c>
      <c r="Q16" s="101">
        <v>833.33333333333337</v>
      </c>
      <c r="R16" s="101">
        <v>833.33333333333337</v>
      </c>
      <c r="S16" s="101">
        <v>833.33333333333337</v>
      </c>
      <c r="T16" s="101">
        <v>833.33333333333337</v>
      </c>
      <c r="U16" s="33">
        <f t="shared" si="2"/>
        <v>0</v>
      </c>
      <c r="V16" s="33">
        <f t="shared" si="2"/>
        <v>0</v>
      </c>
      <c r="W16" s="33">
        <f t="shared" si="2"/>
        <v>0</v>
      </c>
      <c r="X16" s="33">
        <f t="shared" si="2"/>
        <v>0</v>
      </c>
      <c r="Y16" s="33">
        <f t="shared" si="2"/>
        <v>0</v>
      </c>
      <c r="Z16" s="33">
        <f t="shared" si="2"/>
        <v>0</v>
      </c>
      <c r="AA16" s="33">
        <f t="shared" si="2"/>
        <v>0</v>
      </c>
      <c r="AB16" s="33">
        <f t="shared" si="2"/>
        <v>0</v>
      </c>
      <c r="AC16" s="33">
        <f t="shared" si="3"/>
        <v>0</v>
      </c>
      <c r="AD16" s="33">
        <f t="shared" si="3"/>
        <v>0</v>
      </c>
      <c r="AE16" s="33">
        <f t="shared" si="3"/>
        <v>0</v>
      </c>
      <c r="AF16" s="33">
        <f t="shared" si="3"/>
        <v>0</v>
      </c>
      <c r="AG16" s="24"/>
      <c r="AH16" s="84">
        <f t="shared" si="4"/>
        <v>5000</v>
      </c>
      <c r="AI16" s="84">
        <f t="shared" si="5"/>
        <v>0</v>
      </c>
    </row>
    <row r="17" spans="1:35" x14ac:dyDescent="0.2">
      <c r="A17" s="24"/>
      <c r="B17" s="43" t="s">
        <v>286</v>
      </c>
      <c r="C17" s="50" t="s">
        <v>103</v>
      </c>
      <c r="D17" s="50"/>
      <c r="E17" s="176">
        <v>41821</v>
      </c>
      <c r="F17" s="176"/>
      <c r="G17" s="36">
        <v>0</v>
      </c>
      <c r="H17" s="50"/>
      <c r="I17" s="101"/>
      <c r="J17" s="101"/>
      <c r="K17" s="101"/>
      <c r="L17" s="101"/>
      <c r="M17" s="101"/>
      <c r="N17" s="101"/>
      <c r="O17" s="101">
        <v>833.33333333333337</v>
      </c>
      <c r="P17" s="101">
        <v>833.33333333333337</v>
      </c>
      <c r="Q17" s="101">
        <v>833.33333333333337</v>
      </c>
      <c r="R17" s="101">
        <v>833.33333333333337</v>
      </c>
      <c r="S17" s="101">
        <v>833.33333333333337</v>
      </c>
      <c r="T17" s="101">
        <v>833.33333333333337</v>
      </c>
      <c r="U17" s="33">
        <f t="shared" si="2"/>
        <v>0</v>
      </c>
      <c r="V17" s="33">
        <f t="shared" si="2"/>
        <v>0</v>
      </c>
      <c r="W17" s="33">
        <f t="shared" si="2"/>
        <v>0</v>
      </c>
      <c r="X17" s="33">
        <f t="shared" si="2"/>
        <v>0</v>
      </c>
      <c r="Y17" s="33">
        <f t="shared" si="2"/>
        <v>0</v>
      </c>
      <c r="Z17" s="33">
        <f t="shared" si="2"/>
        <v>0</v>
      </c>
      <c r="AA17" s="33">
        <f t="shared" si="2"/>
        <v>0</v>
      </c>
      <c r="AB17" s="33">
        <f t="shared" si="2"/>
        <v>0</v>
      </c>
      <c r="AC17" s="33">
        <f t="shared" si="3"/>
        <v>0</v>
      </c>
      <c r="AD17" s="33">
        <f t="shared" si="3"/>
        <v>0</v>
      </c>
      <c r="AE17" s="33">
        <f t="shared" si="3"/>
        <v>0</v>
      </c>
      <c r="AF17" s="33">
        <f t="shared" si="3"/>
        <v>0</v>
      </c>
      <c r="AG17" s="24"/>
      <c r="AH17" s="84">
        <f t="shared" si="4"/>
        <v>5000</v>
      </c>
      <c r="AI17" s="84">
        <f t="shared" si="5"/>
        <v>0</v>
      </c>
    </row>
    <row r="18" spans="1:35" x14ac:dyDescent="0.2">
      <c r="A18" s="24"/>
      <c r="B18" s="43"/>
      <c r="C18" s="50"/>
      <c r="D18" s="50"/>
      <c r="E18" s="179"/>
      <c r="F18" s="179"/>
      <c r="G18" s="179"/>
      <c r="H18" s="50"/>
      <c r="I18" s="37"/>
      <c r="J18" s="37"/>
      <c r="K18" s="37"/>
      <c r="L18" s="37"/>
      <c r="M18" s="37"/>
      <c r="N18" s="37"/>
      <c r="O18" s="37"/>
      <c r="P18" s="37"/>
      <c r="Q18" s="37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24"/>
      <c r="AH18" s="84"/>
      <c r="AI18" s="84"/>
    </row>
    <row r="19" spans="1:35" x14ac:dyDescent="0.2">
      <c r="A19" s="24"/>
      <c r="B19" s="49" t="s">
        <v>2</v>
      </c>
      <c r="C19" s="50"/>
      <c r="D19" s="50"/>
      <c r="E19" s="176"/>
      <c r="F19" s="176"/>
      <c r="G19" s="36"/>
      <c r="H19" s="50"/>
      <c r="I19" s="108"/>
      <c r="J19" s="108"/>
      <c r="K19" s="33"/>
      <c r="L19" s="33"/>
      <c r="M19" s="37"/>
      <c r="N19" s="37"/>
      <c r="O19" s="37"/>
      <c r="P19" s="37"/>
      <c r="Q19" s="37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24"/>
      <c r="AH19" s="84"/>
      <c r="AI19" s="84"/>
    </row>
    <row r="20" spans="1:35" x14ac:dyDescent="0.2">
      <c r="A20" s="24" t="s">
        <v>100</v>
      </c>
      <c r="B20" s="43" t="s">
        <v>290</v>
      </c>
      <c r="C20" s="50" t="s">
        <v>113</v>
      </c>
      <c r="D20" s="50"/>
      <c r="E20" s="176">
        <v>41640</v>
      </c>
      <c r="F20" s="176"/>
      <c r="G20" s="36">
        <v>0</v>
      </c>
      <c r="H20" s="50"/>
      <c r="I20" s="101">
        <v>833.33333333333337</v>
      </c>
      <c r="J20" s="101">
        <v>833.33333333333337</v>
      </c>
      <c r="K20" s="101">
        <v>833.33333333333337</v>
      </c>
      <c r="L20" s="101">
        <v>833.33333333333337</v>
      </c>
      <c r="M20" s="101">
        <v>833.33333333333337</v>
      </c>
      <c r="N20" s="101">
        <v>833.33333333333337</v>
      </c>
      <c r="O20" s="101">
        <v>833.33333333333337</v>
      </c>
      <c r="P20" s="101">
        <v>833.33333333333337</v>
      </c>
      <c r="Q20" s="101">
        <v>833.33333333333337</v>
      </c>
      <c r="R20" s="101">
        <v>833.33333333333337</v>
      </c>
      <c r="S20" s="101">
        <v>833.33333333333337</v>
      </c>
      <c r="T20" s="101">
        <v>833.33333333333337</v>
      </c>
      <c r="U20" s="33">
        <f t="shared" ref="U20:AB23" si="6">IF(AND(MONTH(U$3)=MONTH($E20),YEAR(U$3)=YEAR($E20)),(DAY(EOMONTH($E20,0))-DAY($E20)+1)/DAY(EOMONTH($E20,0))*$G20/12,IF(AND(MONTH(U$3)=MONTH($F20),YEAR(U$3)=YEAR($F20)),DAY($F20)/DAY(EOMONTH($F20,0))*T20,IF(AND(U$3&gt;=$E20,OR($F20=0,U$3&lt;=$F20)),$G20*(1+$Q$4)/12,0)))</f>
        <v>0</v>
      </c>
      <c r="V20" s="33">
        <f t="shared" si="6"/>
        <v>0</v>
      </c>
      <c r="W20" s="33">
        <f t="shared" si="6"/>
        <v>0</v>
      </c>
      <c r="X20" s="33">
        <f t="shared" si="6"/>
        <v>0</v>
      </c>
      <c r="Y20" s="33">
        <f t="shared" si="6"/>
        <v>0</v>
      </c>
      <c r="Z20" s="33">
        <f t="shared" si="6"/>
        <v>0</v>
      </c>
      <c r="AA20" s="33">
        <f t="shared" si="6"/>
        <v>0</v>
      </c>
      <c r="AB20" s="33">
        <f t="shared" si="6"/>
        <v>0</v>
      </c>
      <c r="AC20" s="33">
        <f t="shared" ref="AC20:AF23" si="7">IF(AND(MONTH(AC$3)=MONTH($E20),YEAR(AC$3)=YEAR($E20)),(DAY(EOMONTH($E20,0))-DAY($E20)+1)/DAY(EOMONTH($E20,0))*$G20/12,IF(AND(MONTH(AC$3)=MONTH($F20),YEAR(AC$3)=YEAR($F20)),DAY($F20)/DAY(EOMONTH($F20,0))*AB20,IF(AND(AC$3&gt;=$E20,OR($F20=0,AC$3&lt;=$F20)),$G20*(1+$Q$4)*(1+$AC$4)/12,0)))</f>
        <v>0</v>
      </c>
      <c r="AD20" s="33">
        <f t="shared" si="7"/>
        <v>0</v>
      </c>
      <c r="AE20" s="33">
        <f t="shared" si="7"/>
        <v>0</v>
      </c>
      <c r="AF20" s="33">
        <f t="shared" si="7"/>
        <v>0</v>
      </c>
      <c r="AG20" s="24"/>
      <c r="AH20" s="84">
        <f>SUM(I20:T20)</f>
        <v>10000</v>
      </c>
      <c r="AI20" s="84">
        <f>SUM(U20:AF20)</f>
        <v>0</v>
      </c>
    </row>
    <row r="21" spans="1:35" x14ac:dyDescent="0.2">
      <c r="A21" s="24"/>
      <c r="B21" s="43" t="s">
        <v>292</v>
      </c>
      <c r="C21" s="50" t="s">
        <v>113</v>
      </c>
      <c r="D21" s="50"/>
      <c r="E21" s="176">
        <v>41640</v>
      </c>
      <c r="F21" s="176"/>
      <c r="G21" s="36">
        <v>0</v>
      </c>
      <c r="H21" s="50"/>
      <c r="I21" s="101">
        <v>833.33333333333337</v>
      </c>
      <c r="J21" s="101">
        <v>833.33333333333337</v>
      </c>
      <c r="K21" s="101">
        <v>833.33333333333337</v>
      </c>
      <c r="L21" s="101">
        <v>833.33333333333337</v>
      </c>
      <c r="M21" s="101">
        <v>833.33333333333337</v>
      </c>
      <c r="N21" s="101">
        <v>833.33333333333337</v>
      </c>
      <c r="O21" s="101">
        <v>833.33333333333337</v>
      </c>
      <c r="P21" s="101">
        <v>833.33333333333337</v>
      </c>
      <c r="Q21" s="101">
        <v>833.33333333333337</v>
      </c>
      <c r="R21" s="101">
        <v>833.33333333333337</v>
      </c>
      <c r="S21" s="101">
        <v>833.33333333333337</v>
      </c>
      <c r="T21" s="101">
        <v>833.33333333333337</v>
      </c>
      <c r="U21" s="33">
        <f t="shared" si="6"/>
        <v>0</v>
      </c>
      <c r="V21" s="33">
        <f t="shared" si="6"/>
        <v>0</v>
      </c>
      <c r="W21" s="33">
        <f t="shared" si="6"/>
        <v>0</v>
      </c>
      <c r="X21" s="33">
        <f t="shared" si="6"/>
        <v>0</v>
      </c>
      <c r="Y21" s="33">
        <f t="shared" si="6"/>
        <v>0</v>
      </c>
      <c r="Z21" s="33">
        <f t="shared" si="6"/>
        <v>0</v>
      </c>
      <c r="AA21" s="33">
        <f t="shared" si="6"/>
        <v>0</v>
      </c>
      <c r="AB21" s="33">
        <f t="shared" si="6"/>
        <v>0</v>
      </c>
      <c r="AC21" s="33">
        <f t="shared" si="7"/>
        <v>0</v>
      </c>
      <c r="AD21" s="33">
        <f t="shared" si="7"/>
        <v>0</v>
      </c>
      <c r="AE21" s="33">
        <f t="shared" si="7"/>
        <v>0</v>
      </c>
      <c r="AF21" s="33">
        <f t="shared" si="7"/>
        <v>0</v>
      </c>
      <c r="AG21" s="24"/>
      <c r="AH21" s="84">
        <f>SUM(I21:T21)</f>
        <v>10000</v>
      </c>
      <c r="AI21" s="84">
        <f>SUM(U21:AF21)</f>
        <v>0</v>
      </c>
    </row>
    <row r="22" spans="1:35" x14ac:dyDescent="0.2">
      <c r="A22" s="24"/>
      <c r="B22" s="43" t="s">
        <v>289</v>
      </c>
      <c r="C22" s="50" t="s">
        <v>113</v>
      </c>
      <c r="D22" s="50"/>
      <c r="E22" s="176">
        <v>41640</v>
      </c>
      <c r="F22" s="176"/>
      <c r="G22" s="36">
        <v>0</v>
      </c>
      <c r="H22" s="50"/>
      <c r="I22" s="101">
        <v>833.33333333333337</v>
      </c>
      <c r="J22" s="101">
        <v>833.33333333333337</v>
      </c>
      <c r="K22" s="101">
        <v>833.33333333333337</v>
      </c>
      <c r="L22" s="101">
        <v>833.33333333333337</v>
      </c>
      <c r="M22" s="101">
        <v>833.33333333333337</v>
      </c>
      <c r="N22" s="101">
        <v>833.33333333333337</v>
      </c>
      <c r="O22" s="101">
        <v>833.33333333333337</v>
      </c>
      <c r="P22" s="101">
        <v>833.33333333333337</v>
      </c>
      <c r="Q22" s="101">
        <v>833.33333333333337</v>
      </c>
      <c r="R22" s="101">
        <v>833.33333333333337</v>
      </c>
      <c r="S22" s="101">
        <v>833.33333333333337</v>
      </c>
      <c r="T22" s="101">
        <v>833.33333333333337</v>
      </c>
      <c r="U22" s="33">
        <f t="shared" si="6"/>
        <v>0</v>
      </c>
      <c r="V22" s="33">
        <f t="shared" si="6"/>
        <v>0</v>
      </c>
      <c r="W22" s="33">
        <f t="shared" si="6"/>
        <v>0</v>
      </c>
      <c r="X22" s="33">
        <f t="shared" si="6"/>
        <v>0</v>
      </c>
      <c r="Y22" s="33">
        <f t="shared" si="6"/>
        <v>0</v>
      </c>
      <c r="Z22" s="33">
        <f t="shared" si="6"/>
        <v>0</v>
      </c>
      <c r="AA22" s="33">
        <f t="shared" si="6"/>
        <v>0</v>
      </c>
      <c r="AB22" s="33">
        <f t="shared" si="6"/>
        <v>0</v>
      </c>
      <c r="AC22" s="33">
        <f t="shared" si="7"/>
        <v>0</v>
      </c>
      <c r="AD22" s="33">
        <f t="shared" si="7"/>
        <v>0</v>
      </c>
      <c r="AE22" s="33">
        <f t="shared" si="7"/>
        <v>0</v>
      </c>
      <c r="AF22" s="33">
        <f t="shared" si="7"/>
        <v>0</v>
      </c>
      <c r="AG22" s="24"/>
      <c r="AH22" s="84">
        <f>SUM(I22:T22)</f>
        <v>10000</v>
      </c>
      <c r="AI22" s="84">
        <f>SUM(U22:AF22)</f>
        <v>0</v>
      </c>
    </row>
    <row r="23" spans="1:35" x14ac:dyDescent="0.2">
      <c r="A23" s="24"/>
      <c r="B23" s="43" t="s">
        <v>291</v>
      </c>
      <c r="C23" s="50" t="s">
        <v>113</v>
      </c>
      <c r="D23" s="50"/>
      <c r="E23" s="176">
        <v>41821</v>
      </c>
      <c r="F23" s="176"/>
      <c r="G23" s="36">
        <v>0</v>
      </c>
      <c r="H23" s="50"/>
      <c r="I23" s="101">
        <v>833.33333333333337</v>
      </c>
      <c r="J23" s="101">
        <v>833.33333333333337</v>
      </c>
      <c r="K23" s="101">
        <v>833.33333333333337</v>
      </c>
      <c r="L23" s="101">
        <v>833.33333333333337</v>
      </c>
      <c r="M23" s="101">
        <v>833.33333333333337</v>
      </c>
      <c r="N23" s="101">
        <v>833.33333333333337</v>
      </c>
      <c r="O23" s="101">
        <v>833.33333333333337</v>
      </c>
      <c r="P23" s="101">
        <v>833.33333333333337</v>
      </c>
      <c r="Q23" s="101">
        <v>833.33333333333337</v>
      </c>
      <c r="R23" s="101">
        <v>833.33333333333337</v>
      </c>
      <c r="S23" s="101">
        <v>833.33333333333337</v>
      </c>
      <c r="T23" s="101">
        <v>833.33333333333337</v>
      </c>
      <c r="U23" s="33">
        <f t="shared" si="6"/>
        <v>0</v>
      </c>
      <c r="V23" s="33">
        <f t="shared" si="6"/>
        <v>0</v>
      </c>
      <c r="W23" s="33">
        <f t="shared" si="6"/>
        <v>0</v>
      </c>
      <c r="X23" s="33">
        <f t="shared" si="6"/>
        <v>0</v>
      </c>
      <c r="Y23" s="33">
        <f t="shared" si="6"/>
        <v>0</v>
      </c>
      <c r="Z23" s="33">
        <f t="shared" si="6"/>
        <v>0</v>
      </c>
      <c r="AA23" s="33">
        <f t="shared" si="6"/>
        <v>0</v>
      </c>
      <c r="AB23" s="33">
        <f t="shared" si="6"/>
        <v>0</v>
      </c>
      <c r="AC23" s="33">
        <f t="shared" si="7"/>
        <v>0</v>
      </c>
      <c r="AD23" s="33">
        <f t="shared" si="7"/>
        <v>0</v>
      </c>
      <c r="AE23" s="33">
        <f t="shared" si="7"/>
        <v>0</v>
      </c>
      <c r="AF23" s="33">
        <f t="shared" si="7"/>
        <v>0</v>
      </c>
      <c r="AG23" s="24"/>
      <c r="AH23" s="84">
        <f>SUM(I23:T23)</f>
        <v>10000</v>
      </c>
      <c r="AI23" s="84">
        <f>SUM(U23:AF23)</f>
        <v>0</v>
      </c>
    </row>
    <row r="24" spans="1:35" x14ac:dyDescent="0.2">
      <c r="A24" s="24"/>
      <c r="B24" s="43"/>
      <c r="C24" s="50"/>
      <c r="D24" s="50"/>
      <c r="E24" s="176"/>
      <c r="F24" s="176"/>
      <c r="G24" s="36"/>
      <c r="H24" s="50"/>
      <c r="I24" s="33"/>
      <c r="J24" s="108"/>
      <c r="K24" s="33"/>
      <c r="L24" s="33"/>
      <c r="M24" s="37"/>
      <c r="N24" s="37"/>
      <c r="O24" s="37"/>
      <c r="P24" s="37"/>
      <c r="Q24" s="37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24"/>
      <c r="AH24" s="84"/>
      <c r="AI24" s="84"/>
    </row>
    <row r="25" spans="1:35" x14ac:dyDescent="0.2">
      <c r="A25" s="24"/>
      <c r="B25" s="49" t="s">
        <v>238</v>
      </c>
      <c r="C25" s="50"/>
      <c r="D25" s="51"/>
      <c r="E25" s="118"/>
      <c r="F25" s="118"/>
      <c r="G25" s="36"/>
      <c r="H25" s="50"/>
      <c r="I25" s="24"/>
      <c r="J25" s="24"/>
      <c r="K25" s="24"/>
      <c r="L25" s="24"/>
      <c r="M25" s="52"/>
      <c r="N25" s="52"/>
      <c r="O25" s="52"/>
      <c r="P25" s="52"/>
      <c r="Q25" s="52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84"/>
      <c r="AI25" s="84"/>
    </row>
    <row r="26" spans="1:35" x14ac:dyDescent="0.2">
      <c r="A26" s="24" t="s">
        <v>100</v>
      </c>
      <c r="B26" s="43" t="s">
        <v>293</v>
      </c>
      <c r="C26" s="50" t="s">
        <v>92</v>
      </c>
      <c r="D26" s="50"/>
      <c r="E26" s="176">
        <v>41640</v>
      </c>
      <c r="F26" s="176"/>
      <c r="G26" s="36">
        <v>0</v>
      </c>
      <c r="H26" s="50"/>
      <c r="I26" s="101">
        <v>833.33333333333337</v>
      </c>
      <c r="J26" s="101">
        <v>833.33333333333337</v>
      </c>
      <c r="K26" s="101">
        <v>833.33333333333337</v>
      </c>
      <c r="L26" s="101">
        <v>833.33333333333337</v>
      </c>
      <c r="M26" s="101">
        <v>833.33333333333337</v>
      </c>
      <c r="N26" s="101">
        <v>833.33333333333337</v>
      </c>
      <c r="O26" s="101">
        <v>833.33333333333337</v>
      </c>
      <c r="P26" s="101">
        <v>833.33333333333337</v>
      </c>
      <c r="Q26" s="101">
        <v>833.33333333333337</v>
      </c>
      <c r="R26" s="101">
        <v>833.33333333333337</v>
      </c>
      <c r="S26" s="101">
        <v>833.33333333333337</v>
      </c>
      <c r="T26" s="101">
        <v>833.33333333333337</v>
      </c>
      <c r="U26" s="33">
        <f t="shared" ref="U26:AB28" si="8">IF(AND(MONTH(U$3)=MONTH($E26),YEAR(U$3)=YEAR($E26)),(DAY(EOMONTH($E26,0))-DAY($E26)+1)/DAY(EOMONTH($E26,0))*$G26/12,IF(AND(MONTH(U$3)=MONTH($F26),YEAR(U$3)=YEAR($F26)),DAY($F26)/DAY(EOMONTH($F26,0))*T26,IF(AND(U$3&gt;=$E26,OR($F26=0,U$3&lt;=$F26)),$G26*(1+$Q$4)/12,0)))</f>
        <v>0</v>
      </c>
      <c r="V26" s="33">
        <f t="shared" si="8"/>
        <v>0</v>
      </c>
      <c r="W26" s="33">
        <f t="shared" si="8"/>
        <v>0</v>
      </c>
      <c r="X26" s="33">
        <f t="shared" si="8"/>
        <v>0</v>
      </c>
      <c r="Y26" s="33">
        <f t="shared" si="8"/>
        <v>0</v>
      </c>
      <c r="Z26" s="33">
        <f t="shared" si="8"/>
        <v>0</v>
      </c>
      <c r="AA26" s="33">
        <f t="shared" si="8"/>
        <v>0</v>
      </c>
      <c r="AB26" s="33">
        <f t="shared" si="8"/>
        <v>0</v>
      </c>
      <c r="AC26" s="33">
        <f t="shared" ref="AC26:AF28" si="9">IF(AND(MONTH(AC$3)=MONTH($E26),YEAR(AC$3)=YEAR($E26)),(DAY(EOMONTH($E26,0))-DAY($E26)+1)/DAY(EOMONTH($E26,0))*$G26/12,IF(AND(MONTH(AC$3)=MONTH($F26),YEAR(AC$3)=YEAR($F26)),DAY($F26)/DAY(EOMONTH($F26,0))*AB26,IF(AND(AC$3&gt;=$E26,OR($F26=0,AC$3&lt;=$F26)),$G26*(1+$Q$4)*(1+$AC$4)/12,0)))</f>
        <v>0</v>
      </c>
      <c r="AD26" s="33">
        <f t="shared" si="9"/>
        <v>0</v>
      </c>
      <c r="AE26" s="33">
        <f t="shared" si="9"/>
        <v>0</v>
      </c>
      <c r="AF26" s="33">
        <f t="shared" si="9"/>
        <v>0</v>
      </c>
      <c r="AG26" s="24"/>
      <c r="AH26" s="84">
        <f>SUM(I26:T26)</f>
        <v>10000</v>
      </c>
      <c r="AI26" s="84">
        <f>SUM(U26:AF26)</f>
        <v>0</v>
      </c>
    </row>
    <row r="27" spans="1:35" x14ac:dyDescent="0.2">
      <c r="A27" s="24" t="s">
        <v>100</v>
      </c>
      <c r="B27" s="43" t="s">
        <v>294</v>
      </c>
      <c r="C27" s="50" t="s">
        <v>92</v>
      </c>
      <c r="D27" s="50"/>
      <c r="E27" s="176">
        <v>41640</v>
      </c>
      <c r="F27" s="176"/>
      <c r="G27" s="36">
        <v>0</v>
      </c>
      <c r="H27" s="50"/>
      <c r="I27" s="101">
        <v>833.33333333333337</v>
      </c>
      <c r="J27" s="101">
        <v>833.33333333333337</v>
      </c>
      <c r="K27" s="101">
        <v>833.33333333333337</v>
      </c>
      <c r="L27" s="101">
        <v>833.33333333333337</v>
      </c>
      <c r="M27" s="101">
        <v>833.33333333333337</v>
      </c>
      <c r="N27" s="101">
        <v>833.33333333333337</v>
      </c>
      <c r="O27" s="101">
        <v>833.33333333333337</v>
      </c>
      <c r="P27" s="101">
        <v>833.33333333333337</v>
      </c>
      <c r="Q27" s="101">
        <v>833.33333333333337</v>
      </c>
      <c r="R27" s="101">
        <v>833.33333333333337</v>
      </c>
      <c r="S27" s="101">
        <v>833.33333333333337</v>
      </c>
      <c r="T27" s="101">
        <v>833.33333333333337</v>
      </c>
      <c r="U27" s="33">
        <f t="shared" si="8"/>
        <v>0</v>
      </c>
      <c r="V27" s="33">
        <f t="shared" si="8"/>
        <v>0</v>
      </c>
      <c r="W27" s="33">
        <f t="shared" si="8"/>
        <v>0</v>
      </c>
      <c r="X27" s="33">
        <f t="shared" si="8"/>
        <v>0</v>
      </c>
      <c r="Y27" s="33">
        <f t="shared" si="8"/>
        <v>0</v>
      </c>
      <c r="Z27" s="33">
        <f t="shared" si="8"/>
        <v>0</v>
      </c>
      <c r="AA27" s="33">
        <f t="shared" si="8"/>
        <v>0</v>
      </c>
      <c r="AB27" s="33">
        <f t="shared" si="8"/>
        <v>0</v>
      </c>
      <c r="AC27" s="33">
        <f t="shared" si="9"/>
        <v>0</v>
      </c>
      <c r="AD27" s="33">
        <f t="shared" si="9"/>
        <v>0</v>
      </c>
      <c r="AE27" s="33">
        <f t="shared" si="9"/>
        <v>0</v>
      </c>
      <c r="AF27" s="33">
        <f t="shared" si="9"/>
        <v>0</v>
      </c>
      <c r="AG27" s="24"/>
      <c r="AH27" s="84">
        <f>SUM(I27:T27)</f>
        <v>10000</v>
      </c>
      <c r="AI27" s="84">
        <f>SUM(U27:AF27)</f>
        <v>0</v>
      </c>
    </row>
    <row r="28" spans="1:35" x14ac:dyDescent="0.2">
      <c r="A28" s="24" t="s">
        <v>100</v>
      </c>
      <c r="B28" s="43" t="s">
        <v>294</v>
      </c>
      <c r="C28" s="50" t="s">
        <v>92</v>
      </c>
      <c r="D28" s="50"/>
      <c r="E28" s="176">
        <v>41821</v>
      </c>
      <c r="F28" s="176"/>
      <c r="G28" s="36">
        <v>0</v>
      </c>
      <c r="H28" s="50"/>
      <c r="I28" s="101">
        <v>833.33333333333337</v>
      </c>
      <c r="J28" s="101">
        <v>833.33333333333337</v>
      </c>
      <c r="K28" s="101">
        <v>833.33333333333337</v>
      </c>
      <c r="L28" s="101">
        <v>833.33333333333337</v>
      </c>
      <c r="M28" s="101">
        <v>833.33333333333337</v>
      </c>
      <c r="N28" s="101">
        <v>833.33333333333337</v>
      </c>
      <c r="O28" s="101">
        <v>833.33333333333337</v>
      </c>
      <c r="P28" s="101">
        <v>833.33333333333337</v>
      </c>
      <c r="Q28" s="101">
        <v>833.33333333333337</v>
      </c>
      <c r="R28" s="101">
        <v>833.33333333333337</v>
      </c>
      <c r="S28" s="101">
        <v>833.33333333333337</v>
      </c>
      <c r="T28" s="101">
        <v>833.33333333333337</v>
      </c>
      <c r="U28" s="33">
        <f t="shared" si="8"/>
        <v>0</v>
      </c>
      <c r="V28" s="33">
        <f t="shared" si="8"/>
        <v>0</v>
      </c>
      <c r="W28" s="33">
        <f t="shared" si="8"/>
        <v>0</v>
      </c>
      <c r="X28" s="33">
        <f t="shared" si="8"/>
        <v>0</v>
      </c>
      <c r="Y28" s="33">
        <f t="shared" si="8"/>
        <v>0</v>
      </c>
      <c r="Z28" s="33">
        <f t="shared" si="8"/>
        <v>0</v>
      </c>
      <c r="AA28" s="33">
        <f t="shared" si="8"/>
        <v>0</v>
      </c>
      <c r="AB28" s="33">
        <f t="shared" si="8"/>
        <v>0</v>
      </c>
      <c r="AC28" s="33">
        <f t="shared" si="9"/>
        <v>0</v>
      </c>
      <c r="AD28" s="33">
        <f t="shared" si="9"/>
        <v>0</v>
      </c>
      <c r="AE28" s="33">
        <f t="shared" si="9"/>
        <v>0</v>
      </c>
      <c r="AF28" s="33">
        <f t="shared" si="9"/>
        <v>0</v>
      </c>
      <c r="AG28" s="24"/>
      <c r="AH28" s="84">
        <f>SUM(I28:T28)</f>
        <v>10000</v>
      </c>
      <c r="AI28" s="84">
        <f>SUM(U28:AF28)</f>
        <v>0</v>
      </c>
    </row>
    <row r="29" spans="1:35" x14ac:dyDescent="0.2">
      <c r="A29" s="24"/>
      <c r="B29" s="49"/>
      <c r="C29" s="50"/>
      <c r="D29" s="51"/>
      <c r="E29" s="180"/>
      <c r="F29" s="180"/>
      <c r="G29" s="178"/>
      <c r="H29" s="50"/>
      <c r="I29" s="37"/>
      <c r="J29" s="37"/>
      <c r="K29" s="33"/>
      <c r="L29" s="33"/>
      <c r="M29" s="37"/>
      <c r="N29" s="37"/>
      <c r="O29" s="37"/>
      <c r="P29" s="37"/>
      <c r="Q29" s="37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24"/>
      <c r="AH29" s="84"/>
      <c r="AI29" s="84"/>
    </row>
    <row r="30" spans="1:35" x14ac:dyDescent="0.2">
      <c r="A30" s="24"/>
      <c r="B30" s="49" t="s">
        <v>168</v>
      </c>
      <c r="C30" s="50"/>
      <c r="D30" s="51"/>
      <c r="E30" s="174" t="s">
        <v>165</v>
      </c>
      <c r="F30" s="174" t="s">
        <v>166</v>
      </c>
      <c r="G30" s="174" t="s">
        <v>302</v>
      </c>
      <c r="I30" s="33"/>
      <c r="J30" s="33"/>
      <c r="K30" s="33"/>
      <c r="L30" s="33"/>
      <c r="M30" s="37"/>
      <c r="N30" s="37"/>
      <c r="O30" s="37"/>
      <c r="P30" s="37"/>
      <c r="Q30" s="37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24"/>
      <c r="AH30" s="84"/>
      <c r="AI30" s="84"/>
    </row>
    <row r="31" spans="1:35" x14ac:dyDescent="0.2">
      <c r="A31" s="24"/>
      <c r="B31" s="43" t="s">
        <v>298</v>
      </c>
      <c r="C31" s="50" t="s">
        <v>113</v>
      </c>
      <c r="D31" s="50"/>
      <c r="E31" s="36">
        <v>10000</v>
      </c>
      <c r="F31" s="36">
        <v>250000</v>
      </c>
      <c r="G31" s="36">
        <v>1000000</v>
      </c>
      <c r="I31" s="101">
        <v>0</v>
      </c>
      <c r="J31" s="101">
        <v>0</v>
      </c>
      <c r="K31" s="101">
        <v>0</v>
      </c>
      <c r="L31" s="101">
        <v>0</v>
      </c>
      <c r="M31" s="101">
        <v>0</v>
      </c>
      <c r="N31" s="101">
        <v>0</v>
      </c>
      <c r="O31" s="101">
        <v>0</v>
      </c>
      <c r="P31" s="101">
        <v>0</v>
      </c>
      <c r="Q31" s="101">
        <v>0</v>
      </c>
      <c r="R31" s="101">
        <v>0</v>
      </c>
      <c r="S31" s="101">
        <v>0</v>
      </c>
      <c r="T31" s="101">
        <v>0</v>
      </c>
      <c r="U31" s="33">
        <f ca="1">MAX(0,ROUND((SUM(PL!E$5:P$5)-$G31)/$F31,0))*$E31/12</f>
        <v>0</v>
      </c>
      <c r="V31" s="33">
        <f ca="1">MAX(0,ROUND((SUM(PL!F$5:Q$5)-$G31)/$F31,0))*$E31/12</f>
        <v>0</v>
      </c>
      <c r="W31" s="33">
        <f ca="1">MAX(0,ROUND((SUM(PL!G$5:R$5)-$G31)/$F31,0))*$E31/12</f>
        <v>0</v>
      </c>
      <c r="X31" s="33">
        <f ca="1">MAX(0,ROUND((SUM(PL!H$5:S$5)-$G31)/$F31,0))*$E31/12</f>
        <v>0</v>
      </c>
      <c r="Y31" s="33">
        <f ca="1">MAX(0,ROUND((SUM(PL!I$5:T$5)-$G31)/$F31,0))*$E31/12</f>
        <v>0</v>
      </c>
      <c r="Z31" s="33">
        <f ca="1">MAX(0,ROUND((SUM(PL!J$5:U$5)-$G31)/$F31,0))*$E31/12</f>
        <v>0</v>
      </c>
      <c r="AA31" s="33">
        <f ca="1">MAX(0,ROUND((SUM(PL!K$5:V$5)-$G31)/$F31,0))*$E31/12</f>
        <v>0</v>
      </c>
      <c r="AB31" s="33">
        <f ca="1">MAX(0,ROUND((SUM(PL!L$5:W$5)-$G31)/$F31,0))*$E31/12</f>
        <v>0</v>
      </c>
      <c r="AC31" s="33">
        <f ca="1">MAX(0,ROUND((SUM(PL!M$5:X$5)-$G31)/$F31,0))*$E31/12</f>
        <v>0</v>
      </c>
      <c r="AD31" s="33">
        <f ca="1">MAX(0,ROUND((SUM(PL!N$5:Y$5)-$G31)/$F31,0))*$E31/12</f>
        <v>0</v>
      </c>
      <c r="AE31" s="33">
        <f ca="1">MAX(0,ROUND((SUM(PL!O$5:Z$5)-$G31)/$F31,0))*$E31/12</f>
        <v>0</v>
      </c>
      <c r="AF31" s="33">
        <f ca="1">MAX(0,ROUND((SUM(PL!P$5:AA$5)-$G31)/$F31,0))*$E31/12</f>
        <v>0</v>
      </c>
      <c r="AG31" s="24"/>
      <c r="AH31" s="84">
        <f>SUM(I31:T31)</f>
        <v>0</v>
      </c>
      <c r="AI31" s="84">
        <f ca="1">SUM(U31:AF31)</f>
        <v>0</v>
      </c>
    </row>
    <row r="32" spans="1:35" x14ac:dyDescent="0.2">
      <c r="A32" s="24"/>
      <c r="B32" s="43" t="s">
        <v>294</v>
      </c>
      <c r="C32" s="50" t="s">
        <v>92</v>
      </c>
      <c r="D32" s="50"/>
      <c r="E32" s="36">
        <v>10000</v>
      </c>
      <c r="F32" s="36">
        <v>250000</v>
      </c>
      <c r="G32" s="36">
        <v>1000000</v>
      </c>
      <c r="I32" s="101">
        <v>0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0</v>
      </c>
      <c r="P32" s="101">
        <v>0</v>
      </c>
      <c r="Q32" s="101">
        <v>0</v>
      </c>
      <c r="R32" s="101">
        <v>0</v>
      </c>
      <c r="S32" s="101">
        <v>0</v>
      </c>
      <c r="T32" s="101">
        <v>0</v>
      </c>
      <c r="U32" s="33">
        <f ca="1">MAX(0,ROUND((SUM(PL!E$5:P$5)-$G32)/$F32,0))*$E32/12</f>
        <v>0</v>
      </c>
      <c r="V32" s="33">
        <f ca="1">MAX(0,ROUND((SUM(PL!F$5:Q$5)-$G32)/$F32,0))*$E32/12</f>
        <v>0</v>
      </c>
      <c r="W32" s="33">
        <f ca="1">MAX(0,ROUND((SUM(PL!G$5:R$5)-$G32)/$F32,0))*$E32/12</f>
        <v>0</v>
      </c>
      <c r="X32" s="33">
        <f ca="1">MAX(0,ROUND((SUM(PL!H$5:S$5)-$G32)/$F32,0))*$E32/12</f>
        <v>0</v>
      </c>
      <c r="Y32" s="33">
        <f ca="1">MAX(0,ROUND((SUM(PL!I$5:T$5)-$G32)/$F32,0))*$E32/12</f>
        <v>0</v>
      </c>
      <c r="Z32" s="33">
        <f ca="1">MAX(0,ROUND((SUM(PL!J$5:U$5)-$G32)/$F32,0))*$E32/12</f>
        <v>0</v>
      </c>
      <c r="AA32" s="33">
        <f ca="1">MAX(0,ROUND((SUM(PL!K$5:V$5)-$G32)/$F32,0))*$E32/12</f>
        <v>0</v>
      </c>
      <c r="AB32" s="33">
        <f ca="1">MAX(0,ROUND((SUM(PL!L$5:W$5)-$G32)/$F32,0))*$E32/12</f>
        <v>0</v>
      </c>
      <c r="AC32" s="33">
        <f ca="1">MAX(0,ROUND((SUM(PL!M$5:X$5)-$G32)/$F32,0))*$E32/12</f>
        <v>0</v>
      </c>
      <c r="AD32" s="33">
        <f ca="1">MAX(0,ROUND((SUM(PL!N$5:Y$5)-$G32)/$F32,0))*$E32/12</f>
        <v>0</v>
      </c>
      <c r="AE32" s="33">
        <f ca="1">MAX(0,ROUND((SUM(PL!O$5:Z$5)-$G32)/$F32,0))*$E32/12</f>
        <v>0</v>
      </c>
      <c r="AF32" s="33">
        <f ca="1">MAX(0,ROUND((SUM(PL!P$5:AA$5)-$G32)/$F32,0))*$E32/12</f>
        <v>0</v>
      </c>
      <c r="AG32" s="24"/>
      <c r="AH32" s="84">
        <f>SUM(I32:T32)</f>
        <v>0</v>
      </c>
      <c r="AI32" s="84">
        <f ca="1">SUM(U32:AF32)</f>
        <v>0</v>
      </c>
    </row>
    <row r="33" spans="1:35" x14ac:dyDescent="0.2">
      <c r="A33" s="24"/>
      <c r="B33" s="43" t="s">
        <v>169</v>
      </c>
      <c r="C33" s="50" t="s">
        <v>92</v>
      </c>
      <c r="D33" s="50"/>
      <c r="E33" s="36">
        <v>10000</v>
      </c>
      <c r="F33" s="36">
        <v>250000</v>
      </c>
      <c r="G33" s="36">
        <v>1000000</v>
      </c>
      <c r="I33" s="101">
        <v>0</v>
      </c>
      <c r="J33" s="101">
        <v>0</v>
      </c>
      <c r="K33" s="101">
        <v>0</v>
      </c>
      <c r="L33" s="101">
        <v>0</v>
      </c>
      <c r="M33" s="101">
        <v>0</v>
      </c>
      <c r="N33" s="101">
        <v>0</v>
      </c>
      <c r="O33" s="101">
        <v>0</v>
      </c>
      <c r="P33" s="101">
        <v>0</v>
      </c>
      <c r="Q33" s="101">
        <v>0</v>
      </c>
      <c r="R33" s="101">
        <v>0</v>
      </c>
      <c r="S33" s="101">
        <v>0</v>
      </c>
      <c r="T33" s="101">
        <v>0</v>
      </c>
      <c r="U33" s="33">
        <f ca="1">MAX(0,ROUND((SUM(PL!E$5:P$5)-$G33)/$F33,0))*$E33/12</f>
        <v>0</v>
      </c>
      <c r="V33" s="33">
        <f ca="1">MAX(0,ROUND((SUM(PL!F$5:Q$5)-$G33)/$F33,0))*$E33/12</f>
        <v>0</v>
      </c>
      <c r="W33" s="33">
        <f ca="1">MAX(0,ROUND((SUM(PL!G$5:R$5)-$G33)/$F33,0))*$E33/12</f>
        <v>0</v>
      </c>
      <c r="X33" s="33">
        <f ca="1">MAX(0,ROUND((SUM(PL!H$5:S$5)-$G33)/$F33,0))*$E33/12</f>
        <v>0</v>
      </c>
      <c r="Y33" s="33">
        <f ca="1">MAX(0,ROUND((SUM(PL!I$5:T$5)-$G33)/$F33,0))*$E33/12</f>
        <v>0</v>
      </c>
      <c r="Z33" s="33">
        <f ca="1">MAX(0,ROUND((SUM(PL!J$5:U$5)-$G33)/$F33,0))*$E33/12</f>
        <v>0</v>
      </c>
      <c r="AA33" s="33">
        <f ca="1">MAX(0,ROUND((SUM(PL!K$5:V$5)-$G33)/$F33,0))*$E33/12</f>
        <v>0</v>
      </c>
      <c r="AB33" s="33">
        <f ca="1">MAX(0,ROUND((SUM(PL!L$5:W$5)-$G33)/$F33,0))*$E33/12</f>
        <v>0</v>
      </c>
      <c r="AC33" s="33">
        <f ca="1">MAX(0,ROUND((SUM(PL!M$5:X$5)-$G33)/$F33,0))*$E33/12</f>
        <v>0</v>
      </c>
      <c r="AD33" s="33">
        <f ca="1">MAX(0,ROUND((SUM(PL!N$5:Y$5)-$G33)/$F33,0))*$E33/12</f>
        <v>0</v>
      </c>
      <c r="AE33" s="33">
        <f ca="1">MAX(0,ROUND((SUM(PL!O$5:Z$5)-$G33)/$F33,0))*$E33/12</f>
        <v>0</v>
      </c>
      <c r="AF33" s="33">
        <f ca="1">MAX(0,ROUND((SUM(PL!P$5:AA$5)-$G33)/$F33,0))*$E33/12</f>
        <v>0</v>
      </c>
      <c r="AG33" s="24"/>
      <c r="AH33" s="84">
        <f>SUM(I33:T33)</f>
        <v>0</v>
      </c>
      <c r="AI33" s="84">
        <f ca="1">SUM(U33:AF33)</f>
        <v>0</v>
      </c>
    </row>
    <row r="34" spans="1:35" x14ac:dyDescent="0.2">
      <c r="A34" s="24"/>
      <c r="B34" s="53" t="s">
        <v>170</v>
      </c>
      <c r="C34" s="50"/>
      <c r="D34" s="50"/>
      <c r="E34" s="36"/>
      <c r="F34" s="179"/>
      <c r="G34" s="179"/>
      <c r="H34" s="50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24"/>
      <c r="AH34" s="84"/>
      <c r="AI34" s="84"/>
    </row>
    <row r="35" spans="1:35" x14ac:dyDescent="0.2">
      <c r="A35" s="24"/>
      <c r="B35" s="49"/>
      <c r="C35" s="50"/>
      <c r="D35" s="51"/>
      <c r="E35" s="180"/>
      <c r="F35" s="180"/>
      <c r="G35" s="178"/>
      <c r="H35" s="50"/>
      <c r="I35" s="33"/>
      <c r="J35" s="33"/>
      <c r="K35" s="33"/>
      <c r="L35" s="33"/>
      <c r="M35" s="37"/>
      <c r="N35" s="37"/>
      <c r="O35" s="37"/>
      <c r="P35" s="37"/>
      <c r="Q35" s="37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24"/>
      <c r="AH35" s="84"/>
      <c r="AI35" s="84"/>
    </row>
    <row r="36" spans="1:35" x14ac:dyDescent="0.2">
      <c r="A36" s="24"/>
      <c r="B36" s="49" t="s">
        <v>303</v>
      </c>
      <c r="C36" s="50"/>
      <c r="D36" s="50"/>
      <c r="E36" s="180"/>
      <c r="F36" s="180"/>
      <c r="G36" s="178"/>
      <c r="H36" s="50"/>
      <c r="I36" s="37"/>
      <c r="J36" s="33"/>
      <c r="K36" s="33"/>
      <c r="L36" s="33"/>
      <c r="M36" s="37"/>
      <c r="N36" s="37"/>
      <c r="O36" s="37"/>
      <c r="P36" s="37"/>
      <c r="Q36" s="37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24"/>
      <c r="AH36" s="84"/>
      <c r="AI36" s="84"/>
    </row>
    <row r="37" spans="1:35" x14ac:dyDescent="0.2">
      <c r="A37" s="24"/>
      <c r="B37" s="43" t="s">
        <v>295</v>
      </c>
      <c r="C37" s="50" t="s">
        <v>81</v>
      </c>
      <c r="D37" s="50" t="s">
        <v>102</v>
      </c>
      <c r="E37" s="176">
        <v>41640</v>
      </c>
      <c r="F37" s="176">
        <v>41820</v>
      </c>
      <c r="G37" s="36">
        <v>0</v>
      </c>
      <c r="H37" s="50"/>
      <c r="I37" s="101">
        <v>833.33333333333337</v>
      </c>
      <c r="J37" s="101">
        <v>833.33333333333337</v>
      </c>
      <c r="K37" s="101">
        <v>833.33333333333337</v>
      </c>
      <c r="L37" s="101">
        <v>833.33333333333337</v>
      </c>
      <c r="M37" s="101">
        <v>833.33333333333337</v>
      </c>
      <c r="N37" s="101">
        <v>833.33333333333337</v>
      </c>
      <c r="O37" s="37"/>
      <c r="P37" s="37"/>
      <c r="Q37" s="37"/>
      <c r="R37" s="33"/>
      <c r="S37" s="33"/>
      <c r="T37" s="33"/>
      <c r="U37" s="33">
        <f t="shared" ref="U37:AB39" si="10">IF(AND(MONTH(U$3)=MONTH($E37),YEAR(U$3)=YEAR($E37)),(DAY(EOMONTH($E37,0))-DAY($E37)+1)/DAY(EOMONTH($E37,0))*$G37/12,IF(AND(MONTH(U$3)=MONTH($F37),YEAR(U$3)=YEAR($F37)),DAY($F37)/DAY(EOMONTH($F37,0))*T37,IF(AND(U$3&gt;=$E37,OR($F37=0,U$3&lt;=$F37)),$G37*(1+$Q$4)/12,0)))</f>
        <v>0</v>
      </c>
      <c r="V37" s="33">
        <f t="shared" si="10"/>
        <v>0</v>
      </c>
      <c r="W37" s="33">
        <f t="shared" si="10"/>
        <v>0</v>
      </c>
      <c r="X37" s="33">
        <f t="shared" si="10"/>
        <v>0</v>
      </c>
      <c r="Y37" s="33">
        <f t="shared" si="10"/>
        <v>0</v>
      </c>
      <c r="Z37" s="33">
        <f t="shared" si="10"/>
        <v>0</v>
      </c>
      <c r="AA37" s="33">
        <f t="shared" si="10"/>
        <v>0</v>
      </c>
      <c r="AB37" s="33">
        <f t="shared" si="10"/>
        <v>0</v>
      </c>
      <c r="AC37" s="33">
        <f t="shared" ref="AC37:AF39" si="11">IF(AND(MONTH(AC$3)=MONTH($E37),YEAR(AC$3)=YEAR($E37)),(DAY(EOMONTH($E37,0))-DAY($E37)+1)/DAY(EOMONTH($E37,0))*$G37/12,IF(AND(MONTH(AC$3)=MONTH($F37),YEAR(AC$3)=YEAR($F37)),DAY($F37)/DAY(EOMONTH($F37,0))*AB37,IF(AND(AC$3&gt;=$E37,OR($F37=0,AC$3&lt;=$F37)),$G37*(1+$Q$4)*(1+$AC$4)/12,0)))</f>
        <v>0</v>
      </c>
      <c r="AD37" s="33">
        <f t="shared" si="11"/>
        <v>0</v>
      </c>
      <c r="AE37" s="33">
        <f t="shared" si="11"/>
        <v>0</v>
      </c>
      <c r="AF37" s="33">
        <f t="shared" si="11"/>
        <v>0</v>
      </c>
      <c r="AG37" s="24"/>
      <c r="AH37" s="84">
        <f>SUM(I37:T37)</f>
        <v>5000</v>
      </c>
      <c r="AI37" s="84">
        <f>SUM(U37:AF37)</f>
        <v>0</v>
      </c>
    </row>
    <row r="38" spans="1:35" x14ac:dyDescent="0.2">
      <c r="A38" s="24"/>
      <c r="B38" s="43" t="s">
        <v>296</v>
      </c>
      <c r="C38" s="50" t="s">
        <v>103</v>
      </c>
      <c r="D38" s="50"/>
      <c r="E38" s="176">
        <v>41640</v>
      </c>
      <c r="F38" s="176">
        <v>41820</v>
      </c>
      <c r="G38" s="36">
        <v>0</v>
      </c>
      <c r="H38" s="50"/>
      <c r="I38" s="101">
        <v>833.33333333333337</v>
      </c>
      <c r="J38" s="101">
        <v>833.33333333333337</v>
      </c>
      <c r="K38" s="101">
        <v>833.33333333333337</v>
      </c>
      <c r="L38" s="101">
        <v>833.33333333333337</v>
      </c>
      <c r="M38" s="101">
        <v>833.33333333333337</v>
      </c>
      <c r="N38" s="101">
        <v>833.33333333333337</v>
      </c>
      <c r="O38" s="37"/>
      <c r="P38" s="37"/>
      <c r="Q38" s="37"/>
      <c r="R38" s="33"/>
      <c r="S38" s="33"/>
      <c r="T38" s="33"/>
      <c r="U38" s="33">
        <f t="shared" si="10"/>
        <v>0</v>
      </c>
      <c r="V38" s="33">
        <f t="shared" si="10"/>
        <v>0</v>
      </c>
      <c r="W38" s="33">
        <f t="shared" si="10"/>
        <v>0</v>
      </c>
      <c r="X38" s="33">
        <f t="shared" si="10"/>
        <v>0</v>
      </c>
      <c r="Y38" s="33">
        <f t="shared" si="10"/>
        <v>0</v>
      </c>
      <c r="Z38" s="33">
        <f t="shared" si="10"/>
        <v>0</v>
      </c>
      <c r="AA38" s="33">
        <f t="shared" si="10"/>
        <v>0</v>
      </c>
      <c r="AB38" s="33">
        <f t="shared" si="10"/>
        <v>0</v>
      </c>
      <c r="AC38" s="33">
        <f t="shared" si="11"/>
        <v>0</v>
      </c>
      <c r="AD38" s="33">
        <f t="shared" si="11"/>
        <v>0</v>
      </c>
      <c r="AE38" s="33">
        <f t="shared" si="11"/>
        <v>0</v>
      </c>
      <c r="AF38" s="33">
        <f t="shared" si="11"/>
        <v>0</v>
      </c>
      <c r="AG38" s="24"/>
      <c r="AH38" s="84">
        <f>SUM(I38:T38)</f>
        <v>5000</v>
      </c>
      <c r="AI38" s="84">
        <f>SUM(U38:AF38)</f>
        <v>0</v>
      </c>
    </row>
    <row r="39" spans="1:35" x14ac:dyDescent="0.2">
      <c r="A39" s="24"/>
      <c r="B39" s="43" t="s">
        <v>297</v>
      </c>
      <c r="C39" s="50" t="s">
        <v>113</v>
      </c>
      <c r="D39" s="50"/>
      <c r="E39" s="176">
        <v>41640</v>
      </c>
      <c r="F39" s="176">
        <v>41820</v>
      </c>
      <c r="G39" s="36">
        <v>0</v>
      </c>
      <c r="H39" s="50"/>
      <c r="I39" s="101">
        <v>833.33333333333337</v>
      </c>
      <c r="J39" s="101">
        <v>833.33333333333337</v>
      </c>
      <c r="K39" s="101">
        <v>833.33333333333337</v>
      </c>
      <c r="L39" s="101">
        <v>833.33333333333337</v>
      </c>
      <c r="M39" s="101">
        <v>833.33333333333337</v>
      </c>
      <c r="N39" s="101">
        <v>833.33333333333337</v>
      </c>
      <c r="O39" s="37"/>
      <c r="P39" s="37"/>
      <c r="Q39" s="37"/>
      <c r="R39" s="33"/>
      <c r="S39" s="33"/>
      <c r="T39" s="33"/>
      <c r="U39" s="33">
        <f t="shared" si="10"/>
        <v>0</v>
      </c>
      <c r="V39" s="33">
        <f t="shared" si="10"/>
        <v>0</v>
      </c>
      <c r="W39" s="33">
        <f t="shared" si="10"/>
        <v>0</v>
      </c>
      <c r="X39" s="33">
        <f t="shared" si="10"/>
        <v>0</v>
      </c>
      <c r="Y39" s="33">
        <f t="shared" si="10"/>
        <v>0</v>
      </c>
      <c r="Z39" s="33">
        <f t="shared" si="10"/>
        <v>0</v>
      </c>
      <c r="AA39" s="33">
        <f t="shared" si="10"/>
        <v>0</v>
      </c>
      <c r="AB39" s="33">
        <f t="shared" si="10"/>
        <v>0</v>
      </c>
      <c r="AC39" s="33">
        <f t="shared" si="11"/>
        <v>0</v>
      </c>
      <c r="AD39" s="33">
        <f t="shared" si="11"/>
        <v>0</v>
      </c>
      <c r="AE39" s="33">
        <f t="shared" si="11"/>
        <v>0</v>
      </c>
      <c r="AF39" s="33">
        <f t="shared" si="11"/>
        <v>0</v>
      </c>
      <c r="AG39" s="24"/>
      <c r="AH39" s="84">
        <f>SUM(I39:T39)</f>
        <v>5000</v>
      </c>
      <c r="AI39" s="84">
        <f>SUM(U39:AF39)</f>
        <v>0</v>
      </c>
    </row>
    <row r="40" spans="1:35" x14ac:dyDescent="0.2">
      <c r="A40" s="24"/>
      <c r="B40" s="43"/>
      <c r="C40" s="50"/>
      <c r="D40" s="50"/>
      <c r="G40"/>
      <c r="H40" s="50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24"/>
      <c r="AH40" s="84"/>
      <c r="AI40" s="84"/>
    </row>
    <row r="41" spans="1:35" x14ac:dyDescent="0.2">
      <c r="A41" s="24"/>
      <c r="B41" s="49" t="s">
        <v>111</v>
      </c>
      <c r="C41" s="50"/>
      <c r="D41" s="51"/>
      <c r="E41" s="174" t="s">
        <v>126</v>
      </c>
      <c r="F41" s="174"/>
      <c r="G41" s="174"/>
      <c r="H41" s="85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84"/>
      <c r="AI41" s="84"/>
    </row>
    <row r="42" spans="1:35" x14ac:dyDescent="0.2">
      <c r="A42" s="24"/>
      <c r="B42" s="43" t="s">
        <v>111</v>
      </c>
      <c r="C42" s="50" t="s">
        <v>199</v>
      </c>
      <c r="D42" s="50" t="s">
        <v>106</v>
      </c>
      <c r="E42" s="181">
        <v>0.2</v>
      </c>
      <c r="F42" s="33"/>
      <c r="G42" s="33"/>
      <c r="H42" s="50"/>
      <c r="I42" s="101">
        <v>1000</v>
      </c>
      <c r="J42" s="101">
        <v>1000</v>
      </c>
      <c r="K42" s="101">
        <v>1500</v>
      </c>
      <c r="L42" s="101">
        <v>1000</v>
      </c>
      <c r="M42" s="101">
        <v>1600</v>
      </c>
      <c r="N42" s="101">
        <v>1500</v>
      </c>
      <c r="O42" s="101">
        <v>1000</v>
      </c>
      <c r="P42" s="101">
        <v>1600</v>
      </c>
      <c r="Q42" s="101">
        <v>1000</v>
      </c>
      <c r="R42" s="101">
        <v>1000</v>
      </c>
      <c r="S42" s="101">
        <v>1900</v>
      </c>
      <c r="T42" s="101">
        <v>1000</v>
      </c>
      <c r="U42" s="41">
        <f ca="1">'New Sales'!O23*$E$42+SUMIF('New Unique'!$C:$C,"Yes",'New Unique'!R:R)</f>
        <v>1000.0000000000002</v>
      </c>
      <c r="V42" s="41">
        <f ca="1">'New Sales'!P23*$E$42+SUMIF('New Unique'!$C:$C,"Yes",'New Unique'!S:S)</f>
        <v>1900.0000000000002</v>
      </c>
      <c r="W42" s="41">
        <f ca="1">'New Sales'!Q23*$E$42+SUMIF('New Unique'!$C:$C,"Yes",'New Unique'!T:T)</f>
        <v>1000.0000000000002</v>
      </c>
      <c r="X42" s="41">
        <f ca="1">'New Sales'!R23*$E$42+SUMIF('New Unique'!$C:$C,"Yes",'New Unique'!U:U)</f>
        <v>1000.0000000000002</v>
      </c>
      <c r="Y42" s="41">
        <f ca="1">'New Sales'!S23*$E$42+SUMIF('New Unique'!$C:$C,"Yes",'New Unique'!V:V)</f>
        <v>1000.0000000000002</v>
      </c>
      <c r="Z42" s="41">
        <f ca="1">'New Sales'!T23*$E$42+SUMIF('New Unique'!$C:$C,"Yes",'New Unique'!W:W)</f>
        <v>1300.0000000000002</v>
      </c>
      <c r="AA42" s="41">
        <f ca="1">'New Sales'!U23*$E$42+SUMIF('New Unique'!$C:$C,"Yes",'New Unique'!X:X)</f>
        <v>1000.0000000000002</v>
      </c>
      <c r="AB42" s="41">
        <f ca="1">'New Sales'!V23*$E$42+SUMIF('New Unique'!$C:$C,"Yes",'New Unique'!Y:Y)</f>
        <v>1000.0000000000002</v>
      </c>
      <c r="AC42" s="41">
        <f ca="1">'New Sales'!W23*$E$42+SUMIF('New Unique'!$C:$C,"Yes",'New Unique'!Z:Z)</f>
        <v>1000.0000000000002</v>
      </c>
      <c r="AD42" s="41">
        <f ca="1">'New Sales'!X23*$E$42+SUMIF('New Unique'!$C:$C,"Yes",'New Unique'!AA:AA)</f>
        <v>1000.0000000000002</v>
      </c>
      <c r="AE42" s="41">
        <f ca="1">'New Sales'!Y23*$E$42+SUMIF('New Unique'!$C:$C,"Yes",'New Unique'!AB:AB)</f>
        <v>1000.0000000000002</v>
      </c>
      <c r="AF42" s="41">
        <f ca="1">'New Sales'!Z23*$E$42+SUMIF('New Unique'!$C:$C,"Yes",'New Unique'!AC:AC)</f>
        <v>1000.0000000000002</v>
      </c>
      <c r="AG42" s="24"/>
      <c r="AH42" s="84">
        <f>SUM(I42:T42)</f>
        <v>15100</v>
      </c>
      <c r="AI42" s="84">
        <f ca="1">SUM(U42:AF42)</f>
        <v>13200.000000000002</v>
      </c>
    </row>
    <row r="43" spans="1:35" x14ac:dyDescent="0.2">
      <c r="A43" s="24"/>
      <c r="B43" s="43"/>
      <c r="C43" s="50"/>
      <c r="D43" s="40"/>
      <c r="E43" s="40"/>
      <c r="F43" s="40"/>
      <c r="G43" s="33"/>
      <c r="H43" s="50"/>
      <c r="I43" s="41"/>
      <c r="J43" s="41"/>
      <c r="K43" s="41"/>
      <c r="L43" s="37"/>
      <c r="M43" s="37"/>
      <c r="N43" s="37"/>
      <c r="O43" s="37"/>
      <c r="P43" s="37"/>
      <c r="Q43" s="37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24"/>
      <c r="AH43" s="84"/>
      <c r="AI43" s="84"/>
    </row>
    <row r="44" spans="1:35" x14ac:dyDescent="0.2">
      <c r="A44" s="24"/>
      <c r="B44" s="49" t="s">
        <v>110</v>
      </c>
      <c r="C44" s="50"/>
      <c r="D44" s="50"/>
      <c r="E44" s="24"/>
      <c r="F44" s="175"/>
      <c r="G44" s="54"/>
      <c r="H44" s="50"/>
      <c r="I44" s="33"/>
      <c r="J44" s="24"/>
      <c r="K44" s="33"/>
      <c r="L44" s="24"/>
      <c r="M44" s="33"/>
      <c r="N44" s="24"/>
      <c r="O44" s="33"/>
      <c r="P44" s="24"/>
      <c r="Q44" s="33"/>
      <c r="R44" s="24"/>
      <c r="S44" s="33"/>
      <c r="T44" s="24"/>
      <c r="U44" s="33"/>
      <c r="V44" s="24"/>
      <c r="W44" s="33"/>
      <c r="X44" s="24"/>
      <c r="Y44" s="33"/>
      <c r="Z44" s="24"/>
      <c r="AA44" s="33"/>
      <c r="AB44" s="24"/>
      <c r="AC44" s="33"/>
      <c r="AD44" s="24"/>
      <c r="AE44" s="33"/>
      <c r="AF44" s="24"/>
      <c r="AG44" s="24"/>
      <c r="AH44" s="84"/>
      <c r="AI44" s="84"/>
    </row>
    <row r="45" spans="1:35" x14ac:dyDescent="0.2">
      <c r="A45" s="24"/>
      <c r="B45" s="43" t="s">
        <v>202</v>
      </c>
      <c r="C45" s="50" t="s">
        <v>81</v>
      </c>
      <c r="D45" s="50" t="s">
        <v>102</v>
      </c>
      <c r="E45" s="181">
        <v>0.05</v>
      </c>
      <c r="G45" s="54"/>
      <c r="H45" s="50"/>
      <c r="I45" s="101">
        <v>125</v>
      </c>
      <c r="J45" s="101">
        <v>125</v>
      </c>
      <c r="K45" s="101">
        <v>125</v>
      </c>
      <c r="L45" s="101">
        <v>125</v>
      </c>
      <c r="M45" s="101">
        <v>125</v>
      </c>
      <c r="N45" s="101">
        <v>125</v>
      </c>
      <c r="O45" s="101">
        <v>125</v>
      </c>
      <c r="P45" s="101">
        <v>125</v>
      </c>
      <c r="Q45" s="101">
        <v>125</v>
      </c>
      <c r="R45" s="101">
        <v>125</v>
      </c>
      <c r="S45" s="101">
        <v>125</v>
      </c>
      <c r="T45" s="101">
        <v>125</v>
      </c>
      <c r="U45" s="41">
        <f t="shared" ref="U45:AF45" si="12">$E$45*U55</f>
        <v>0</v>
      </c>
      <c r="V45" s="41">
        <f t="shared" si="12"/>
        <v>0</v>
      </c>
      <c r="W45" s="41">
        <f t="shared" si="12"/>
        <v>0</v>
      </c>
      <c r="X45" s="41">
        <f t="shared" si="12"/>
        <v>0</v>
      </c>
      <c r="Y45" s="41">
        <f t="shared" si="12"/>
        <v>0</v>
      </c>
      <c r="Z45" s="41">
        <f t="shared" si="12"/>
        <v>0</v>
      </c>
      <c r="AA45" s="41">
        <f t="shared" si="12"/>
        <v>0</v>
      </c>
      <c r="AB45" s="41">
        <f t="shared" si="12"/>
        <v>0</v>
      </c>
      <c r="AC45" s="41">
        <f t="shared" si="12"/>
        <v>0</v>
      </c>
      <c r="AD45" s="41">
        <f t="shared" si="12"/>
        <v>0</v>
      </c>
      <c r="AE45" s="41">
        <f t="shared" si="12"/>
        <v>0</v>
      </c>
      <c r="AF45" s="41">
        <f t="shared" si="12"/>
        <v>0</v>
      </c>
      <c r="AG45" s="24"/>
      <c r="AH45" s="84">
        <f t="shared" ref="AH45:AH52" si="13">SUM(I45:T45)</f>
        <v>1500</v>
      </c>
      <c r="AI45" s="84">
        <f t="shared" ref="AI45:AI52" si="14">SUM(U45:AF45)</f>
        <v>0</v>
      </c>
    </row>
    <row r="46" spans="1:35" x14ac:dyDescent="0.2">
      <c r="A46" s="24"/>
      <c r="B46" s="43" t="s">
        <v>203</v>
      </c>
      <c r="C46" s="50" t="s">
        <v>113</v>
      </c>
      <c r="D46" s="50" t="s">
        <v>102</v>
      </c>
      <c r="E46" s="50"/>
      <c r="G46" s="54"/>
      <c r="H46" s="50"/>
      <c r="I46" s="101">
        <v>166.66666666666669</v>
      </c>
      <c r="J46" s="101">
        <v>166.66666666666669</v>
      </c>
      <c r="K46" s="101">
        <v>166.66666666666669</v>
      </c>
      <c r="L46" s="101">
        <v>166.66666666666669</v>
      </c>
      <c r="M46" s="101">
        <v>166.66666666666669</v>
      </c>
      <c r="N46" s="101">
        <v>166.66666666666669</v>
      </c>
      <c r="O46" s="101">
        <v>166.66666666666669</v>
      </c>
      <c r="P46" s="101">
        <v>166.66666666666669</v>
      </c>
      <c r="Q46" s="101">
        <v>166.66666666666669</v>
      </c>
      <c r="R46" s="101">
        <v>166.66666666666669</v>
      </c>
      <c r="S46" s="101">
        <v>166.66666666666669</v>
      </c>
      <c r="T46" s="101">
        <v>166.66666666666669</v>
      </c>
      <c r="U46" s="41">
        <f t="shared" ref="U46:AF48" ca="1" si="15">$E$45*U56</f>
        <v>0</v>
      </c>
      <c r="V46" s="41">
        <f t="shared" ca="1" si="15"/>
        <v>0</v>
      </c>
      <c r="W46" s="41">
        <f t="shared" ca="1" si="15"/>
        <v>0</v>
      </c>
      <c r="X46" s="41">
        <f t="shared" ca="1" si="15"/>
        <v>0</v>
      </c>
      <c r="Y46" s="41">
        <f t="shared" ca="1" si="15"/>
        <v>0</v>
      </c>
      <c r="Z46" s="41">
        <f t="shared" ca="1" si="15"/>
        <v>0</v>
      </c>
      <c r="AA46" s="41">
        <f t="shared" ca="1" si="15"/>
        <v>0</v>
      </c>
      <c r="AB46" s="41">
        <f t="shared" ca="1" si="15"/>
        <v>0</v>
      </c>
      <c r="AC46" s="41">
        <f t="shared" ca="1" si="15"/>
        <v>0</v>
      </c>
      <c r="AD46" s="41">
        <f t="shared" ca="1" si="15"/>
        <v>0</v>
      </c>
      <c r="AE46" s="41">
        <f t="shared" ca="1" si="15"/>
        <v>0</v>
      </c>
      <c r="AF46" s="41">
        <f t="shared" ca="1" si="15"/>
        <v>0</v>
      </c>
      <c r="AG46" s="24"/>
      <c r="AH46" s="84">
        <f t="shared" si="13"/>
        <v>2000.0000000000007</v>
      </c>
      <c r="AI46" s="84">
        <f t="shared" ca="1" si="14"/>
        <v>0</v>
      </c>
    </row>
    <row r="47" spans="1:35" x14ac:dyDescent="0.2">
      <c r="A47" s="24"/>
      <c r="B47" s="43" t="s">
        <v>204</v>
      </c>
      <c r="C47" s="50" t="s">
        <v>103</v>
      </c>
      <c r="D47" s="50" t="s">
        <v>102</v>
      </c>
      <c r="E47" s="24"/>
      <c r="G47" s="54"/>
      <c r="H47" s="50"/>
      <c r="I47" s="101">
        <v>291.66666666666669</v>
      </c>
      <c r="J47" s="101">
        <v>291.66666666666669</v>
      </c>
      <c r="K47" s="101">
        <v>291.66666666666669</v>
      </c>
      <c r="L47" s="101">
        <v>291.66666666666669</v>
      </c>
      <c r="M47" s="101">
        <v>291.66666666666669</v>
      </c>
      <c r="N47" s="101">
        <v>291.66666666666669</v>
      </c>
      <c r="O47" s="101">
        <v>291.66666666666669</v>
      </c>
      <c r="P47" s="101">
        <v>291.66666666666669</v>
      </c>
      <c r="Q47" s="101">
        <v>291.66666666666669</v>
      </c>
      <c r="R47" s="101">
        <v>291.66666666666669</v>
      </c>
      <c r="S47" s="101">
        <v>291.66666666666669</v>
      </c>
      <c r="T47" s="101">
        <v>291.66666666666669</v>
      </c>
      <c r="U47" s="41">
        <f t="shared" si="15"/>
        <v>0</v>
      </c>
      <c r="V47" s="41">
        <f t="shared" si="15"/>
        <v>0</v>
      </c>
      <c r="W47" s="41">
        <f t="shared" si="15"/>
        <v>0</v>
      </c>
      <c r="X47" s="41">
        <f t="shared" si="15"/>
        <v>0</v>
      </c>
      <c r="Y47" s="41">
        <f t="shared" si="15"/>
        <v>0</v>
      </c>
      <c r="Z47" s="41">
        <f t="shared" si="15"/>
        <v>0</v>
      </c>
      <c r="AA47" s="41">
        <f t="shared" si="15"/>
        <v>0</v>
      </c>
      <c r="AB47" s="41">
        <f t="shared" si="15"/>
        <v>0</v>
      </c>
      <c r="AC47" s="41">
        <f t="shared" si="15"/>
        <v>0</v>
      </c>
      <c r="AD47" s="41">
        <f t="shared" si="15"/>
        <v>0</v>
      </c>
      <c r="AE47" s="41">
        <f t="shared" si="15"/>
        <v>0</v>
      </c>
      <c r="AF47" s="41">
        <f t="shared" si="15"/>
        <v>0</v>
      </c>
      <c r="AG47" s="24"/>
      <c r="AH47" s="84">
        <f t="shared" si="13"/>
        <v>3499.9999999999995</v>
      </c>
      <c r="AI47" s="84">
        <f t="shared" si="14"/>
        <v>0</v>
      </c>
    </row>
    <row r="48" spans="1:35" x14ac:dyDescent="0.2">
      <c r="A48" s="24"/>
      <c r="B48" s="43" t="s">
        <v>211</v>
      </c>
      <c r="C48" s="50" t="s">
        <v>92</v>
      </c>
      <c r="D48" s="50" t="s">
        <v>102</v>
      </c>
      <c r="E48" s="24"/>
      <c r="G48" s="54"/>
      <c r="H48" s="50"/>
      <c r="I48" s="101">
        <v>125</v>
      </c>
      <c r="J48" s="101">
        <v>125</v>
      </c>
      <c r="K48" s="101">
        <v>125</v>
      </c>
      <c r="L48" s="101">
        <v>125</v>
      </c>
      <c r="M48" s="101">
        <v>125</v>
      </c>
      <c r="N48" s="101">
        <v>125</v>
      </c>
      <c r="O48" s="101">
        <v>125</v>
      </c>
      <c r="P48" s="101">
        <v>125</v>
      </c>
      <c r="Q48" s="101">
        <v>125</v>
      </c>
      <c r="R48" s="101">
        <v>125</v>
      </c>
      <c r="S48" s="101">
        <v>125</v>
      </c>
      <c r="T48" s="101">
        <v>125</v>
      </c>
      <c r="U48" s="41">
        <f t="shared" ca="1" si="15"/>
        <v>0</v>
      </c>
      <c r="V48" s="41">
        <f t="shared" ca="1" si="15"/>
        <v>0</v>
      </c>
      <c r="W48" s="41">
        <f t="shared" ca="1" si="15"/>
        <v>0</v>
      </c>
      <c r="X48" s="41">
        <f t="shared" ca="1" si="15"/>
        <v>0</v>
      </c>
      <c r="Y48" s="41">
        <f t="shared" ca="1" si="15"/>
        <v>0</v>
      </c>
      <c r="Z48" s="41">
        <f t="shared" ca="1" si="15"/>
        <v>0</v>
      </c>
      <c r="AA48" s="41">
        <f t="shared" ca="1" si="15"/>
        <v>0</v>
      </c>
      <c r="AB48" s="41">
        <f t="shared" ca="1" si="15"/>
        <v>0</v>
      </c>
      <c r="AC48" s="41">
        <f t="shared" ca="1" si="15"/>
        <v>0</v>
      </c>
      <c r="AD48" s="41">
        <f t="shared" ca="1" si="15"/>
        <v>0</v>
      </c>
      <c r="AE48" s="41">
        <f t="shared" ca="1" si="15"/>
        <v>0</v>
      </c>
      <c r="AF48" s="41">
        <f t="shared" ca="1" si="15"/>
        <v>0</v>
      </c>
      <c r="AG48" s="24"/>
      <c r="AH48" s="84">
        <f t="shared" si="13"/>
        <v>1500</v>
      </c>
      <c r="AI48" s="84">
        <f t="shared" ca="1" si="14"/>
        <v>0</v>
      </c>
    </row>
    <row r="49" spans="1:35" x14ac:dyDescent="0.2">
      <c r="A49" s="24"/>
      <c r="B49" s="43" t="s">
        <v>200</v>
      </c>
      <c r="C49" s="50" t="s">
        <v>81</v>
      </c>
      <c r="D49" s="50"/>
      <c r="E49" s="181">
        <v>7.6499999999999999E-2</v>
      </c>
      <c r="G49" s="54"/>
      <c r="H49" s="50"/>
      <c r="I49" s="101">
        <v>191.25</v>
      </c>
      <c r="J49" s="101">
        <v>191.25</v>
      </c>
      <c r="K49" s="101">
        <v>191.25</v>
      </c>
      <c r="L49" s="101">
        <v>191.25</v>
      </c>
      <c r="M49" s="101">
        <v>191.25</v>
      </c>
      <c r="N49" s="101">
        <v>191.25</v>
      </c>
      <c r="O49" s="101">
        <v>191.25</v>
      </c>
      <c r="P49" s="101">
        <v>191.25</v>
      </c>
      <c r="Q49" s="101">
        <v>191.25</v>
      </c>
      <c r="R49" s="101">
        <v>191.25</v>
      </c>
      <c r="S49" s="101">
        <v>191.25</v>
      </c>
      <c r="T49" s="101">
        <v>191.25</v>
      </c>
      <c r="U49" s="86">
        <f t="shared" ref="U49:AF49" si="16">$E$49*U55</f>
        <v>0</v>
      </c>
      <c r="V49" s="86">
        <f t="shared" si="16"/>
        <v>0</v>
      </c>
      <c r="W49" s="86">
        <f t="shared" si="16"/>
        <v>0</v>
      </c>
      <c r="X49" s="86">
        <f t="shared" si="16"/>
        <v>0</v>
      </c>
      <c r="Y49" s="86">
        <f t="shared" si="16"/>
        <v>0</v>
      </c>
      <c r="Z49" s="86">
        <f t="shared" si="16"/>
        <v>0</v>
      </c>
      <c r="AA49" s="86">
        <f t="shared" si="16"/>
        <v>0</v>
      </c>
      <c r="AB49" s="86">
        <f t="shared" si="16"/>
        <v>0</v>
      </c>
      <c r="AC49" s="86">
        <f t="shared" si="16"/>
        <v>0</v>
      </c>
      <c r="AD49" s="86">
        <f t="shared" si="16"/>
        <v>0</v>
      </c>
      <c r="AE49" s="86">
        <f t="shared" si="16"/>
        <v>0</v>
      </c>
      <c r="AF49" s="86">
        <f t="shared" si="16"/>
        <v>0</v>
      </c>
      <c r="AG49" s="24"/>
      <c r="AH49" s="84">
        <f t="shared" si="13"/>
        <v>2295</v>
      </c>
      <c r="AI49" s="84">
        <f t="shared" si="14"/>
        <v>0</v>
      </c>
    </row>
    <row r="50" spans="1:35" x14ac:dyDescent="0.2">
      <c r="A50" s="24"/>
      <c r="B50" s="55" t="s">
        <v>220</v>
      </c>
      <c r="C50" s="50" t="s">
        <v>113</v>
      </c>
      <c r="D50" s="50"/>
      <c r="E50" s="24"/>
      <c r="F50" s="24"/>
      <c r="G50" s="54"/>
      <c r="H50" s="50"/>
      <c r="I50" s="101">
        <v>255</v>
      </c>
      <c r="J50" s="101">
        <v>255</v>
      </c>
      <c r="K50" s="101">
        <v>255</v>
      </c>
      <c r="L50" s="101">
        <v>255</v>
      </c>
      <c r="M50" s="101">
        <v>255</v>
      </c>
      <c r="N50" s="101">
        <v>255</v>
      </c>
      <c r="O50" s="101">
        <v>255</v>
      </c>
      <c r="P50" s="101">
        <v>255</v>
      </c>
      <c r="Q50" s="101">
        <v>255</v>
      </c>
      <c r="R50" s="101">
        <v>255</v>
      </c>
      <c r="S50" s="101">
        <v>255</v>
      </c>
      <c r="T50" s="101">
        <v>255</v>
      </c>
      <c r="U50" s="86">
        <f t="shared" ref="U50:AF50" ca="1" si="17">$E$49*U56</f>
        <v>0</v>
      </c>
      <c r="V50" s="86">
        <f t="shared" ca="1" si="17"/>
        <v>0</v>
      </c>
      <c r="W50" s="86">
        <f t="shared" ca="1" si="17"/>
        <v>0</v>
      </c>
      <c r="X50" s="86">
        <f t="shared" ca="1" si="17"/>
        <v>0</v>
      </c>
      <c r="Y50" s="86">
        <f t="shared" ca="1" si="17"/>
        <v>0</v>
      </c>
      <c r="Z50" s="86">
        <f t="shared" ca="1" si="17"/>
        <v>0</v>
      </c>
      <c r="AA50" s="86">
        <f t="shared" ca="1" si="17"/>
        <v>0</v>
      </c>
      <c r="AB50" s="86">
        <f t="shared" ca="1" si="17"/>
        <v>0</v>
      </c>
      <c r="AC50" s="86">
        <f t="shared" ca="1" si="17"/>
        <v>0</v>
      </c>
      <c r="AD50" s="86">
        <f t="shared" ca="1" si="17"/>
        <v>0</v>
      </c>
      <c r="AE50" s="86">
        <f t="shared" ca="1" si="17"/>
        <v>0</v>
      </c>
      <c r="AF50" s="86">
        <f t="shared" ca="1" si="17"/>
        <v>0</v>
      </c>
      <c r="AG50" s="24"/>
      <c r="AH50" s="84">
        <f t="shared" si="13"/>
        <v>3060</v>
      </c>
      <c r="AI50" s="84">
        <f t="shared" ca="1" si="14"/>
        <v>0</v>
      </c>
    </row>
    <row r="51" spans="1:35" x14ac:dyDescent="0.2">
      <c r="A51" s="24"/>
      <c r="B51" s="43" t="s">
        <v>201</v>
      </c>
      <c r="C51" s="50" t="s">
        <v>103</v>
      </c>
      <c r="D51" s="50"/>
      <c r="E51" s="24"/>
      <c r="F51" s="24"/>
      <c r="G51" s="54"/>
      <c r="H51" s="50"/>
      <c r="I51" s="101">
        <v>446.24999999999994</v>
      </c>
      <c r="J51" s="101">
        <v>446.24999999999994</v>
      </c>
      <c r="K51" s="101">
        <v>446.24999999999994</v>
      </c>
      <c r="L51" s="101">
        <v>446.24999999999994</v>
      </c>
      <c r="M51" s="101">
        <v>446.24999999999994</v>
      </c>
      <c r="N51" s="101">
        <v>446.24999999999994</v>
      </c>
      <c r="O51" s="101">
        <v>446.24999999999994</v>
      </c>
      <c r="P51" s="101">
        <v>446.24999999999994</v>
      </c>
      <c r="Q51" s="101">
        <v>446.24999999999994</v>
      </c>
      <c r="R51" s="101">
        <v>446.24999999999994</v>
      </c>
      <c r="S51" s="101">
        <v>446.24999999999994</v>
      </c>
      <c r="T51" s="101">
        <v>446.24999999999994</v>
      </c>
      <c r="U51" s="86">
        <f t="shared" ref="U51:AF51" si="18">$E$49*U57</f>
        <v>0</v>
      </c>
      <c r="V51" s="86">
        <f t="shared" si="18"/>
        <v>0</v>
      </c>
      <c r="W51" s="86">
        <f t="shared" si="18"/>
        <v>0</v>
      </c>
      <c r="X51" s="86">
        <f t="shared" si="18"/>
        <v>0</v>
      </c>
      <c r="Y51" s="86">
        <f t="shared" si="18"/>
        <v>0</v>
      </c>
      <c r="Z51" s="86">
        <f t="shared" si="18"/>
        <v>0</v>
      </c>
      <c r="AA51" s="86">
        <f t="shared" si="18"/>
        <v>0</v>
      </c>
      <c r="AB51" s="86">
        <f t="shared" si="18"/>
        <v>0</v>
      </c>
      <c r="AC51" s="86">
        <f t="shared" si="18"/>
        <v>0</v>
      </c>
      <c r="AD51" s="86">
        <f t="shared" si="18"/>
        <v>0</v>
      </c>
      <c r="AE51" s="86">
        <f t="shared" si="18"/>
        <v>0</v>
      </c>
      <c r="AF51" s="86">
        <f t="shared" si="18"/>
        <v>0</v>
      </c>
      <c r="AG51" s="24"/>
      <c r="AH51" s="84">
        <f t="shared" si="13"/>
        <v>5354.9999999999991</v>
      </c>
      <c r="AI51" s="84">
        <f t="shared" si="14"/>
        <v>0</v>
      </c>
    </row>
    <row r="52" spans="1:35" x14ac:dyDescent="0.2">
      <c r="A52" s="24"/>
      <c r="B52" s="43" t="s">
        <v>212</v>
      </c>
      <c r="C52" s="50" t="s">
        <v>92</v>
      </c>
      <c r="D52" s="50"/>
      <c r="E52" s="24"/>
      <c r="F52" s="24"/>
      <c r="G52" s="33"/>
      <c r="H52" s="50"/>
      <c r="I52" s="101">
        <v>191.25</v>
      </c>
      <c r="J52" s="101">
        <v>191.25</v>
      </c>
      <c r="K52" s="101">
        <v>191.25</v>
      </c>
      <c r="L52" s="101">
        <v>191.25</v>
      </c>
      <c r="M52" s="101">
        <v>191.25</v>
      </c>
      <c r="N52" s="101">
        <v>191.25</v>
      </c>
      <c r="O52" s="101">
        <v>191.25</v>
      </c>
      <c r="P52" s="101">
        <v>191.25</v>
      </c>
      <c r="Q52" s="101">
        <v>191.25</v>
      </c>
      <c r="R52" s="101">
        <v>191.25</v>
      </c>
      <c r="S52" s="101">
        <v>191.25</v>
      </c>
      <c r="T52" s="101">
        <v>191.25</v>
      </c>
      <c r="U52" s="86">
        <f t="shared" ref="U52:AF52" ca="1" si="19">$E$49*U58</f>
        <v>0</v>
      </c>
      <c r="V52" s="86">
        <f t="shared" ca="1" si="19"/>
        <v>0</v>
      </c>
      <c r="W52" s="86">
        <f t="shared" ca="1" si="19"/>
        <v>0</v>
      </c>
      <c r="X52" s="86">
        <f t="shared" ca="1" si="19"/>
        <v>0</v>
      </c>
      <c r="Y52" s="86">
        <f t="shared" ca="1" si="19"/>
        <v>0</v>
      </c>
      <c r="Z52" s="86">
        <f t="shared" ca="1" si="19"/>
        <v>0</v>
      </c>
      <c r="AA52" s="86">
        <f t="shared" ca="1" si="19"/>
        <v>0</v>
      </c>
      <c r="AB52" s="86">
        <f t="shared" ca="1" si="19"/>
        <v>0</v>
      </c>
      <c r="AC52" s="86">
        <f t="shared" ca="1" si="19"/>
        <v>0</v>
      </c>
      <c r="AD52" s="86">
        <f t="shared" ca="1" si="19"/>
        <v>0</v>
      </c>
      <c r="AE52" s="86">
        <f t="shared" ca="1" si="19"/>
        <v>0</v>
      </c>
      <c r="AF52" s="86">
        <f t="shared" ca="1" si="19"/>
        <v>0</v>
      </c>
      <c r="AG52" s="24"/>
      <c r="AH52" s="84">
        <f t="shared" si="13"/>
        <v>2295</v>
      </c>
      <c r="AI52" s="84">
        <f t="shared" ca="1" si="14"/>
        <v>0</v>
      </c>
    </row>
    <row r="53" spans="1:35" x14ac:dyDescent="0.2">
      <c r="A53" s="24"/>
      <c r="B53" s="55"/>
      <c r="C53" s="50"/>
      <c r="D53" s="50"/>
      <c r="E53" s="24"/>
      <c r="F53" s="24"/>
      <c r="G53" s="24"/>
      <c r="H53" s="50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24"/>
    </row>
    <row r="54" spans="1:35" x14ac:dyDescent="0.2">
      <c r="A54" s="24"/>
      <c r="B54" s="43" t="s">
        <v>112</v>
      </c>
      <c r="C54" s="50"/>
      <c r="D54" s="50"/>
      <c r="E54" s="24"/>
      <c r="F54" s="24"/>
      <c r="G54" s="33"/>
      <c r="H54" s="50"/>
      <c r="I54" s="101">
        <f t="shared" ref="I54:AF54" si="20">COUNTIF(I5:I39,"&gt;0")</f>
        <v>17</v>
      </c>
      <c r="J54" s="101">
        <f t="shared" si="20"/>
        <v>17</v>
      </c>
      <c r="K54" s="101">
        <f t="shared" si="20"/>
        <v>17</v>
      </c>
      <c r="L54" s="101">
        <f t="shared" si="20"/>
        <v>17</v>
      </c>
      <c r="M54" s="101">
        <f t="shared" si="20"/>
        <v>17</v>
      </c>
      <c r="N54" s="101">
        <f t="shared" si="20"/>
        <v>17</v>
      </c>
      <c r="O54" s="101">
        <f t="shared" si="20"/>
        <v>17</v>
      </c>
      <c r="P54" s="101">
        <f t="shared" si="20"/>
        <v>17</v>
      </c>
      <c r="Q54" s="101">
        <f t="shared" si="20"/>
        <v>17</v>
      </c>
      <c r="R54" s="101">
        <f t="shared" si="20"/>
        <v>17</v>
      </c>
      <c r="S54" s="101">
        <f t="shared" si="20"/>
        <v>17</v>
      </c>
      <c r="T54" s="101">
        <f t="shared" si="20"/>
        <v>17</v>
      </c>
      <c r="U54" s="33">
        <f t="shared" ca="1" si="20"/>
        <v>0</v>
      </c>
      <c r="V54" s="33">
        <f t="shared" ca="1" si="20"/>
        <v>0</v>
      </c>
      <c r="W54" s="33">
        <f t="shared" ca="1" si="20"/>
        <v>0</v>
      </c>
      <c r="X54" s="33">
        <f t="shared" ca="1" si="20"/>
        <v>0</v>
      </c>
      <c r="Y54" s="33">
        <f t="shared" ca="1" si="20"/>
        <v>0</v>
      </c>
      <c r="Z54" s="33">
        <f t="shared" ca="1" si="20"/>
        <v>0</v>
      </c>
      <c r="AA54" s="33">
        <f t="shared" ca="1" si="20"/>
        <v>0</v>
      </c>
      <c r="AB54" s="33">
        <f t="shared" ca="1" si="20"/>
        <v>0</v>
      </c>
      <c r="AC54" s="33">
        <f t="shared" ca="1" si="20"/>
        <v>0</v>
      </c>
      <c r="AD54" s="33">
        <f t="shared" ca="1" si="20"/>
        <v>0</v>
      </c>
      <c r="AE54" s="33">
        <f t="shared" ca="1" si="20"/>
        <v>0</v>
      </c>
      <c r="AF54" s="33">
        <f t="shared" ca="1" si="20"/>
        <v>0</v>
      </c>
      <c r="AG54" s="24"/>
    </row>
    <row r="55" spans="1:35" x14ac:dyDescent="0.2">
      <c r="A55" s="24"/>
      <c r="B55" s="43" t="s">
        <v>207</v>
      </c>
      <c r="C55" s="50"/>
      <c r="D55" s="50"/>
      <c r="E55" s="24"/>
      <c r="F55" s="24"/>
      <c r="G55" s="33"/>
      <c r="H55" s="50"/>
      <c r="I55" s="101">
        <f t="shared" ref="I55:AF55" si="21">SUMIF($C$4:$C$41,"GA",I$4:I$41)</f>
        <v>2500</v>
      </c>
      <c r="J55" s="101">
        <f t="shared" si="21"/>
        <v>2500</v>
      </c>
      <c r="K55" s="101">
        <f t="shared" si="21"/>
        <v>2500</v>
      </c>
      <c r="L55" s="101">
        <f t="shared" si="21"/>
        <v>2500</v>
      </c>
      <c r="M55" s="101">
        <f t="shared" si="21"/>
        <v>2500</v>
      </c>
      <c r="N55" s="101">
        <f t="shared" si="21"/>
        <v>2500</v>
      </c>
      <c r="O55" s="101">
        <f t="shared" si="21"/>
        <v>2500</v>
      </c>
      <c r="P55" s="101">
        <f t="shared" si="21"/>
        <v>2500</v>
      </c>
      <c r="Q55" s="101">
        <f t="shared" si="21"/>
        <v>2500</v>
      </c>
      <c r="R55" s="101">
        <f t="shared" si="21"/>
        <v>2500</v>
      </c>
      <c r="S55" s="101">
        <f t="shared" si="21"/>
        <v>2500</v>
      </c>
      <c r="T55" s="101">
        <f t="shared" si="21"/>
        <v>2500</v>
      </c>
      <c r="U55" s="41">
        <f t="shared" si="21"/>
        <v>0</v>
      </c>
      <c r="V55" s="41">
        <f t="shared" si="21"/>
        <v>0</v>
      </c>
      <c r="W55" s="41">
        <f t="shared" si="21"/>
        <v>0</v>
      </c>
      <c r="X55" s="41">
        <f t="shared" si="21"/>
        <v>0</v>
      </c>
      <c r="Y55" s="41">
        <f t="shared" si="21"/>
        <v>0</v>
      </c>
      <c r="Z55" s="41">
        <f t="shared" si="21"/>
        <v>0</v>
      </c>
      <c r="AA55" s="41">
        <f t="shared" si="21"/>
        <v>0</v>
      </c>
      <c r="AB55" s="41">
        <f t="shared" si="21"/>
        <v>0</v>
      </c>
      <c r="AC55" s="41">
        <f t="shared" si="21"/>
        <v>0</v>
      </c>
      <c r="AD55" s="41">
        <f t="shared" si="21"/>
        <v>0</v>
      </c>
      <c r="AE55" s="41">
        <f t="shared" si="21"/>
        <v>0</v>
      </c>
      <c r="AF55" s="41">
        <f t="shared" si="21"/>
        <v>0</v>
      </c>
      <c r="AG55" s="24"/>
      <c r="AH55" s="41">
        <f>SUMIF($C$4:$C$41,"GA",AH$4:AH$41)</f>
        <v>30000</v>
      </c>
      <c r="AI55" s="41">
        <f>SUMIF($C$4:$C$41,"GA",AI$4:AI$41)</f>
        <v>0</v>
      </c>
    </row>
    <row r="56" spans="1:35" x14ac:dyDescent="0.2">
      <c r="A56" s="24"/>
      <c r="B56" s="43" t="s">
        <v>208</v>
      </c>
      <c r="C56" s="50"/>
      <c r="D56" s="50"/>
      <c r="E56" s="24"/>
      <c r="F56" s="24"/>
      <c r="G56" s="33"/>
      <c r="H56" s="50"/>
      <c r="I56" s="101">
        <f t="shared" ref="I56:AF56" si="22">SUMIF($C$4:$C$41,"SM",I$4:I$41)</f>
        <v>4166.666666666667</v>
      </c>
      <c r="J56" s="101">
        <f t="shared" si="22"/>
        <v>4166.666666666667</v>
      </c>
      <c r="K56" s="101">
        <f t="shared" si="22"/>
        <v>4166.666666666667</v>
      </c>
      <c r="L56" s="101">
        <f t="shared" si="22"/>
        <v>4166.666666666667</v>
      </c>
      <c r="M56" s="101">
        <f t="shared" si="22"/>
        <v>4166.666666666667</v>
      </c>
      <c r="N56" s="101">
        <f t="shared" si="22"/>
        <v>4166.666666666667</v>
      </c>
      <c r="O56" s="101">
        <f t="shared" si="22"/>
        <v>3333.3333333333335</v>
      </c>
      <c r="P56" s="101">
        <f t="shared" si="22"/>
        <v>3333.3333333333335</v>
      </c>
      <c r="Q56" s="101">
        <f t="shared" si="22"/>
        <v>3333.3333333333335</v>
      </c>
      <c r="R56" s="101">
        <f t="shared" si="22"/>
        <v>3333.3333333333335</v>
      </c>
      <c r="S56" s="101">
        <f t="shared" si="22"/>
        <v>3333.3333333333335</v>
      </c>
      <c r="T56" s="101">
        <f t="shared" si="22"/>
        <v>3333.3333333333335</v>
      </c>
      <c r="U56" s="41">
        <f t="shared" ca="1" si="22"/>
        <v>0</v>
      </c>
      <c r="V56" s="41">
        <f t="shared" ca="1" si="22"/>
        <v>0</v>
      </c>
      <c r="W56" s="41">
        <f t="shared" ca="1" si="22"/>
        <v>0</v>
      </c>
      <c r="X56" s="41">
        <f t="shared" ca="1" si="22"/>
        <v>0</v>
      </c>
      <c r="Y56" s="41">
        <f t="shared" ca="1" si="22"/>
        <v>0</v>
      </c>
      <c r="Z56" s="41">
        <f t="shared" ca="1" si="22"/>
        <v>0</v>
      </c>
      <c r="AA56" s="41">
        <f t="shared" ca="1" si="22"/>
        <v>0</v>
      </c>
      <c r="AB56" s="41">
        <f t="shared" ca="1" si="22"/>
        <v>0</v>
      </c>
      <c r="AC56" s="41">
        <f t="shared" ca="1" si="22"/>
        <v>0</v>
      </c>
      <c r="AD56" s="41">
        <f t="shared" ca="1" si="22"/>
        <v>0</v>
      </c>
      <c r="AE56" s="41">
        <f t="shared" ca="1" si="22"/>
        <v>0</v>
      </c>
      <c r="AF56" s="41">
        <f t="shared" ca="1" si="22"/>
        <v>0</v>
      </c>
      <c r="AG56" s="33"/>
      <c r="AH56" s="41">
        <f>SUMIF($C$4:$C$41,"SM",AH$4:AH$41)</f>
        <v>45000</v>
      </c>
      <c r="AI56" s="41">
        <f ca="1">SUMIF($C$4:$C$41,"SM",AI$4:AI$41)</f>
        <v>0</v>
      </c>
    </row>
    <row r="57" spans="1:35" x14ac:dyDescent="0.2">
      <c r="A57" s="24"/>
      <c r="B57" s="43" t="s">
        <v>209</v>
      </c>
      <c r="C57" s="50"/>
      <c r="D57" s="50"/>
      <c r="E57" s="24"/>
      <c r="F57" s="24"/>
      <c r="G57" s="33"/>
      <c r="H57" s="50"/>
      <c r="I57" s="101">
        <f t="shared" ref="I57:AF57" si="23">SUMIF($C$4:$C$41,"PD",I$4:I$41)</f>
        <v>5000</v>
      </c>
      <c r="J57" s="101">
        <f t="shared" si="23"/>
        <v>5000</v>
      </c>
      <c r="K57" s="101">
        <f t="shared" si="23"/>
        <v>5000</v>
      </c>
      <c r="L57" s="101">
        <f t="shared" si="23"/>
        <v>5000</v>
      </c>
      <c r="M57" s="101">
        <f t="shared" si="23"/>
        <v>5000</v>
      </c>
      <c r="N57" s="101">
        <f t="shared" si="23"/>
        <v>5000</v>
      </c>
      <c r="O57" s="101">
        <f t="shared" si="23"/>
        <v>5833.333333333333</v>
      </c>
      <c r="P57" s="101">
        <f t="shared" si="23"/>
        <v>5833.333333333333</v>
      </c>
      <c r="Q57" s="101">
        <f t="shared" si="23"/>
        <v>5833.333333333333</v>
      </c>
      <c r="R57" s="101">
        <f t="shared" si="23"/>
        <v>5833.333333333333</v>
      </c>
      <c r="S57" s="101">
        <f t="shared" si="23"/>
        <v>5833.333333333333</v>
      </c>
      <c r="T57" s="101">
        <f t="shared" si="23"/>
        <v>5833.333333333333</v>
      </c>
      <c r="U57" s="41">
        <f t="shared" si="23"/>
        <v>0</v>
      </c>
      <c r="V57" s="41">
        <f t="shared" si="23"/>
        <v>0</v>
      </c>
      <c r="W57" s="41">
        <f t="shared" si="23"/>
        <v>0</v>
      </c>
      <c r="X57" s="41">
        <f t="shared" si="23"/>
        <v>0</v>
      </c>
      <c r="Y57" s="41">
        <f t="shared" si="23"/>
        <v>0</v>
      </c>
      <c r="Z57" s="41">
        <f t="shared" si="23"/>
        <v>0</v>
      </c>
      <c r="AA57" s="41">
        <f t="shared" si="23"/>
        <v>0</v>
      </c>
      <c r="AB57" s="41">
        <f t="shared" si="23"/>
        <v>0</v>
      </c>
      <c r="AC57" s="41">
        <f t="shared" si="23"/>
        <v>0</v>
      </c>
      <c r="AD57" s="41">
        <f t="shared" si="23"/>
        <v>0</v>
      </c>
      <c r="AE57" s="41">
        <f t="shared" si="23"/>
        <v>0</v>
      </c>
      <c r="AF57" s="41">
        <f t="shared" si="23"/>
        <v>0</v>
      </c>
      <c r="AG57" s="33"/>
      <c r="AH57" s="41">
        <f>SUMIF($C$4:$C$41,"PD",AH$4:AH$41)</f>
        <v>65000</v>
      </c>
      <c r="AI57" s="41">
        <f>SUMIF($C$4:$C$41,"PD",AI$4:AI$41)</f>
        <v>0</v>
      </c>
    </row>
    <row r="58" spans="1:35" x14ac:dyDescent="0.2">
      <c r="B58" s="43" t="s">
        <v>210</v>
      </c>
      <c r="I58" s="101">
        <f t="shared" ref="I58:AF58" si="24">SUMIF($C$4:$C$41,"CO",I$4:I$41)</f>
        <v>2500</v>
      </c>
      <c r="J58" s="101">
        <f t="shared" si="24"/>
        <v>2500</v>
      </c>
      <c r="K58" s="101">
        <f t="shared" si="24"/>
        <v>2500</v>
      </c>
      <c r="L58" s="101">
        <f t="shared" si="24"/>
        <v>2500</v>
      </c>
      <c r="M58" s="101">
        <f t="shared" si="24"/>
        <v>2500</v>
      </c>
      <c r="N58" s="101">
        <f t="shared" si="24"/>
        <v>2500</v>
      </c>
      <c r="O58" s="101">
        <f t="shared" si="24"/>
        <v>2500</v>
      </c>
      <c r="P58" s="101">
        <f t="shared" si="24"/>
        <v>2500</v>
      </c>
      <c r="Q58" s="101">
        <f t="shared" si="24"/>
        <v>2500</v>
      </c>
      <c r="R58" s="101">
        <f t="shared" si="24"/>
        <v>2500</v>
      </c>
      <c r="S58" s="101">
        <f t="shared" si="24"/>
        <v>2500</v>
      </c>
      <c r="T58" s="101">
        <f t="shared" si="24"/>
        <v>2500</v>
      </c>
      <c r="U58" s="41">
        <f t="shared" ca="1" si="24"/>
        <v>0</v>
      </c>
      <c r="V58" s="41">
        <f t="shared" ca="1" si="24"/>
        <v>0</v>
      </c>
      <c r="W58" s="41">
        <f t="shared" ca="1" si="24"/>
        <v>0</v>
      </c>
      <c r="X58" s="41">
        <f t="shared" ca="1" si="24"/>
        <v>0</v>
      </c>
      <c r="Y58" s="41">
        <f t="shared" ca="1" si="24"/>
        <v>0</v>
      </c>
      <c r="Z58" s="41">
        <f t="shared" ca="1" si="24"/>
        <v>0</v>
      </c>
      <c r="AA58" s="41">
        <f t="shared" ca="1" si="24"/>
        <v>0</v>
      </c>
      <c r="AB58" s="41">
        <f t="shared" ca="1" si="24"/>
        <v>0</v>
      </c>
      <c r="AC58" s="41">
        <f t="shared" ca="1" si="24"/>
        <v>0</v>
      </c>
      <c r="AD58" s="41">
        <f t="shared" ca="1" si="24"/>
        <v>0</v>
      </c>
      <c r="AE58" s="41">
        <f t="shared" ca="1" si="24"/>
        <v>0</v>
      </c>
      <c r="AF58" s="41">
        <f t="shared" ca="1" si="24"/>
        <v>0</v>
      </c>
      <c r="AG58" s="1"/>
      <c r="AH58" s="41">
        <f>SUMIF($C$4:$C$41,"CO",AH$4:AH$41)</f>
        <v>30000</v>
      </c>
      <c r="AI58" s="41">
        <f ca="1">SUMIF($C$4:$C$41,"CO",AI$4:AI$41)</f>
        <v>0</v>
      </c>
    </row>
    <row r="59" spans="1:35" x14ac:dyDescent="0.2"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s="24" customFormat="1" ht="14" x14ac:dyDescent="0.2">
      <c r="B60" s="43" t="s">
        <v>232</v>
      </c>
      <c r="C60" s="50"/>
      <c r="D60" s="50"/>
      <c r="G60" s="33"/>
      <c r="H60" s="50"/>
      <c r="I60" s="101">
        <f>SUM(I55:I58,I42:I42)</f>
        <v>15166.666666666668</v>
      </c>
      <c r="J60" s="101">
        <f t="shared" ref="J60:AF60" si="25">SUM(J55:J58,J42:J42)</f>
        <v>15166.666666666668</v>
      </c>
      <c r="K60" s="101">
        <f t="shared" si="25"/>
        <v>15666.666666666668</v>
      </c>
      <c r="L60" s="101">
        <f t="shared" si="25"/>
        <v>15166.666666666668</v>
      </c>
      <c r="M60" s="101">
        <f t="shared" si="25"/>
        <v>15766.666666666668</v>
      </c>
      <c r="N60" s="101">
        <f t="shared" si="25"/>
        <v>15666.666666666668</v>
      </c>
      <c r="O60" s="101">
        <f t="shared" si="25"/>
        <v>15166.666666666668</v>
      </c>
      <c r="P60" s="101">
        <f t="shared" si="25"/>
        <v>15766.666666666668</v>
      </c>
      <c r="Q60" s="101">
        <f t="shared" si="25"/>
        <v>15166.666666666668</v>
      </c>
      <c r="R60" s="101">
        <f t="shared" si="25"/>
        <v>15166.666666666668</v>
      </c>
      <c r="S60" s="101">
        <f t="shared" si="25"/>
        <v>16066.666666666668</v>
      </c>
      <c r="T60" s="101">
        <f t="shared" si="25"/>
        <v>15166.666666666668</v>
      </c>
      <c r="U60" s="33">
        <f t="shared" ca="1" si="25"/>
        <v>1000.0000000000002</v>
      </c>
      <c r="V60" s="33">
        <f t="shared" ca="1" si="25"/>
        <v>1900.0000000000002</v>
      </c>
      <c r="W60" s="33">
        <f t="shared" ca="1" si="25"/>
        <v>1000.0000000000002</v>
      </c>
      <c r="X60" s="33">
        <f t="shared" ca="1" si="25"/>
        <v>1000.0000000000002</v>
      </c>
      <c r="Y60" s="33">
        <f t="shared" ca="1" si="25"/>
        <v>1000.0000000000002</v>
      </c>
      <c r="Z60" s="33">
        <f t="shared" ca="1" si="25"/>
        <v>1300.0000000000002</v>
      </c>
      <c r="AA60" s="33">
        <f t="shared" ca="1" si="25"/>
        <v>1000.0000000000002</v>
      </c>
      <c r="AB60" s="33">
        <f t="shared" ca="1" si="25"/>
        <v>1000.0000000000002</v>
      </c>
      <c r="AC60" s="33">
        <f t="shared" ca="1" si="25"/>
        <v>1000.0000000000002</v>
      </c>
      <c r="AD60" s="33">
        <f t="shared" ca="1" si="25"/>
        <v>1000.0000000000002</v>
      </c>
      <c r="AE60" s="33">
        <f t="shared" ca="1" si="25"/>
        <v>1000.0000000000002</v>
      </c>
      <c r="AF60" s="33">
        <f t="shared" ca="1" si="25"/>
        <v>1000.0000000000002</v>
      </c>
      <c r="AG60" s="33"/>
      <c r="AH60" s="33">
        <f>SUM(I60:T60)</f>
        <v>185100</v>
      </c>
      <c r="AI60" s="33">
        <f ca="1">SUM(U60:AF60)</f>
        <v>13200.000000000002</v>
      </c>
    </row>
  </sheetData>
  <sheetProtection selectLockedCells="1" selectUnlockedCells="1"/>
  <conditionalFormatting sqref="E1:E2 E5:E17 E35:E36 E44 E50:E1048576 F53:G53">
    <cfRule type="cellIs" dxfId="11" priority="181" stopIfTrue="1" operator="greaterThan">
      <formula>TODAY()</formula>
    </cfRule>
  </conditionalFormatting>
  <conditionalFormatting sqref="E19:E29">
    <cfRule type="cellIs" dxfId="10" priority="2" stopIfTrue="1" operator="greaterThan">
      <formula>TODAY()</formula>
    </cfRule>
  </conditionalFormatting>
  <conditionalFormatting sqref="E37:E39">
    <cfRule type="cellIs" dxfId="9" priority="7" stopIfTrue="1" operator="equal">
      <formula>"n/a"</formula>
    </cfRule>
    <cfRule type="cellIs" dxfId="8" priority="8" stopIfTrue="1" operator="greaterThan">
      <formula>TODAY()</formula>
    </cfRule>
    <cfRule type="cellIs" dxfId="7" priority="9" operator="greaterThan">
      <formula>TODAY()</formula>
    </cfRule>
  </conditionalFormatting>
  <conditionalFormatting sqref="E5:F17 E35:F36 E44 E50:F52 E53:G53 E54:F1048576 F37:F39 E47:E48">
    <cfRule type="cellIs" dxfId="6" priority="182" operator="greaterThan">
      <formula>TODAY()</formula>
    </cfRule>
  </conditionalFormatting>
  <conditionalFormatting sqref="E19:F29">
    <cfRule type="cellIs" dxfId="5" priority="1" stopIfTrue="1" operator="equal">
      <formula>"n/a"</formula>
    </cfRule>
    <cfRule type="cellIs" dxfId="4" priority="3" operator="greaterThan">
      <formula>TODAY()</formula>
    </cfRule>
  </conditionalFormatting>
  <conditionalFormatting sqref="F37:F39 E1:E2 F1:F5 E5 E6:F17 E35:F36 E44 E47:E48 E50:F52 E53:G53 E54:F1048576">
    <cfRule type="cellIs" dxfId="3" priority="180" stopIfTrue="1" operator="equal">
      <formula>"n/a"</formula>
    </cfRule>
  </conditionalFormatting>
  <conditionalFormatting sqref="F38:F39">
    <cfRule type="cellIs" dxfId="2" priority="21" stopIfTrue="1" operator="equal">
      <formula>"n/a"</formula>
    </cfRule>
    <cfRule type="cellIs" dxfId="1" priority="23" operator="greaterThan">
      <formula>TODAY()</formula>
    </cfRule>
  </conditionalFormatting>
  <pageMargins left="0.7" right="0.7" top="0.75" bottom="0.75" header="0.3" footer="0.3"/>
  <pageSetup paperSize="119" scale="8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>
    <pageSetUpPr fitToPage="1"/>
  </sheetPr>
  <dimension ref="A1:AE79"/>
  <sheetViews>
    <sheetView zoomScaleNormal="100" workbookViewId="0">
      <pane ySplit="3" topLeftCell="A4" activePane="bottomLeft" state="frozen"/>
      <selection pane="bottomLeft" activeCell="E8" sqref="E8"/>
    </sheetView>
  </sheetViews>
  <sheetFormatPr baseColWidth="10" defaultColWidth="8.83203125" defaultRowHeight="15" x14ac:dyDescent="0.2"/>
  <cols>
    <col min="1" max="1" width="2" customWidth="1"/>
    <col min="2" max="2" width="47.5" bestFit="1" customWidth="1"/>
    <col min="3" max="4" width="4.1640625" customWidth="1"/>
    <col min="5" max="13" width="7.5" bestFit="1" customWidth="1"/>
    <col min="14" max="14" width="6.5" bestFit="1" customWidth="1"/>
    <col min="15" max="15" width="6.6640625" bestFit="1" customWidth="1"/>
    <col min="16" max="18" width="6.5" bestFit="1" customWidth="1"/>
    <col min="19" max="19" width="6.6640625" bestFit="1" customWidth="1"/>
    <col min="20" max="21" width="7.5" bestFit="1" customWidth="1"/>
    <col min="22" max="26" width="6.5" bestFit="1" customWidth="1"/>
    <col min="27" max="27" width="6.6640625" bestFit="1" customWidth="1"/>
    <col min="28" max="28" width="6.5" bestFit="1" customWidth="1"/>
    <col min="29" max="29" width="2.33203125" customWidth="1"/>
    <col min="30" max="31" width="9.33203125" bestFit="1" customWidth="1"/>
  </cols>
  <sheetData>
    <row r="1" spans="1:31" ht="19" x14ac:dyDescent="0.25">
      <c r="A1" t="s">
        <v>77</v>
      </c>
      <c r="B1" s="42" t="s">
        <v>193</v>
      </c>
      <c r="C1" s="6"/>
      <c r="D1" s="6"/>
    </row>
    <row r="2" spans="1:31" ht="7.5" customHeight="1" x14ac:dyDescent="0.2"/>
    <row r="3" spans="1:31" x14ac:dyDescent="0.2">
      <c r="B3" s="24"/>
      <c r="C3" s="61" t="s">
        <v>108</v>
      </c>
      <c r="D3" s="61" t="s">
        <v>82</v>
      </c>
      <c r="E3" s="45">
        <v>41670</v>
      </c>
      <c r="F3" s="45">
        <v>41698</v>
      </c>
      <c r="G3" s="45">
        <v>41729</v>
      </c>
      <c r="H3" s="45">
        <v>41759</v>
      </c>
      <c r="I3" s="45">
        <v>41790</v>
      </c>
      <c r="J3" s="45">
        <v>41820</v>
      </c>
      <c r="K3" s="45">
        <v>41851</v>
      </c>
      <c r="L3" s="45">
        <v>41882</v>
      </c>
      <c r="M3" s="45">
        <v>41912</v>
      </c>
      <c r="N3" s="45">
        <v>41943</v>
      </c>
      <c r="O3" s="45">
        <v>41973</v>
      </c>
      <c r="P3" s="45">
        <v>42004</v>
      </c>
      <c r="Q3" s="45">
        <v>42035</v>
      </c>
      <c r="R3" s="45">
        <v>42063</v>
      </c>
      <c r="S3" s="45">
        <v>42094</v>
      </c>
      <c r="T3" s="45">
        <v>42124</v>
      </c>
      <c r="U3" s="45">
        <v>42155</v>
      </c>
      <c r="V3" s="45">
        <v>42185</v>
      </c>
      <c r="W3" s="45">
        <v>42216</v>
      </c>
      <c r="X3" s="45">
        <v>42247</v>
      </c>
      <c r="Y3" s="45">
        <v>42277</v>
      </c>
      <c r="Z3" s="45">
        <v>42308</v>
      </c>
      <c r="AA3" s="45">
        <v>42338</v>
      </c>
      <c r="AB3" s="45">
        <v>42369</v>
      </c>
      <c r="AC3" s="24"/>
      <c r="AD3" s="45" t="s">
        <v>142</v>
      </c>
      <c r="AE3" s="45" t="s">
        <v>143</v>
      </c>
    </row>
    <row r="4" spans="1:31" x14ac:dyDescent="0.2">
      <c r="B4" s="25" t="s">
        <v>300</v>
      </c>
      <c r="C4" s="24"/>
      <c r="D4" s="2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24"/>
      <c r="AD4" s="24"/>
      <c r="AE4" s="24"/>
    </row>
    <row r="5" spans="1:31" x14ac:dyDescent="0.2">
      <c r="B5" s="24" t="s">
        <v>97</v>
      </c>
      <c r="C5" s="32" t="s">
        <v>81</v>
      </c>
      <c r="D5" s="32" t="s">
        <v>106</v>
      </c>
      <c r="E5" s="37">
        <v>5000</v>
      </c>
      <c r="F5" s="37">
        <v>5000</v>
      </c>
      <c r="G5" s="37">
        <v>5000</v>
      </c>
      <c r="H5" s="37">
        <v>5000</v>
      </c>
      <c r="I5" s="37">
        <v>5000</v>
      </c>
      <c r="J5" s="37">
        <v>5000</v>
      </c>
      <c r="K5" s="37">
        <v>5000</v>
      </c>
      <c r="L5" s="37">
        <v>5000</v>
      </c>
      <c r="M5" s="37">
        <v>5000</v>
      </c>
      <c r="N5" s="37">
        <v>5000</v>
      </c>
      <c r="O5" s="37">
        <v>5000</v>
      </c>
      <c r="P5" s="37">
        <v>5000</v>
      </c>
      <c r="Q5" s="153">
        <v>5000</v>
      </c>
      <c r="R5" s="153">
        <v>5000</v>
      </c>
      <c r="S5" s="153">
        <v>5000</v>
      </c>
      <c r="T5" s="153">
        <v>5000</v>
      </c>
      <c r="U5" s="153">
        <v>5000</v>
      </c>
      <c r="V5" s="153">
        <v>5000</v>
      </c>
      <c r="W5" s="153">
        <v>5000</v>
      </c>
      <c r="X5" s="153">
        <v>5000</v>
      </c>
      <c r="Y5" s="153">
        <v>5000</v>
      </c>
      <c r="Z5" s="153">
        <v>5000</v>
      </c>
      <c r="AA5" s="153">
        <v>5000</v>
      </c>
      <c r="AB5" s="153">
        <v>5000</v>
      </c>
      <c r="AC5" s="153"/>
      <c r="AD5" s="57">
        <f t="shared" ref="AD5:AD23" si="0">SUM(E5:P5)</f>
        <v>60000</v>
      </c>
      <c r="AE5" s="57">
        <f t="shared" ref="AE5:AE23" si="1">SUM(Q5:AB5)</f>
        <v>60000</v>
      </c>
    </row>
    <row r="6" spans="1:31" x14ac:dyDescent="0.2">
      <c r="B6" s="24" t="s">
        <v>9</v>
      </c>
      <c r="C6" s="32" t="s">
        <v>81</v>
      </c>
      <c r="D6" s="32" t="s">
        <v>83</v>
      </c>
      <c r="E6" s="37">
        <v>100</v>
      </c>
      <c r="F6" s="37">
        <v>100</v>
      </c>
      <c r="G6" s="37">
        <v>100</v>
      </c>
      <c r="H6" s="37">
        <v>100</v>
      </c>
      <c r="I6" s="37">
        <v>100</v>
      </c>
      <c r="J6" s="37">
        <v>100</v>
      </c>
      <c r="K6" s="37">
        <v>100</v>
      </c>
      <c r="L6" s="37">
        <v>100</v>
      </c>
      <c r="M6" s="37">
        <v>100</v>
      </c>
      <c r="N6" s="37">
        <v>100</v>
      </c>
      <c r="O6" s="37">
        <v>100</v>
      </c>
      <c r="P6" s="37">
        <v>100</v>
      </c>
      <c r="Q6" s="153">
        <v>100</v>
      </c>
      <c r="R6" s="153">
        <v>100</v>
      </c>
      <c r="S6" s="153">
        <v>100</v>
      </c>
      <c r="T6" s="153">
        <v>100</v>
      </c>
      <c r="U6" s="153">
        <v>100</v>
      </c>
      <c r="V6" s="153">
        <v>100</v>
      </c>
      <c r="W6" s="153">
        <v>100</v>
      </c>
      <c r="X6" s="153">
        <v>100</v>
      </c>
      <c r="Y6" s="153">
        <v>100</v>
      </c>
      <c r="Z6" s="153">
        <v>100</v>
      </c>
      <c r="AA6" s="153">
        <v>100</v>
      </c>
      <c r="AB6" s="153">
        <v>100</v>
      </c>
      <c r="AC6" s="27"/>
      <c r="AD6" s="57">
        <f t="shared" si="0"/>
        <v>1200</v>
      </c>
      <c r="AE6" s="57">
        <f t="shared" si="1"/>
        <v>1200</v>
      </c>
    </row>
    <row r="7" spans="1:31" x14ac:dyDescent="0.2">
      <c r="B7" s="24" t="s">
        <v>221</v>
      </c>
      <c r="C7" s="32" t="s">
        <v>81</v>
      </c>
      <c r="D7" s="32" t="s">
        <v>83</v>
      </c>
      <c r="E7" s="37">
        <v>100</v>
      </c>
      <c r="F7" s="37">
        <v>100</v>
      </c>
      <c r="G7" s="37">
        <v>100</v>
      </c>
      <c r="H7" s="37">
        <v>100</v>
      </c>
      <c r="I7" s="37">
        <v>100</v>
      </c>
      <c r="J7" s="37">
        <v>100</v>
      </c>
      <c r="K7" s="37">
        <v>100</v>
      </c>
      <c r="L7" s="37">
        <v>100</v>
      </c>
      <c r="M7" s="37">
        <v>100</v>
      </c>
      <c r="N7" s="37">
        <v>100</v>
      </c>
      <c r="O7" s="37">
        <v>100</v>
      </c>
      <c r="P7" s="37">
        <v>100</v>
      </c>
      <c r="Q7" s="153">
        <v>100</v>
      </c>
      <c r="R7" s="153">
        <v>100</v>
      </c>
      <c r="S7" s="153">
        <v>100</v>
      </c>
      <c r="T7" s="153">
        <v>100</v>
      </c>
      <c r="U7" s="153">
        <v>100</v>
      </c>
      <c r="V7" s="153">
        <v>100</v>
      </c>
      <c r="W7" s="153">
        <v>100</v>
      </c>
      <c r="X7" s="153">
        <v>100</v>
      </c>
      <c r="Y7" s="153">
        <v>100</v>
      </c>
      <c r="Z7" s="153">
        <v>100</v>
      </c>
      <c r="AA7" s="153">
        <v>100</v>
      </c>
      <c r="AB7" s="153">
        <v>100</v>
      </c>
      <c r="AC7" s="27"/>
      <c r="AD7" s="57">
        <f t="shared" si="0"/>
        <v>1200</v>
      </c>
      <c r="AE7" s="57">
        <f t="shared" si="1"/>
        <v>1200</v>
      </c>
    </row>
    <row r="8" spans="1:31" x14ac:dyDescent="0.2">
      <c r="B8" s="24" t="s">
        <v>5</v>
      </c>
      <c r="C8" s="32" t="s">
        <v>114</v>
      </c>
      <c r="D8" s="32" t="s">
        <v>106</v>
      </c>
      <c r="E8" s="163">
        <v>10</v>
      </c>
      <c r="F8" s="163">
        <v>20</v>
      </c>
      <c r="G8" s="163">
        <v>30</v>
      </c>
      <c r="H8" s="163">
        <v>40</v>
      </c>
      <c r="I8" s="163">
        <v>50</v>
      </c>
      <c r="J8" s="163">
        <v>60</v>
      </c>
      <c r="K8" s="163">
        <v>70</v>
      </c>
      <c r="L8" s="163">
        <v>80</v>
      </c>
      <c r="M8" s="163">
        <v>90</v>
      </c>
      <c r="N8" s="163">
        <v>100</v>
      </c>
      <c r="O8" s="163">
        <v>110</v>
      </c>
      <c r="P8" s="163">
        <v>120</v>
      </c>
      <c r="Q8" s="153">
        <f>'Fixed Assets'!Q24</f>
        <v>131.45833333333334</v>
      </c>
      <c r="R8" s="153">
        <f>'Fixed Assets'!R24</f>
        <v>142.91666666666669</v>
      </c>
      <c r="S8" s="153">
        <f>'Fixed Assets'!S24</f>
        <v>154.375</v>
      </c>
      <c r="T8" s="153">
        <f>'Fixed Assets'!T24</f>
        <v>165.83333333333331</v>
      </c>
      <c r="U8" s="153">
        <f>'Fixed Assets'!U24</f>
        <v>177.29166666666669</v>
      </c>
      <c r="V8" s="153">
        <f>'Fixed Assets'!V24</f>
        <v>188.75</v>
      </c>
      <c r="W8" s="153">
        <f>'Fixed Assets'!W24</f>
        <v>200.20833333333331</v>
      </c>
      <c r="X8" s="153">
        <f>'Fixed Assets'!X24</f>
        <v>211.66666666666669</v>
      </c>
      <c r="Y8" s="153">
        <f>'Fixed Assets'!Y24</f>
        <v>223.125</v>
      </c>
      <c r="Z8" s="153">
        <f>'Fixed Assets'!Z24</f>
        <v>234.58333333333331</v>
      </c>
      <c r="AA8" s="153">
        <f>'Fixed Assets'!AA24</f>
        <v>246.04166666666669</v>
      </c>
      <c r="AB8" s="153">
        <f>'Fixed Assets'!AB24</f>
        <v>257.5</v>
      </c>
      <c r="AC8" s="27"/>
      <c r="AD8" s="57">
        <f t="shared" si="0"/>
        <v>780</v>
      </c>
      <c r="AE8" s="57">
        <f t="shared" si="1"/>
        <v>2333.75</v>
      </c>
    </row>
    <row r="9" spans="1:31" x14ac:dyDescent="0.2">
      <c r="B9" s="24" t="s">
        <v>6</v>
      </c>
      <c r="C9" s="32" t="s">
        <v>115</v>
      </c>
      <c r="D9" s="32" t="s">
        <v>106</v>
      </c>
      <c r="E9" s="163">
        <v>0</v>
      </c>
      <c r="F9" s="163">
        <v>0</v>
      </c>
      <c r="G9" s="163">
        <v>41.666666666666664</v>
      </c>
      <c r="H9" s="163">
        <v>41.666666666666664</v>
      </c>
      <c r="I9" s="163">
        <v>41.666666666666664</v>
      </c>
      <c r="J9" s="163">
        <v>41.666666666666664</v>
      </c>
      <c r="K9" s="163">
        <v>41.666666666666664</v>
      </c>
      <c r="L9" s="163">
        <v>41.666666666666664</v>
      </c>
      <c r="M9" s="163">
        <v>41.666666666666664</v>
      </c>
      <c r="N9" s="163">
        <v>41.666666666666664</v>
      </c>
      <c r="O9" s="163">
        <v>41.666666666666664</v>
      </c>
      <c r="P9" s="163">
        <v>41.666666666666664</v>
      </c>
      <c r="Q9" s="153">
        <f>'Fixed Assets'!Q28</f>
        <v>41.666666666666664</v>
      </c>
      <c r="R9" s="153">
        <f>'Fixed Assets'!R28</f>
        <v>41.666666666666664</v>
      </c>
      <c r="S9" s="153">
        <f>'Fixed Assets'!S28</f>
        <v>41.666666666666664</v>
      </c>
      <c r="T9" s="153">
        <f>'Fixed Assets'!T28</f>
        <v>41.666666666666664</v>
      </c>
      <c r="U9" s="153">
        <f>'Fixed Assets'!U28</f>
        <v>41.666666666666664</v>
      </c>
      <c r="V9" s="153">
        <f>'Fixed Assets'!V28</f>
        <v>41.666666666666664</v>
      </c>
      <c r="W9" s="153">
        <f>'Fixed Assets'!W28</f>
        <v>41.666666666666664</v>
      </c>
      <c r="X9" s="153">
        <f>'Fixed Assets'!X28</f>
        <v>41.666666666666664</v>
      </c>
      <c r="Y9" s="153">
        <f>'Fixed Assets'!Y28</f>
        <v>41.666666666666664</v>
      </c>
      <c r="Z9" s="153">
        <f>'Fixed Assets'!Z28</f>
        <v>41.666666666666664</v>
      </c>
      <c r="AA9" s="153">
        <f>'Fixed Assets'!AA28</f>
        <v>41.666666666666664</v>
      </c>
      <c r="AB9" s="153">
        <f>'Fixed Assets'!AB28</f>
        <v>41.666666666666664</v>
      </c>
      <c r="AC9" s="27"/>
      <c r="AD9" s="57">
        <f t="shared" si="0"/>
        <v>416.66666666666669</v>
      </c>
      <c r="AE9" s="57">
        <f t="shared" si="1"/>
        <v>500.00000000000006</v>
      </c>
    </row>
    <row r="10" spans="1:31" x14ac:dyDescent="0.2">
      <c r="B10" s="24" t="s">
        <v>153</v>
      </c>
      <c r="C10" s="32" t="s">
        <v>81</v>
      </c>
      <c r="D10" s="32" t="s">
        <v>106</v>
      </c>
      <c r="E10" s="37">
        <v>5000</v>
      </c>
      <c r="F10" s="37">
        <v>5000</v>
      </c>
      <c r="G10" s="37">
        <v>5000</v>
      </c>
      <c r="H10" s="37">
        <v>5000</v>
      </c>
      <c r="I10" s="37">
        <v>5000</v>
      </c>
      <c r="J10" s="37">
        <v>5000</v>
      </c>
      <c r="K10" s="37">
        <v>5000</v>
      </c>
      <c r="L10" s="37">
        <v>5000</v>
      </c>
      <c r="M10" s="37">
        <v>5000</v>
      </c>
      <c r="N10" s="37">
        <v>5000</v>
      </c>
      <c r="O10" s="37">
        <v>5000</v>
      </c>
      <c r="P10" s="37">
        <v>5000</v>
      </c>
      <c r="Q10" s="153">
        <v>5000</v>
      </c>
      <c r="R10" s="153">
        <v>5000</v>
      </c>
      <c r="S10" s="153">
        <v>5000</v>
      </c>
      <c r="T10" s="153">
        <v>5000</v>
      </c>
      <c r="U10" s="153">
        <v>5000</v>
      </c>
      <c r="V10" s="153">
        <v>5000</v>
      </c>
      <c r="W10" s="153">
        <v>5000</v>
      </c>
      <c r="X10" s="153">
        <v>5000</v>
      </c>
      <c r="Y10" s="153">
        <v>5000</v>
      </c>
      <c r="Z10" s="153">
        <v>5000</v>
      </c>
      <c r="AA10" s="153">
        <v>5000</v>
      </c>
      <c r="AB10" s="153">
        <v>5000</v>
      </c>
      <c r="AC10" s="27"/>
      <c r="AD10" s="57">
        <f t="shared" si="0"/>
        <v>60000</v>
      </c>
      <c r="AE10" s="57">
        <f t="shared" si="1"/>
        <v>60000</v>
      </c>
    </row>
    <row r="11" spans="1:31" x14ac:dyDescent="0.2">
      <c r="B11" s="24" t="s">
        <v>98</v>
      </c>
      <c r="C11" s="32" t="s">
        <v>81</v>
      </c>
      <c r="D11" s="32" t="s">
        <v>83</v>
      </c>
      <c r="E11" s="37">
        <v>220</v>
      </c>
      <c r="F11" s="37">
        <v>220</v>
      </c>
      <c r="G11" s="37">
        <v>220</v>
      </c>
      <c r="H11" s="37">
        <v>220</v>
      </c>
      <c r="I11" s="37">
        <v>220</v>
      </c>
      <c r="J11" s="37">
        <v>220</v>
      </c>
      <c r="K11" s="37">
        <v>220</v>
      </c>
      <c r="L11" s="37">
        <v>220</v>
      </c>
      <c r="M11" s="37">
        <v>220</v>
      </c>
      <c r="N11" s="37">
        <v>220</v>
      </c>
      <c r="O11" s="37">
        <v>220</v>
      </c>
      <c r="P11" s="37">
        <v>220</v>
      </c>
      <c r="Q11" s="153">
        <f t="shared" ref="Q11:AB11" si="2">$E$79</f>
        <v>220</v>
      </c>
      <c r="R11" s="153">
        <f t="shared" si="2"/>
        <v>220</v>
      </c>
      <c r="S11" s="153">
        <f t="shared" si="2"/>
        <v>220</v>
      </c>
      <c r="T11" s="153">
        <f t="shared" si="2"/>
        <v>220</v>
      </c>
      <c r="U11" s="153">
        <f t="shared" si="2"/>
        <v>220</v>
      </c>
      <c r="V11" s="153">
        <f t="shared" si="2"/>
        <v>220</v>
      </c>
      <c r="W11" s="153">
        <f t="shared" si="2"/>
        <v>220</v>
      </c>
      <c r="X11" s="153">
        <f t="shared" si="2"/>
        <v>220</v>
      </c>
      <c r="Y11" s="153">
        <f t="shared" si="2"/>
        <v>220</v>
      </c>
      <c r="Z11" s="153">
        <f t="shared" si="2"/>
        <v>220</v>
      </c>
      <c r="AA11" s="153">
        <f t="shared" si="2"/>
        <v>220</v>
      </c>
      <c r="AB11" s="153">
        <f t="shared" si="2"/>
        <v>220</v>
      </c>
      <c r="AC11" s="27"/>
      <c r="AD11" s="57">
        <f t="shared" si="0"/>
        <v>2640</v>
      </c>
      <c r="AE11" s="57">
        <f t="shared" si="1"/>
        <v>2640</v>
      </c>
    </row>
    <row r="12" spans="1:31" x14ac:dyDescent="0.2">
      <c r="B12" s="24" t="s">
        <v>109</v>
      </c>
      <c r="C12" s="32" t="s">
        <v>81</v>
      </c>
      <c r="D12" s="32"/>
      <c r="E12" s="37">
        <v>100</v>
      </c>
      <c r="F12" s="37">
        <v>100</v>
      </c>
      <c r="G12" s="37">
        <v>100</v>
      </c>
      <c r="H12" s="37">
        <v>100</v>
      </c>
      <c r="I12" s="37">
        <v>100</v>
      </c>
      <c r="J12" s="37">
        <v>100</v>
      </c>
      <c r="K12" s="37">
        <v>100</v>
      </c>
      <c r="L12" s="37">
        <v>100</v>
      </c>
      <c r="M12" s="37">
        <v>100</v>
      </c>
      <c r="N12" s="37">
        <v>100</v>
      </c>
      <c r="O12" s="37">
        <v>100</v>
      </c>
      <c r="P12" s="37">
        <v>100</v>
      </c>
      <c r="Q12" s="153">
        <v>100</v>
      </c>
      <c r="R12" s="153">
        <v>100</v>
      </c>
      <c r="S12" s="153">
        <v>100</v>
      </c>
      <c r="T12" s="153">
        <v>100</v>
      </c>
      <c r="U12" s="153">
        <v>100</v>
      </c>
      <c r="V12" s="153">
        <v>100</v>
      </c>
      <c r="W12" s="153">
        <v>100</v>
      </c>
      <c r="X12" s="153">
        <v>100</v>
      </c>
      <c r="Y12" s="153">
        <v>100</v>
      </c>
      <c r="Z12" s="153">
        <v>100</v>
      </c>
      <c r="AA12" s="153">
        <v>100</v>
      </c>
      <c r="AB12" s="153">
        <v>100</v>
      </c>
      <c r="AC12" s="27"/>
      <c r="AD12" s="57">
        <f t="shared" si="0"/>
        <v>1200</v>
      </c>
      <c r="AE12" s="57">
        <f t="shared" si="1"/>
        <v>1200</v>
      </c>
    </row>
    <row r="13" spans="1:31" x14ac:dyDescent="0.2">
      <c r="B13" s="24" t="s">
        <v>273</v>
      </c>
      <c r="C13" s="32" t="s">
        <v>81</v>
      </c>
      <c r="D13" s="32" t="s">
        <v>102</v>
      </c>
      <c r="E13" s="37">
        <v>100</v>
      </c>
      <c r="F13" s="37">
        <v>100</v>
      </c>
      <c r="G13" s="37">
        <v>100</v>
      </c>
      <c r="H13" s="37">
        <v>100</v>
      </c>
      <c r="I13" s="37">
        <v>100</v>
      </c>
      <c r="J13" s="37">
        <v>100</v>
      </c>
      <c r="K13" s="37">
        <v>100</v>
      </c>
      <c r="L13" s="37">
        <v>100</v>
      </c>
      <c r="M13" s="37">
        <v>100</v>
      </c>
      <c r="N13" s="37">
        <v>100</v>
      </c>
      <c r="O13" s="37">
        <v>100</v>
      </c>
      <c r="P13" s="37">
        <v>100</v>
      </c>
      <c r="Q13" s="153">
        <v>100</v>
      </c>
      <c r="R13" s="153">
        <v>100</v>
      </c>
      <c r="S13" s="153">
        <v>100</v>
      </c>
      <c r="T13" s="153">
        <v>100</v>
      </c>
      <c r="U13" s="153">
        <v>100</v>
      </c>
      <c r="V13" s="153">
        <v>100</v>
      </c>
      <c r="W13" s="153">
        <v>100</v>
      </c>
      <c r="X13" s="153">
        <v>100</v>
      </c>
      <c r="Y13" s="153">
        <v>100</v>
      </c>
      <c r="Z13" s="153">
        <v>100</v>
      </c>
      <c r="AA13" s="153">
        <v>100</v>
      </c>
      <c r="AB13" s="153">
        <v>100</v>
      </c>
      <c r="AC13" s="27"/>
      <c r="AD13" s="57">
        <f t="shared" si="0"/>
        <v>1200</v>
      </c>
      <c r="AE13" s="57">
        <f t="shared" si="1"/>
        <v>1200</v>
      </c>
    </row>
    <row r="14" spans="1:31" x14ac:dyDescent="0.2">
      <c r="B14" s="24" t="s">
        <v>272</v>
      </c>
      <c r="C14" s="32" t="s">
        <v>81</v>
      </c>
      <c r="D14" s="32"/>
      <c r="E14" s="37">
        <v>100</v>
      </c>
      <c r="F14" s="37">
        <v>100</v>
      </c>
      <c r="G14" s="37">
        <v>100</v>
      </c>
      <c r="H14" s="37">
        <v>100</v>
      </c>
      <c r="I14" s="37">
        <v>100</v>
      </c>
      <c r="J14" s="37">
        <v>100</v>
      </c>
      <c r="K14" s="37">
        <v>100</v>
      </c>
      <c r="L14" s="37">
        <v>100</v>
      </c>
      <c r="M14" s="37">
        <v>100</v>
      </c>
      <c r="N14" s="37">
        <v>100</v>
      </c>
      <c r="O14" s="37">
        <v>100</v>
      </c>
      <c r="P14" s="37">
        <v>100</v>
      </c>
      <c r="Q14" s="153">
        <v>100</v>
      </c>
      <c r="R14" s="153">
        <v>100</v>
      </c>
      <c r="S14" s="153">
        <v>100</v>
      </c>
      <c r="T14" s="153">
        <v>100</v>
      </c>
      <c r="U14" s="153">
        <v>100</v>
      </c>
      <c r="V14" s="153">
        <v>100</v>
      </c>
      <c r="W14" s="153">
        <v>100</v>
      </c>
      <c r="X14" s="153">
        <v>100</v>
      </c>
      <c r="Y14" s="153">
        <v>100</v>
      </c>
      <c r="Z14" s="153">
        <v>100</v>
      </c>
      <c r="AA14" s="153">
        <v>100</v>
      </c>
      <c r="AB14" s="153">
        <v>100</v>
      </c>
      <c r="AC14" s="27"/>
      <c r="AD14" s="57">
        <f t="shared" si="0"/>
        <v>1200</v>
      </c>
      <c r="AE14" s="57">
        <f t="shared" si="1"/>
        <v>1200</v>
      </c>
    </row>
    <row r="15" spans="1:31" x14ac:dyDescent="0.2">
      <c r="B15" s="24" t="s">
        <v>271</v>
      </c>
      <c r="C15" s="32" t="s">
        <v>81</v>
      </c>
      <c r="D15" s="32" t="s">
        <v>83</v>
      </c>
      <c r="E15" s="37">
        <v>100</v>
      </c>
      <c r="F15" s="37">
        <v>100</v>
      </c>
      <c r="G15" s="37">
        <v>100</v>
      </c>
      <c r="H15" s="37">
        <v>100</v>
      </c>
      <c r="I15" s="37">
        <v>100</v>
      </c>
      <c r="J15" s="37">
        <v>100</v>
      </c>
      <c r="K15" s="37">
        <v>100</v>
      </c>
      <c r="L15" s="37">
        <v>100</v>
      </c>
      <c r="M15" s="37">
        <v>100</v>
      </c>
      <c r="N15" s="37">
        <v>100</v>
      </c>
      <c r="O15" s="37">
        <v>100</v>
      </c>
      <c r="P15" s="37">
        <v>100</v>
      </c>
      <c r="Q15" s="153">
        <v>100</v>
      </c>
      <c r="R15" s="153">
        <v>100</v>
      </c>
      <c r="S15" s="153">
        <v>100</v>
      </c>
      <c r="T15" s="153">
        <v>100</v>
      </c>
      <c r="U15" s="153">
        <v>100</v>
      </c>
      <c r="V15" s="153">
        <v>100</v>
      </c>
      <c r="W15" s="153">
        <v>100</v>
      </c>
      <c r="X15" s="153">
        <v>100</v>
      </c>
      <c r="Y15" s="153">
        <v>100</v>
      </c>
      <c r="Z15" s="153">
        <v>100</v>
      </c>
      <c r="AA15" s="153">
        <v>100</v>
      </c>
      <c r="AB15" s="153">
        <v>100</v>
      </c>
      <c r="AC15" s="27"/>
      <c r="AD15" s="57">
        <f t="shared" si="0"/>
        <v>1200</v>
      </c>
      <c r="AE15" s="57">
        <f t="shared" si="1"/>
        <v>1200</v>
      </c>
    </row>
    <row r="16" spans="1:31" x14ac:dyDescent="0.2">
      <c r="B16" s="24" t="s">
        <v>215</v>
      </c>
      <c r="C16" s="32" t="s">
        <v>81</v>
      </c>
      <c r="D16" s="32" t="s">
        <v>83</v>
      </c>
      <c r="E16" s="37">
        <v>100</v>
      </c>
      <c r="F16" s="37">
        <v>100</v>
      </c>
      <c r="G16" s="37">
        <v>100</v>
      </c>
      <c r="H16" s="37">
        <v>100</v>
      </c>
      <c r="I16" s="37">
        <v>100</v>
      </c>
      <c r="J16" s="37">
        <v>100</v>
      </c>
      <c r="K16" s="37">
        <v>100</v>
      </c>
      <c r="L16" s="37">
        <v>100</v>
      </c>
      <c r="M16" s="37">
        <v>100</v>
      </c>
      <c r="N16" s="37">
        <v>100</v>
      </c>
      <c r="O16" s="37">
        <v>100</v>
      </c>
      <c r="P16" s="37">
        <v>100</v>
      </c>
      <c r="Q16" s="153">
        <v>100</v>
      </c>
      <c r="R16" s="153">
        <v>100</v>
      </c>
      <c r="S16" s="153">
        <v>100</v>
      </c>
      <c r="T16" s="153">
        <v>100</v>
      </c>
      <c r="U16" s="153">
        <v>100</v>
      </c>
      <c r="V16" s="153">
        <v>100</v>
      </c>
      <c r="W16" s="153">
        <v>100</v>
      </c>
      <c r="X16" s="153">
        <v>100</v>
      </c>
      <c r="Y16" s="153">
        <v>100</v>
      </c>
      <c r="Z16" s="153">
        <v>100</v>
      </c>
      <c r="AA16" s="153">
        <v>100</v>
      </c>
      <c r="AB16" s="153">
        <v>100</v>
      </c>
      <c r="AC16" s="27"/>
      <c r="AD16" s="57">
        <f t="shared" si="0"/>
        <v>1200</v>
      </c>
      <c r="AE16" s="57">
        <f t="shared" si="1"/>
        <v>1200</v>
      </c>
    </row>
    <row r="17" spans="2:31" x14ac:dyDescent="0.2">
      <c r="B17" s="24" t="s">
        <v>270</v>
      </c>
      <c r="C17" s="32" t="s">
        <v>81</v>
      </c>
      <c r="D17" s="32" t="s">
        <v>83</v>
      </c>
      <c r="E17" s="37">
        <v>100</v>
      </c>
      <c r="F17" s="37">
        <v>100</v>
      </c>
      <c r="G17" s="37">
        <v>100</v>
      </c>
      <c r="H17" s="37">
        <v>100</v>
      </c>
      <c r="I17" s="37">
        <v>100</v>
      </c>
      <c r="J17" s="37">
        <v>100</v>
      </c>
      <c r="K17" s="37">
        <v>100</v>
      </c>
      <c r="L17" s="37">
        <v>100</v>
      </c>
      <c r="M17" s="37">
        <v>100</v>
      </c>
      <c r="N17" s="37">
        <v>100</v>
      </c>
      <c r="O17" s="37">
        <v>100</v>
      </c>
      <c r="P17" s="37">
        <v>100</v>
      </c>
      <c r="Q17" s="153">
        <v>100</v>
      </c>
      <c r="R17" s="153">
        <v>100</v>
      </c>
      <c r="S17" s="153">
        <v>100</v>
      </c>
      <c r="T17" s="153">
        <v>100</v>
      </c>
      <c r="U17" s="153">
        <v>100</v>
      </c>
      <c r="V17" s="153">
        <v>100</v>
      </c>
      <c r="W17" s="153">
        <v>100</v>
      </c>
      <c r="X17" s="153">
        <v>100</v>
      </c>
      <c r="Y17" s="153">
        <v>100</v>
      </c>
      <c r="Z17" s="153">
        <v>100</v>
      </c>
      <c r="AA17" s="153">
        <v>100</v>
      </c>
      <c r="AB17" s="153">
        <v>100</v>
      </c>
      <c r="AC17" s="27"/>
      <c r="AD17" s="57">
        <f t="shared" si="0"/>
        <v>1200</v>
      </c>
      <c r="AE17" s="57">
        <f t="shared" si="1"/>
        <v>1200</v>
      </c>
    </row>
    <row r="18" spans="2:31" x14ac:dyDescent="0.2">
      <c r="B18" s="24" t="s">
        <v>134</v>
      </c>
      <c r="C18" s="32" t="s">
        <v>81</v>
      </c>
      <c r="D18" s="32"/>
      <c r="E18" s="37">
        <v>100</v>
      </c>
      <c r="F18" s="37">
        <v>100</v>
      </c>
      <c r="G18" s="37">
        <v>100</v>
      </c>
      <c r="H18" s="37">
        <v>100</v>
      </c>
      <c r="I18" s="37">
        <v>100</v>
      </c>
      <c r="J18" s="37">
        <v>100</v>
      </c>
      <c r="K18" s="37">
        <v>100</v>
      </c>
      <c r="L18" s="37">
        <v>100</v>
      </c>
      <c r="M18" s="37">
        <v>100</v>
      </c>
      <c r="N18" s="37">
        <v>100</v>
      </c>
      <c r="O18" s="37">
        <v>100</v>
      </c>
      <c r="P18" s="37">
        <v>100</v>
      </c>
      <c r="Q18" s="153">
        <v>100</v>
      </c>
      <c r="R18" s="153">
        <v>100</v>
      </c>
      <c r="S18" s="153">
        <v>100</v>
      </c>
      <c r="T18" s="153">
        <v>100</v>
      </c>
      <c r="U18" s="153">
        <v>100</v>
      </c>
      <c r="V18" s="153">
        <v>100</v>
      </c>
      <c r="W18" s="153">
        <v>100</v>
      </c>
      <c r="X18" s="153">
        <v>100</v>
      </c>
      <c r="Y18" s="153">
        <v>100</v>
      </c>
      <c r="Z18" s="153">
        <v>100</v>
      </c>
      <c r="AA18" s="153">
        <v>100</v>
      </c>
      <c r="AB18" s="153">
        <v>100</v>
      </c>
      <c r="AC18" s="27"/>
      <c r="AD18" s="57">
        <f t="shared" si="0"/>
        <v>1200</v>
      </c>
      <c r="AE18" s="57">
        <f t="shared" si="1"/>
        <v>1200</v>
      </c>
    </row>
    <row r="19" spans="2:31" x14ac:dyDescent="0.2">
      <c r="B19" s="24" t="s">
        <v>95</v>
      </c>
      <c r="C19" s="32" t="s">
        <v>81</v>
      </c>
      <c r="D19" s="32" t="s">
        <v>102</v>
      </c>
      <c r="E19" s="37">
        <v>100</v>
      </c>
      <c r="F19" s="37">
        <v>100</v>
      </c>
      <c r="G19" s="37">
        <v>100</v>
      </c>
      <c r="H19" s="37">
        <v>100</v>
      </c>
      <c r="I19" s="37">
        <v>100</v>
      </c>
      <c r="J19" s="37">
        <v>100</v>
      </c>
      <c r="K19" s="37">
        <v>100</v>
      </c>
      <c r="L19" s="37">
        <v>100</v>
      </c>
      <c r="M19" s="37">
        <v>100</v>
      </c>
      <c r="N19" s="37">
        <v>100</v>
      </c>
      <c r="O19" s="37">
        <v>100</v>
      </c>
      <c r="P19" s="37">
        <v>100</v>
      </c>
      <c r="Q19" s="153">
        <v>100</v>
      </c>
      <c r="R19" s="153">
        <v>100</v>
      </c>
      <c r="S19" s="153">
        <v>100</v>
      </c>
      <c r="T19" s="153">
        <v>100</v>
      </c>
      <c r="U19" s="153">
        <v>100</v>
      </c>
      <c r="V19" s="153">
        <v>100</v>
      </c>
      <c r="W19" s="153">
        <v>100</v>
      </c>
      <c r="X19" s="153">
        <v>100</v>
      </c>
      <c r="Y19" s="153">
        <v>100</v>
      </c>
      <c r="Z19" s="153">
        <v>100</v>
      </c>
      <c r="AA19" s="153">
        <v>100</v>
      </c>
      <c r="AB19" s="153">
        <v>100</v>
      </c>
      <c r="AC19" s="27"/>
      <c r="AD19" s="57">
        <f t="shared" si="0"/>
        <v>1200</v>
      </c>
      <c r="AE19" s="57">
        <f t="shared" si="1"/>
        <v>1200</v>
      </c>
    </row>
    <row r="20" spans="2:31" x14ac:dyDescent="0.2">
      <c r="B20" s="24" t="s">
        <v>138</v>
      </c>
      <c r="C20" s="32" t="s">
        <v>81</v>
      </c>
      <c r="D20" s="32"/>
      <c r="E20" s="37">
        <v>100</v>
      </c>
      <c r="F20" s="37">
        <v>100</v>
      </c>
      <c r="G20" s="37">
        <v>100</v>
      </c>
      <c r="H20" s="37">
        <v>100</v>
      </c>
      <c r="I20" s="37">
        <v>100</v>
      </c>
      <c r="J20" s="37">
        <v>100</v>
      </c>
      <c r="K20" s="37">
        <v>100</v>
      </c>
      <c r="L20" s="37">
        <v>100</v>
      </c>
      <c r="M20" s="37">
        <v>100</v>
      </c>
      <c r="N20" s="37">
        <v>100</v>
      </c>
      <c r="O20" s="37">
        <v>100</v>
      </c>
      <c r="P20" s="37">
        <v>100</v>
      </c>
      <c r="Q20" s="153">
        <v>100</v>
      </c>
      <c r="R20" s="153">
        <v>100</v>
      </c>
      <c r="S20" s="153">
        <v>100</v>
      </c>
      <c r="T20" s="153">
        <v>100</v>
      </c>
      <c r="U20" s="153">
        <v>100</v>
      </c>
      <c r="V20" s="153">
        <v>100</v>
      </c>
      <c r="W20" s="153">
        <v>100</v>
      </c>
      <c r="X20" s="153">
        <v>100</v>
      </c>
      <c r="Y20" s="153">
        <v>100</v>
      </c>
      <c r="Z20" s="153">
        <v>100</v>
      </c>
      <c r="AA20" s="153">
        <v>100</v>
      </c>
      <c r="AB20" s="153">
        <v>100</v>
      </c>
      <c r="AC20" s="27"/>
      <c r="AD20" s="57">
        <f t="shared" si="0"/>
        <v>1200</v>
      </c>
      <c r="AE20" s="57">
        <f t="shared" si="1"/>
        <v>1200</v>
      </c>
    </row>
    <row r="21" spans="2:31" x14ac:dyDescent="0.2">
      <c r="B21" s="24" t="s">
        <v>1</v>
      </c>
      <c r="C21" s="32" t="s">
        <v>81</v>
      </c>
      <c r="D21" s="32" t="s">
        <v>106</v>
      </c>
      <c r="E21" s="37">
        <v>100</v>
      </c>
      <c r="F21" s="37">
        <v>100</v>
      </c>
      <c r="G21" s="37">
        <v>100</v>
      </c>
      <c r="H21" s="37">
        <v>100</v>
      </c>
      <c r="I21" s="37">
        <v>100</v>
      </c>
      <c r="J21" s="37">
        <v>100</v>
      </c>
      <c r="K21" s="37">
        <v>100</v>
      </c>
      <c r="L21" s="37">
        <v>100</v>
      </c>
      <c r="M21" s="37">
        <v>100</v>
      </c>
      <c r="N21" s="37">
        <v>100</v>
      </c>
      <c r="O21" s="37">
        <v>100</v>
      </c>
      <c r="P21" s="37">
        <v>100</v>
      </c>
      <c r="Q21" s="153">
        <v>100</v>
      </c>
      <c r="R21" s="153">
        <v>100</v>
      </c>
      <c r="S21" s="153">
        <v>100</v>
      </c>
      <c r="T21" s="153">
        <v>100</v>
      </c>
      <c r="U21" s="153">
        <v>100</v>
      </c>
      <c r="V21" s="153">
        <v>100</v>
      </c>
      <c r="W21" s="153">
        <v>100</v>
      </c>
      <c r="X21" s="153">
        <v>100</v>
      </c>
      <c r="Y21" s="153">
        <v>100</v>
      </c>
      <c r="Z21" s="153">
        <v>100</v>
      </c>
      <c r="AA21" s="153">
        <v>100</v>
      </c>
      <c r="AB21" s="153">
        <v>100</v>
      </c>
      <c r="AC21" s="27"/>
      <c r="AD21" s="57">
        <f t="shared" si="0"/>
        <v>1200</v>
      </c>
      <c r="AE21" s="57">
        <f t="shared" si="1"/>
        <v>1200</v>
      </c>
    </row>
    <row r="22" spans="2:31" x14ac:dyDescent="0.2">
      <c r="B22" s="24" t="s">
        <v>0</v>
      </c>
      <c r="C22" s="32" t="s">
        <v>81</v>
      </c>
      <c r="D22" s="32" t="s">
        <v>83</v>
      </c>
      <c r="E22" s="37">
        <v>100</v>
      </c>
      <c r="F22" s="37">
        <v>100</v>
      </c>
      <c r="G22" s="37">
        <v>100</v>
      </c>
      <c r="H22" s="37">
        <v>100</v>
      </c>
      <c r="I22" s="37">
        <v>100</v>
      </c>
      <c r="J22" s="37">
        <v>100</v>
      </c>
      <c r="K22" s="37">
        <v>100</v>
      </c>
      <c r="L22" s="37">
        <v>100</v>
      </c>
      <c r="M22" s="37">
        <v>100</v>
      </c>
      <c r="N22" s="37">
        <v>100</v>
      </c>
      <c r="O22" s="37">
        <v>100</v>
      </c>
      <c r="P22" s="37">
        <v>100</v>
      </c>
      <c r="Q22" s="153">
        <v>100</v>
      </c>
      <c r="R22" s="153">
        <v>100</v>
      </c>
      <c r="S22" s="153">
        <v>100</v>
      </c>
      <c r="T22" s="153">
        <v>100</v>
      </c>
      <c r="U22" s="153">
        <v>100</v>
      </c>
      <c r="V22" s="153">
        <v>100</v>
      </c>
      <c r="W22" s="153">
        <v>100</v>
      </c>
      <c r="X22" s="153">
        <v>100</v>
      </c>
      <c r="Y22" s="153">
        <v>100</v>
      </c>
      <c r="Z22" s="153">
        <v>100</v>
      </c>
      <c r="AA22" s="153">
        <v>100</v>
      </c>
      <c r="AB22" s="153">
        <v>100</v>
      </c>
      <c r="AC22" s="27"/>
      <c r="AD22" s="57">
        <f t="shared" si="0"/>
        <v>1200</v>
      </c>
      <c r="AE22" s="57">
        <f t="shared" si="1"/>
        <v>1200</v>
      </c>
    </row>
    <row r="23" spans="2:31" x14ac:dyDescent="0.2">
      <c r="B23" s="24" t="s">
        <v>261</v>
      </c>
      <c r="C23" s="32" t="s">
        <v>81</v>
      </c>
      <c r="D23" s="32" t="s">
        <v>83</v>
      </c>
      <c r="E23" s="37">
        <v>100</v>
      </c>
      <c r="F23" s="37">
        <v>100</v>
      </c>
      <c r="G23" s="37">
        <v>100</v>
      </c>
      <c r="H23" s="37">
        <v>100</v>
      </c>
      <c r="I23" s="37">
        <v>100</v>
      </c>
      <c r="J23" s="37">
        <v>100</v>
      </c>
      <c r="K23" s="37">
        <v>100</v>
      </c>
      <c r="L23" s="37">
        <v>100</v>
      </c>
      <c r="M23" s="37">
        <v>100</v>
      </c>
      <c r="N23" s="37">
        <v>100</v>
      </c>
      <c r="O23" s="37">
        <v>100</v>
      </c>
      <c r="P23" s="37">
        <v>100</v>
      </c>
      <c r="Q23" s="153">
        <v>100</v>
      </c>
      <c r="R23" s="153">
        <v>100</v>
      </c>
      <c r="S23" s="153">
        <v>100</v>
      </c>
      <c r="T23" s="153">
        <v>100</v>
      </c>
      <c r="U23" s="153">
        <v>100</v>
      </c>
      <c r="V23" s="153">
        <v>100</v>
      </c>
      <c r="W23" s="153">
        <v>100</v>
      </c>
      <c r="X23" s="153">
        <v>100</v>
      </c>
      <c r="Y23" s="153">
        <v>100</v>
      </c>
      <c r="Z23" s="153">
        <v>100</v>
      </c>
      <c r="AA23" s="153">
        <v>100</v>
      </c>
      <c r="AB23" s="153">
        <v>100</v>
      </c>
      <c r="AC23" s="27"/>
      <c r="AD23" s="57">
        <f t="shared" si="0"/>
        <v>1200</v>
      </c>
      <c r="AE23" s="57">
        <f t="shared" si="1"/>
        <v>1200</v>
      </c>
    </row>
    <row r="24" spans="2:31" x14ac:dyDescent="0.2">
      <c r="B24" s="24" t="s">
        <v>140</v>
      </c>
      <c r="C24" s="32" t="s">
        <v>81</v>
      </c>
      <c r="D24" s="32" t="s">
        <v>83</v>
      </c>
      <c r="E24" s="37">
        <v>100</v>
      </c>
      <c r="F24" s="37">
        <v>100</v>
      </c>
      <c r="G24" s="37">
        <v>100</v>
      </c>
      <c r="H24" s="37">
        <v>100</v>
      </c>
      <c r="I24" s="37">
        <v>100</v>
      </c>
      <c r="J24" s="37">
        <v>100</v>
      </c>
      <c r="K24" s="37">
        <v>100</v>
      </c>
      <c r="L24" s="37">
        <v>100</v>
      </c>
      <c r="M24" s="37">
        <v>100</v>
      </c>
      <c r="N24" s="37">
        <v>100</v>
      </c>
      <c r="O24" s="37">
        <v>100</v>
      </c>
      <c r="P24" s="37">
        <v>100</v>
      </c>
      <c r="Q24" s="153">
        <v>100</v>
      </c>
      <c r="R24" s="153">
        <v>100</v>
      </c>
      <c r="S24" s="153">
        <v>100</v>
      </c>
      <c r="T24" s="153">
        <v>100</v>
      </c>
      <c r="U24" s="153">
        <v>100</v>
      </c>
      <c r="V24" s="153">
        <v>100</v>
      </c>
      <c r="W24" s="153">
        <v>100</v>
      </c>
      <c r="X24" s="153">
        <v>100</v>
      </c>
      <c r="Y24" s="153">
        <v>100</v>
      </c>
      <c r="Z24" s="153">
        <v>100</v>
      </c>
      <c r="AA24" s="153">
        <v>100</v>
      </c>
      <c r="AB24" s="153">
        <v>100</v>
      </c>
      <c r="AC24" s="27"/>
      <c r="AD24" s="57">
        <f t="shared" ref="AD24:AD30" si="3">SUM(E24:P24)</f>
        <v>1200</v>
      </c>
      <c r="AE24" s="57">
        <f t="shared" ref="AE24:AE30" si="4">SUM(Q24:AB24)</f>
        <v>1200</v>
      </c>
    </row>
    <row r="25" spans="2:31" x14ac:dyDescent="0.2">
      <c r="B25" s="24" t="s">
        <v>269</v>
      </c>
      <c r="C25" s="32" t="s">
        <v>81</v>
      </c>
      <c r="D25" s="32"/>
      <c r="E25" s="37">
        <v>100</v>
      </c>
      <c r="F25" s="37">
        <v>100</v>
      </c>
      <c r="G25" s="37">
        <v>100</v>
      </c>
      <c r="H25" s="37">
        <v>100</v>
      </c>
      <c r="I25" s="37">
        <v>100</v>
      </c>
      <c r="J25" s="37">
        <v>100</v>
      </c>
      <c r="K25" s="37">
        <v>100</v>
      </c>
      <c r="L25" s="37">
        <v>100</v>
      </c>
      <c r="M25" s="37">
        <v>100</v>
      </c>
      <c r="N25" s="37">
        <v>100</v>
      </c>
      <c r="O25" s="37">
        <v>100</v>
      </c>
      <c r="P25" s="37">
        <v>100</v>
      </c>
      <c r="Q25" s="153">
        <v>100</v>
      </c>
      <c r="R25" s="153">
        <v>100</v>
      </c>
      <c r="S25" s="153">
        <v>100</v>
      </c>
      <c r="T25" s="153">
        <v>100</v>
      </c>
      <c r="U25" s="153">
        <v>100</v>
      </c>
      <c r="V25" s="153">
        <v>100</v>
      </c>
      <c r="W25" s="153">
        <v>100</v>
      </c>
      <c r="X25" s="153">
        <v>100</v>
      </c>
      <c r="Y25" s="153">
        <v>100</v>
      </c>
      <c r="Z25" s="153">
        <v>100</v>
      </c>
      <c r="AA25" s="153">
        <v>100</v>
      </c>
      <c r="AB25" s="153">
        <v>100</v>
      </c>
      <c r="AC25" s="27"/>
      <c r="AD25" s="57">
        <f t="shared" si="3"/>
        <v>1200</v>
      </c>
      <c r="AE25" s="57">
        <f t="shared" si="4"/>
        <v>1200</v>
      </c>
    </row>
    <row r="26" spans="2:31" x14ac:dyDescent="0.2">
      <c r="B26" s="24" t="s">
        <v>85</v>
      </c>
      <c r="C26" s="32" t="s">
        <v>81</v>
      </c>
      <c r="D26" s="32" t="s">
        <v>83</v>
      </c>
      <c r="E26" s="37">
        <v>100</v>
      </c>
      <c r="F26" s="37">
        <v>100</v>
      </c>
      <c r="G26" s="37">
        <v>100</v>
      </c>
      <c r="H26" s="37">
        <v>100</v>
      </c>
      <c r="I26" s="37">
        <v>100</v>
      </c>
      <c r="J26" s="37">
        <v>100</v>
      </c>
      <c r="K26" s="37">
        <v>100</v>
      </c>
      <c r="L26" s="37">
        <v>100</v>
      </c>
      <c r="M26" s="37">
        <v>100</v>
      </c>
      <c r="N26" s="37">
        <v>100</v>
      </c>
      <c r="O26" s="37">
        <v>100</v>
      </c>
      <c r="P26" s="37">
        <v>100</v>
      </c>
      <c r="Q26" s="153">
        <v>100</v>
      </c>
      <c r="R26" s="153">
        <v>100</v>
      </c>
      <c r="S26" s="153">
        <v>100</v>
      </c>
      <c r="T26" s="153">
        <v>100</v>
      </c>
      <c r="U26" s="153">
        <v>100</v>
      </c>
      <c r="V26" s="153">
        <v>100</v>
      </c>
      <c r="W26" s="153">
        <v>100</v>
      </c>
      <c r="X26" s="153">
        <v>100</v>
      </c>
      <c r="Y26" s="153">
        <v>100</v>
      </c>
      <c r="Z26" s="153">
        <v>100</v>
      </c>
      <c r="AA26" s="153">
        <v>100</v>
      </c>
      <c r="AB26" s="153">
        <v>100</v>
      </c>
      <c r="AC26" s="27"/>
      <c r="AD26" s="57">
        <f t="shared" si="3"/>
        <v>1200</v>
      </c>
      <c r="AE26" s="57">
        <f t="shared" si="4"/>
        <v>1200</v>
      </c>
    </row>
    <row r="27" spans="2:31" x14ac:dyDescent="0.2">
      <c r="B27" s="24" t="s">
        <v>227</v>
      </c>
      <c r="C27" s="32" t="s">
        <v>81</v>
      </c>
      <c r="D27" s="32" t="s">
        <v>83</v>
      </c>
      <c r="E27" s="37">
        <v>100</v>
      </c>
      <c r="F27" s="37">
        <v>100</v>
      </c>
      <c r="G27" s="37">
        <v>100</v>
      </c>
      <c r="H27" s="37">
        <v>100</v>
      </c>
      <c r="I27" s="37">
        <v>100</v>
      </c>
      <c r="J27" s="37">
        <v>100</v>
      </c>
      <c r="K27" s="37">
        <v>100</v>
      </c>
      <c r="L27" s="37">
        <v>100</v>
      </c>
      <c r="M27" s="37">
        <v>100</v>
      </c>
      <c r="N27" s="37">
        <v>100</v>
      </c>
      <c r="O27" s="37">
        <v>100</v>
      </c>
      <c r="P27" s="37">
        <v>100</v>
      </c>
      <c r="Q27" s="153">
        <v>100</v>
      </c>
      <c r="R27" s="153">
        <v>100</v>
      </c>
      <c r="S27" s="153">
        <v>100</v>
      </c>
      <c r="T27" s="153">
        <v>100</v>
      </c>
      <c r="U27" s="153">
        <v>100</v>
      </c>
      <c r="V27" s="153">
        <v>100</v>
      </c>
      <c r="W27" s="153">
        <v>100</v>
      </c>
      <c r="X27" s="153">
        <v>100</v>
      </c>
      <c r="Y27" s="153">
        <v>100</v>
      </c>
      <c r="Z27" s="153">
        <v>100</v>
      </c>
      <c r="AA27" s="153">
        <v>100</v>
      </c>
      <c r="AB27" s="153">
        <v>100</v>
      </c>
      <c r="AC27" s="27"/>
      <c r="AD27" s="57">
        <f t="shared" si="3"/>
        <v>1200</v>
      </c>
      <c r="AE27" s="57">
        <f t="shared" si="4"/>
        <v>1200</v>
      </c>
    </row>
    <row r="28" spans="2:31" x14ac:dyDescent="0.2">
      <c r="B28" s="24" t="s">
        <v>228</v>
      </c>
      <c r="C28" s="32" t="s">
        <v>81</v>
      </c>
      <c r="D28" s="32" t="s">
        <v>83</v>
      </c>
      <c r="E28" s="37">
        <v>100</v>
      </c>
      <c r="F28" s="37">
        <v>100</v>
      </c>
      <c r="G28" s="37">
        <v>100</v>
      </c>
      <c r="H28" s="37">
        <v>100</v>
      </c>
      <c r="I28" s="37">
        <v>100</v>
      </c>
      <c r="J28" s="37">
        <v>100</v>
      </c>
      <c r="K28" s="37">
        <v>100</v>
      </c>
      <c r="L28" s="37">
        <v>100</v>
      </c>
      <c r="M28" s="37">
        <v>100</v>
      </c>
      <c r="N28" s="37">
        <v>100</v>
      </c>
      <c r="O28" s="37">
        <v>100</v>
      </c>
      <c r="P28" s="37">
        <v>100</v>
      </c>
      <c r="Q28" s="153">
        <v>100</v>
      </c>
      <c r="R28" s="153">
        <v>100</v>
      </c>
      <c r="S28" s="153">
        <v>100</v>
      </c>
      <c r="T28" s="153">
        <v>100</v>
      </c>
      <c r="U28" s="153">
        <v>100</v>
      </c>
      <c r="V28" s="153">
        <v>100</v>
      </c>
      <c r="W28" s="153">
        <v>100</v>
      </c>
      <c r="X28" s="153">
        <v>100</v>
      </c>
      <c r="Y28" s="153">
        <v>100</v>
      </c>
      <c r="Z28" s="153">
        <v>100</v>
      </c>
      <c r="AA28" s="153">
        <v>100</v>
      </c>
      <c r="AB28" s="153">
        <v>100</v>
      </c>
      <c r="AC28" s="27"/>
      <c r="AD28" s="57">
        <f t="shared" si="3"/>
        <v>1200</v>
      </c>
      <c r="AE28" s="57">
        <f t="shared" si="4"/>
        <v>1200</v>
      </c>
    </row>
    <row r="29" spans="2:31" x14ac:dyDescent="0.2">
      <c r="B29" s="24" t="s">
        <v>79</v>
      </c>
      <c r="C29" s="32" t="s">
        <v>81</v>
      </c>
      <c r="D29" s="32" t="s">
        <v>83</v>
      </c>
      <c r="E29" s="37">
        <v>100</v>
      </c>
      <c r="F29" s="37">
        <v>100</v>
      </c>
      <c r="G29" s="37">
        <v>100</v>
      </c>
      <c r="H29" s="37">
        <v>100</v>
      </c>
      <c r="I29" s="37">
        <v>100</v>
      </c>
      <c r="J29" s="37">
        <v>100</v>
      </c>
      <c r="K29" s="37">
        <v>100</v>
      </c>
      <c r="L29" s="37">
        <v>100</v>
      </c>
      <c r="M29" s="37">
        <v>100</v>
      </c>
      <c r="N29" s="37">
        <v>100</v>
      </c>
      <c r="O29" s="37">
        <v>100</v>
      </c>
      <c r="P29" s="37">
        <v>100</v>
      </c>
      <c r="Q29" s="153">
        <v>100</v>
      </c>
      <c r="R29" s="153">
        <v>100</v>
      </c>
      <c r="S29" s="153">
        <v>100</v>
      </c>
      <c r="T29" s="153">
        <v>100</v>
      </c>
      <c r="U29" s="153">
        <v>100</v>
      </c>
      <c r="V29" s="153">
        <v>100</v>
      </c>
      <c r="W29" s="153">
        <v>100</v>
      </c>
      <c r="X29" s="153">
        <v>100</v>
      </c>
      <c r="Y29" s="153">
        <v>100</v>
      </c>
      <c r="Z29" s="153">
        <v>100</v>
      </c>
      <c r="AA29" s="153">
        <v>100</v>
      </c>
      <c r="AB29" s="153">
        <v>100</v>
      </c>
      <c r="AC29" s="27"/>
      <c r="AD29" s="57">
        <f t="shared" si="3"/>
        <v>1200</v>
      </c>
      <c r="AE29" s="57">
        <f t="shared" si="4"/>
        <v>1200</v>
      </c>
    </row>
    <row r="30" spans="2:31" x14ac:dyDescent="0.2">
      <c r="B30" s="24" t="s">
        <v>222</v>
      </c>
      <c r="C30" s="32" t="s">
        <v>81</v>
      </c>
      <c r="D30" s="32" t="s">
        <v>83</v>
      </c>
      <c r="E30" s="37">
        <v>100</v>
      </c>
      <c r="F30" s="37">
        <v>100</v>
      </c>
      <c r="G30" s="37">
        <v>100</v>
      </c>
      <c r="H30" s="37">
        <v>100</v>
      </c>
      <c r="I30" s="37">
        <v>100</v>
      </c>
      <c r="J30" s="37">
        <v>100</v>
      </c>
      <c r="K30" s="37">
        <v>100</v>
      </c>
      <c r="L30" s="37">
        <v>100</v>
      </c>
      <c r="M30" s="37">
        <v>100</v>
      </c>
      <c r="N30" s="37">
        <v>100</v>
      </c>
      <c r="O30" s="37">
        <v>100</v>
      </c>
      <c r="P30" s="37">
        <v>100</v>
      </c>
      <c r="Q30" s="153">
        <v>100</v>
      </c>
      <c r="R30" s="153">
        <v>100</v>
      </c>
      <c r="S30" s="153">
        <v>100</v>
      </c>
      <c r="T30" s="153">
        <v>100</v>
      </c>
      <c r="U30" s="153">
        <v>100</v>
      </c>
      <c r="V30" s="153">
        <v>100</v>
      </c>
      <c r="W30" s="153">
        <v>100</v>
      </c>
      <c r="X30" s="153">
        <v>100</v>
      </c>
      <c r="Y30" s="153">
        <v>100</v>
      </c>
      <c r="Z30" s="153">
        <v>100</v>
      </c>
      <c r="AA30" s="153">
        <v>100</v>
      </c>
      <c r="AB30" s="153">
        <v>100</v>
      </c>
      <c r="AC30" s="27"/>
      <c r="AD30" s="57">
        <f t="shared" si="3"/>
        <v>1200</v>
      </c>
      <c r="AE30" s="57">
        <f t="shared" si="4"/>
        <v>1200</v>
      </c>
    </row>
    <row r="31" spans="2:31" x14ac:dyDescent="0.2">
      <c r="B31" s="24"/>
      <c r="C31" s="32"/>
      <c r="D31" s="32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57"/>
      <c r="AE31" s="57"/>
    </row>
    <row r="32" spans="2:31" x14ac:dyDescent="0.2">
      <c r="B32" s="25" t="s">
        <v>139</v>
      </c>
      <c r="C32" s="32"/>
      <c r="D32" s="32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57"/>
      <c r="AE32" s="57"/>
    </row>
    <row r="33" spans="1:31" x14ac:dyDescent="0.2">
      <c r="A33" s="15"/>
      <c r="B33" s="24" t="s">
        <v>264</v>
      </c>
      <c r="C33" s="32" t="s">
        <v>113</v>
      </c>
      <c r="D33" s="32"/>
      <c r="E33" s="37">
        <v>1000</v>
      </c>
      <c r="F33" s="37">
        <v>1000</v>
      </c>
      <c r="G33" s="37">
        <v>1000</v>
      </c>
      <c r="H33" s="37">
        <v>1000</v>
      </c>
      <c r="I33" s="37">
        <v>1000</v>
      </c>
      <c r="J33" s="37">
        <v>1000</v>
      </c>
      <c r="K33" s="37">
        <v>1000</v>
      </c>
      <c r="L33" s="37">
        <v>1000</v>
      </c>
      <c r="M33" s="37">
        <v>1000</v>
      </c>
      <c r="N33" s="37">
        <v>1000</v>
      </c>
      <c r="O33" s="37">
        <v>1000</v>
      </c>
      <c r="P33" s="37">
        <v>1000</v>
      </c>
      <c r="Q33" s="153">
        <v>1000</v>
      </c>
      <c r="R33" s="153">
        <v>1000</v>
      </c>
      <c r="S33" s="153">
        <v>1000</v>
      </c>
      <c r="T33" s="153">
        <v>1000</v>
      </c>
      <c r="U33" s="153">
        <v>1000</v>
      </c>
      <c r="V33" s="153">
        <v>1000</v>
      </c>
      <c r="W33" s="153">
        <v>1000</v>
      </c>
      <c r="X33" s="153">
        <v>1000</v>
      </c>
      <c r="Y33" s="153">
        <v>1000</v>
      </c>
      <c r="Z33" s="153">
        <v>1000</v>
      </c>
      <c r="AA33" s="153">
        <v>1000</v>
      </c>
      <c r="AB33" s="153">
        <v>1000</v>
      </c>
      <c r="AC33" s="153"/>
      <c r="AD33" s="57">
        <f>SUM(E33:P33)</f>
        <v>12000</v>
      </c>
      <c r="AE33" s="57">
        <f t="shared" ref="AE33:AE41" si="5">SUM(Q33:AB33)</f>
        <v>12000</v>
      </c>
    </row>
    <row r="34" spans="1:31" x14ac:dyDescent="0.2">
      <c r="A34" s="15"/>
      <c r="B34" s="24" t="s">
        <v>263</v>
      </c>
      <c r="C34" s="32" t="s">
        <v>113</v>
      </c>
      <c r="D34" s="32"/>
      <c r="E34" s="37">
        <v>100</v>
      </c>
      <c r="F34" s="37">
        <v>100</v>
      </c>
      <c r="G34" s="37">
        <v>100</v>
      </c>
      <c r="H34" s="37">
        <v>100</v>
      </c>
      <c r="I34" s="37">
        <v>100</v>
      </c>
      <c r="J34" s="37">
        <v>100</v>
      </c>
      <c r="K34" s="37">
        <v>100</v>
      </c>
      <c r="L34" s="37">
        <v>100</v>
      </c>
      <c r="M34" s="37">
        <v>100</v>
      </c>
      <c r="N34" s="37">
        <v>100</v>
      </c>
      <c r="O34" s="37">
        <v>100</v>
      </c>
      <c r="P34" s="37">
        <v>100</v>
      </c>
      <c r="Q34" s="153">
        <v>100</v>
      </c>
      <c r="R34" s="153">
        <v>100</v>
      </c>
      <c r="S34" s="153">
        <v>100</v>
      </c>
      <c r="T34" s="153">
        <v>100</v>
      </c>
      <c r="U34" s="153">
        <v>100</v>
      </c>
      <c r="V34" s="153">
        <v>100</v>
      </c>
      <c r="W34" s="153">
        <v>100</v>
      </c>
      <c r="X34" s="153">
        <v>100</v>
      </c>
      <c r="Y34" s="153">
        <v>100</v>
      </c>
      <c r="Z34" s="153">
        <v>100</v>
      </c>
      <c r="AA34" s="153">
        <v>100</v>
      </c>
      <c r="AB34" s="153">
        <v>100</v>
      </c>
      <c r="AC34" s="153"/>
      <c r="AD34" s="57">
        <f>SUM(E34:P34)</f>
        <v>1200</v>
      </c>
      <c r="AE34" s="57">
        <f t="shared" si="5"/>
        <v>1200</v>
      </c>
    </row>
    <row r="35" spans="1:31" x14ac:dyDescent="0.2">
      <c r="A35" s="15"/>
      <c r="B35" s="24" t="s">
        <v>265</v>
      </c>
      <c r="C35" s="32" t="s">
        <v>113</v>
      </c>
      <c r="D35" s="32"/>
      <c r="E35" s="37">
        <v>100</v>
      </c>
      <c r="F35" s="37">
        <v>100</v>
      </c>
      <c r="G35" s="37">
        <v>100</v>
      </c>
      <c r="H35" s="37">
        <v>100</v>
      </c>
      <c r="I35" s="37">
        <v>100</v>
      </c>
      <c r="J35" s="37">
        <v>100</v>
      </c>
      <c r="K35" s="37">
        <v>100</v>
      </c>
      <c r="L35" s="37">
        <v>100</v>
      </c>
      <c r="M35" s="37">
        <v>100</v>
      </c>
      <c r="N35" s="37">
        <v>100</v>
      </c>
      <c r="O35" s="37">
        <v>100</v>
      </c>
      <c r="P35" s="37">
        <v>100</v>
      </c>
      <c r="Q35" s="153">
        <v>100</v>
      </c>
      <c r="R35" s="153">
        <v>100</v>
      </c>
      <c r="S35" s="153">
        <v>100</v>
      </c>
      <c r="T35" s="153">
        <v>100</v>
      </c>
      <c r="U35" s="153">
        <v>100</v>
      </c>
      <c r="V35" s="153">
        <v>100</v>
      </c>
      <c r="W35" s="153">
        <v>100</v>
      </c>
      <c r="X35" s="153">
        <v>100</v>
      </c>
      <c r="Y35" s="153">
        <v>100</v>
      </c>
      <c r="Z35" s="153">
        <v>100</v>
      </c>
      <c r="AA35" s="153">
        <v>100</v>
      </c>
      <c r="AB35" s="153">
        <v>100</v>
      </c>
      <c r="AC35" s="27"/>
      <c r="AD35" s="57">
        <f t="shared" ref="AD35" si="6">SUM(E35:P35)</f>
        <v>1200</v>
      </c>
      <c r="AE35" s="57">
        <f t="shared" si="5"/>
        <v>1200</v>
      </c>
    </row>
    <row r="36" spans="1:31" x14ac:dyDescent="0.2">
      <c r="A36" s="15"/>
      <c r="B36" s="24" t="s">
        <v>266</v>
      </c>
      <c r="C36" s="32" t="s">
        <v>113</v>
      </c>
      <c r="D36" s="32" t="s">
        <v>83</v>
      </c>
      <c r="E36" s="37">
        <v>100</v>
      </c>
      <c r="F36" s="37">
        <v>100</v>
      </c>
      <c r="G36" s="37">
        <v>100</v>
      </c>
      <c r="H36" s="37">
        <v>100</v>
      </c>
      <c r="I36" s="37">
        <v>100</v>
      </c>
      <c r="J36" s="37">
        <v>100</v>
      </c>
      <c r="K36" s="37">
        <v>100</v>
      </c>
      <c r="L36" s="37">
        <v>100</v>
      </c>
      <c r="M36" s="37">
        <v>100</v>
      </c>
      <c r="N36" s="37">
        <v>100</v>
      </c>
      <c r="O36" s="37">
        <v>100</v>
      </c>
      <c r="P36" s="37">
        <v>100</v>
      </c>
      <c r="Q36" s="153">
        <v>100</v>
      </c>
      <c r="R36" s="153">
        <v>100</v>
      </c>
      <c r="S36" s="153">
        <v>100</v>
      </c>
      <c r="T36" s="153">
        <v>100</v>
      </c>
      <c r="U36" s="153">
        <v>100</v>
      </c>
      <c r="V36" s="153">
        <v>100</v>
      </c>
      <c r="W36" s="153">
        <v>100</v>
      </c>
      <c r="X36" s="153">
        <v>100</v>
      </c>
      <c r="Y36" s="153">
        <v>100</v>
      </c>
      <c r="Z36" s="153">
        <v>100</v>
      </c>
      <c r="AA36" s="153">
        <v>100</v>
      </c>
      <c r="AB36" s="153">
        <v>100</v>
      </c>
      <c r="AC36" s="27"/>
      <c r="AD36" s="57">
        <f t="shared" ref="AD36:AD41" si="7">SUM(E36:P36)</f>
        <v>1200</v>
      </c>
      <c r="AE36" s="57">
        <f t="shared" si="5"/>
        <v>1200</v>
      </c>
    </row>
    <row r="37" spans="1:31" x14ac:dyDescent="0.2">
      <c r="A37" s="15"/>
      <c r="B37" s="24" t="s">
        <v>229</v>
      </c>
      <c r="C37" s="32" t="s">
        <v>113</v>
      </c>
      <c r="D37" s="32"/>
      <c r="E37" s="37">
        <v>100</v>
      </c>
      <c r="F37" s="37">
        <v>100</v>
      </c>
      <c r="G37" s="37">
        <v>100</v>
      </c>
      <c r="H37" s="37">
        <v>100</v>
      </c>
      <c r="I37" s="37">
        <v>100</v>
      </c>
      <c r="J37" s="37">
        <v>100</v>
      </c>
      <c r="K37" s="37">
        <v>100</v>
      </c>
      <c r="L37" s="37">
        <v>100</v>
      </c>
      <c r="M37" s="37">
        <v>100</v>
      </c>
      <c r="N37" s="37">
        <v>100</v>
      </c>
      <c r="O37" s="37">
        <v>100</v>
      </c>
      <c r="P37" s="37">
        <v>100</v>
      </c>
      <c r="Q37" s="153">
        <v>100</v>
      </c>
      <c r="R37" s="153">
        <v>100</v>
      </c>
      <c r="S37" s="153">
        <v>100</v>
      </c>
      <c r="T37" s="153">
        <v>100</v>
      </c>
      <c r="U37" s="153">
        <v>100</v>
      </c>
      <c r="V37" s="153">
        <v>100</v>
      </c>
      <c r="W37" s="153">
        <v>100</v>
      </c>
      <c r="X37" s="153">
        <v>100</v>
      </c>
      <c r="Y37" s="153">
        <v>100</v>
      </c>
      <c r="Z37" s="153">
        <v>100</v>
      </c>
      <c r="AA37" s="153">
        <v>100</v>
      </c>
      <c r="AB37" s="153">
        <v>100</v>
      </c>
      <c r="AC37" s="27"/>
      <c r="AD37" s="57">
        <f t="shared" si="7"/>
        <v>1200</v>
      </c>
      <c r="AE37" s="57">
        <f t="shared" si="5"/>
        <v>1200</v>
      </c>
    </row>
    <row r="38" spans="1:31" x14ac:dyDescent="0.2">
      <c r="A38" s="15"/>
      <c r="B38" s="24" t="s">
        <v>237</v>
      </c>
      <c r="C38" s="32" t="s">
        <v>113</v>
      </c>
      <c r="D38" s="32" t="s">
        <v>83</v>
      </c>
      <c r="E38" s="37">
        <v>100</v>
      </c>
      <c r="F38" s="37">
        <v>100</v>
      </c>
      <c r="G38" s="37">
        <v>100</v>
      </c>
      <c r="H38" s="37">
        <v>100</v>
      </c>
      <c r="I38" s="37">
        <v>100</v>
      </c>
      <c r="J38" s="37">
        <v>100</v>
      </c>
      <c r="K38" s="37">
        <v>100</v>
      </c>
      <c r="L38" s="37">
        <v>100</v>
      </c>
      <c r="M38" s="37">
        <v>100</v>
      </c>
      <c r="N38" s="37">
        <v>100</v>
      </c>
      <c r="O38" s="37">
        <v>100</v>
      </c>
      <c r="P38" s="37">
        <v>100</v>
      </c>
      <c r="Q38" s="153">
        <v>100</v>
      </c>
      <c r="R38" s="153">
        <v>100</v>
      </c>
      <c r="S38" s="153">
        <v>100</v>
      </c>
      <c r="T38" s="153">
        <v>100</v>
      </c>
      <c r="U38" s="153">
        <v>100</v>
      </c>
      <c r="V38" s="153">
        <v>100</v>
      </c>
      <c r="W38" s="153">
        <v>100</v>
      </c>
      <c r="X38" s="153">
        <v>100</v>
      </c>
      <c r="Y38" s="153">
        <v>100</v>
      </c>
      <c r="Z38" s="153">
        <v>100</v>
      </c>
      <c r="AA38" s="153">
        <v>100</v>
      </c>
      <c r="AB38" s="153">
        <v>100</v>
      </c>
      <c r="AC38" s="27"/>
      <c r="AD38" s="57">
        <f t="shared" si="7"/>
        <v>1200</v>
      </c>
      <c r="AE38" s="57">
        <f t="shared" si="5"/>
        <v>1200</v>
      </c>
    </row>
    <row r="39" spans="1:31" x14ac:dyDescent="0.2">
      <c r="A39" s="15"/>
      <c r="B39" s="24" t="s">
        <v>214</v>
      </c>
      <c r="C39" s="32" t="s">
        <v>113</v>
      </c>
      <c r="D39" s="32" t="s">
        <v>83</v>
      </c>
      <c r="E39" s="37">
        <v>100</v>
      </c>
      <c r="F39" s="37">
        <v>100</v>
      </c>
      <c r="G39" s="37">
        <v>100</v>
      </c>
      <c r="H39" s="37">
        <v>100</v>
      </c>
      <c r="I39" s="37">
        <v>100</v>
      </c>
      <c r="J39" s="37">
        <v>100</v>
      </c>
      <c r="K39" s="37">
        <v>100</v>
      </c>
      <c r="L39" s="37">
        <v>100</v>
      </c>
      <c r="M39" s="37">
        <v>100</v>
      </c>
      <c r="N39" s="37">
        <v>100</v>
      </c>
      <c r="O39" s="37">
        <v>100</v>
      </c>
      <c r="P39" s="37">
        <v>100</v>
      </c>
      <c r="Q39" s="153">
        <v>100</v>
      </c>
      <c r="R39" s="153">
        <v>100</v>
      </c>
      <c r="S39" s="153">
        <v>100</v>
      </c>
      <c r="T39" s="153">
        <v>100</v>
      </c>
      <c r="U39" s="153">
        <v>100</v>
      </c>
      <c r="V39" s="153">
        <v>100</v>
      </c>
      <c r="W39" s="153">
        <v>100</v>
      </c>
      <c r="X39" s="153">
        <v>100</v>
      </c>
      <c r="Y39" s="153">
        <v>100</v>
      </c>
      <c r="Z39" s="153">
        <v>100</v>
      </c>
      <c r="AA39" s="153">
        <v>100</v>
      </c>
      <c r="AB39" s="153">
        <v>100</v>
      </c>
      <c r="AC39" s="27"/>
      <c r="AD39" s="57">
        <f t="shared" si="7"/>
        <v>1200</v>
      </c>
      <c r="AE39" s="57">
        <f t="shared" si="5"/>
        <v>1200</v>
      </c>
    </row>
    <row r="40" spans="1:31" x14ac:dyDescent="0.2">
      <c r="A40" s="15"/>
      <c r="B40" s="24" t="s">
        <v>101</v>
      </c>
      <c r="C40" s="32" t="s">
        <v>113</v>
      </c>
      <c r="D40" s="32" t="s">
        <v>83</v>
      </c>
      <c r="E40" s="37">
        <v>100</v>
      </c>
      <c r="F40" s="37">
        <v>100</v>
      </c>
      <c r="G40" s="37">
        <v>100</v>
      </c>
      <c r="H40" s="37">
        <v>100</v>
      </c>
      <c r="I40" s="37">
        <v>100</v>
      </c>
      <c r="J40" s="37">
        <v>100</v>
      </c>
      <c r="K40" s="37">
        <v>100</v>
      </c>
      <c r="L40" s="37">
        <v>100</v>
      </c>
      <c r="M40" s="37">
        <v>100</v>
      </c>
      <c r="N40" s="37">
        <v>100</v>
      </c>
      <c r="O40" s="37">
        <v>100</v>
      </c>
      <c r="P40" s="37">
        <v>100</v>
      </c>
      <c r="Q40" s="153">
        <v>100</v>
      </c>
      <c r="R40" s="153">
        <v>100</v>
      </c>
      <c r="S40" s="153">
        <v>100</v>
      </c>
      <c r="T40" s="153">
        <v>100</v>
      </c>
      <c r="U40" s="153">
        <v>100</v>
      </c>
      <c r="V40" s="153">
        <v>100</v>
      </c>
      <c r="W40" s="153">
        <v>100</v>
      </c>
      <c r="X40" s="153">
        <v>100</v>
      </c>
      <c r="Y40" s="153">
        <v>100</v>
      </c>
      <c r="Z40" s="153">
        <v>100</v>
      </c>
      <c r="AA40" s="153">
        <v>100</v>
      </c>
      <c r="AB40" s="153">
        <v>100</v>
      </c>
      <c r="AC40" s="27"/>
      <c r="AD40" s="57">
        <f t="shared" si="7"/>
        <v>1200</v>
      </c>
      <c r="AE40" s="57">
        <f t="shared" si="5"/>
        <v>1200</v>
      </c>
    </row>
    <row r="41" spans="1:31" x14ac:dyDescent="0.2">
      <c r="A41" s="15"/>
      <c r="B41" s="24" t="s">
        <v>267</v>
      </c>
      <c r="C41" s="32" t="s">
        <v>113</v>
      </c>
      <c r="D41" s="32" t="s">
        <v>102</v>
      </c>
      <c r="E41" s="37">
        <v>100</v>
      </c>
      <c r="F41" s="37">
        <v>100</v>
      </c>
      <c r="G41" s="37">
        <v>100</v>
      </c>
      <c r="H41" s="37">
        <v>100</v>
      </c>
      <c r="I41" s="37">
        <v>100</v>
      </c>
      <c r="J41" s="37">
        <v>100</v>
      </c>
      <c r="K41" s="37">
        <v>100</v>
      </c>
      <c r="L41" s="37">
        <v>100</v>
      </c>
      <c r="M41" s="37">
        <v>100</v>
      </c>
      <c r="N41" s="37">
        <v>100</v>
      </c>
      <c r="O41" s="37">
        <v>100</v>
      </c>
      <c r="P41" s="37">
        <v>100</v>
      </c>
      <c r="Q41" s="153">
        <f>SUMIF($F$53:$F$60,MONTH(Q3),$E$53:$E$60)+($E$57*$E$58*$E$59)/12</f>
        <v>833.33333333333337</v>
      </c>
      <c r="R41" s="153">
        <f t="shared" ref="R41:AB41" si="8">SUMIF($F$53:$F$60,MONTH(R3),$E$53:$E$60)+($E$57*$E$58*$E$59)/12</f>
        <v>833.33333333333337</v>
      </c>
      <c r="S41" s="153">
        <f t="shared" si="8"/>
        <v>5833.333333333333</v>
      </c>
      <c r="T41" s="153">
        <f t="shared" si="8"/>
        <v>833.33333333333337</v>
      </c>
      <c r="U41" s="153">
        <f t="shared" si="8"/>
        <v>833.33333333333337</v>
      </c>
      <c r="V41" s="153">
        <f t="shared" si="8"/>
        <v>6833.333333333333</v>
      </c>
      <c r="W41" s="153">
        <f t="shared" si="8"/>
        <v>833.33333333333337</v>
      </c>
      <c r="X41" s="153">
        <f t="shared" si="8"/>
        <v>833.33333333333337</v>
      </c>
      <c r="Y41" s="153">
        <f t="shared" si="8"/>
        <v>833.33333333333337</v>
      </c>
      <c r="Z41" s="153">
        <f t="shared" si="8"/>
        <v>833.33333333333337</v>
      </c>
      <c r="AA41" s="153">
        <f t="shared" si="8"/>
        <v>833.33333333333337</v>
      </c>
      <c r="AB41" s="153">
        <f t="shared" si="8"/>
        <v>833.33333333333337</v>
      </c>
      <c r="AC41" s="27"/>
      <c r="AD41" s="57">
        <f t="shared" si="7"/>
        <v>1200</v>
      </c>
      <c r="AE41" s="57">
        <f t="shared" si="5"/>
        <v>20999.999999999993</v>
      </c>
    </row>
    <row r="42" spans="1:31" x14ac:dyDescent="0.2">
      <c r="A42" s="15"/>
      <c r="B42" s="24" t="s">
        <v>268</v>
      </c>
      <c r="C42" s="32" t="s">
        <v>113</v>
      </c>
      <c r="D42" s="32" t="s">
        <v>102</v>
      </c>
      <c r="E42" s="37">
        <v>100</v>
      </c>
      <c r="F42" s="37">
        <v>100</v>
      </c>
      <c r="G42" s="37">
        <v>100</v>
      </c>
      <c r="H42" s="37">
        <v>100</v>
      </c>
      <c r="I42" s="37">
        <v>100</v>
      </c>
      <c r="J42" s="37">
        <v>100</v>
      </c>
      <c r="K42" s="37">
        <v>100</v>
      </c>
      <c r="L42" s="37">
        <v>100</v>
      </c>
      <c r="M42" s="37">
        <v>100</v>
      </c>
      <c r="N42" s="37">
        <v>100</v>
      </c>
      <c r="O42" s="37">
        <v>100</v>
      </c>
      <c r="P42" s="37">
        <v>100</v>
      </c>
      <c r="Q42" s="153">
        <v>100</v>
      </c>
      <c r="R42" s="153">
        <v>100</v>
      </c>
      <c r="S42" s="153">
        <v>100</v>
      </c>
      <c r="T42" s="153">
        <v>100</v>
      </c>
      <c r="U42" s="153">
        <v>100</v>
      </c>
      <c r="V42" s="153">
        <v>100</v>
      </c>
      <c r="W42" s="153">
        <v>100</v>
      </c>
      <c r="X42" s="153">
        <v>100</v>
      </c>
      <c r="Y42" s="153">
        <v>100</v>
      </c>
      <c r="Z42" s="153">
        <v>100</v>
      </c>
      <c r="AA42" s="153">
        <v>100</v>
      </c>
      <c r="AB42" s="153">
        <v>100</v>
      </c>
      <c r="AC42" s="27"/>
      <c r="AD42" s="57">
        <f t="shared" ref="AD42:AD43" si="9">SUM(E42:P42)</f>
        <v>1200</v>
      </c>
      <c r="AE42" s="57">
        <f t="shared" ref="AE42:AE43" si="10">SUM(Q42:AB42)</f>
        <v>1200</v>
      </c>
    </row>
    <row r="43" spans="1:31" x14ac:dyDescent="0.2">
      <c r="A43" s="15"/>
      <c r="B43" s="24" t="s">
        <v>230</v>
      </c>
      <c r="C43" s="32" t="s">
        <v>113</v>
      </c>
      <c r="D43" s="32" t="s">
        <v>83</v>
      </c>
      <c r="E43" s="37">
        <v>100</v>
      </c>
      <c r="F43" s="37">
        <v>100</v>
      </c>
      <c r="G43" s="37">
        <v>100</v>
      </c>
      <c r="H43" s="37">
        <v>100</v>
      </c>
      <c r="I43" s="37">
        <v>100</v>
      </c>
      <c r="J43" s="37">
        <v>100</v>
      </c>
      <c r="K43" s="37">
        <v>100</v>
      </c>
      <c r="L43" s="37">
        <v>100</v>
      </c>
      <c r="M43" s="37">
        <v>100</v>
      </c>
      <c r="N43" s="37">
        <v>100</v>
      </c>
      <c r="O43" s="37">
        <v>100</v>
      </c>
      <c r="P43" s="37">
        <v>100</v>
      </c>
      <c r="Q43" s="153">
        <v>100</v>
      </c>
      <c r="R43" s="153">
        <v>100</v>
      </c>
      <c r="S43" s="153">
        <v>100</v>
      </c>
      <c r="T43" s="153">
        <v>100</v>
      </c>
      <c r="U43" s="153">
        <v>100</v>
      </c>
      <c r="V43" s="153">
        <v>100</v>
      </c>
      <c r="W43" s="153">
        <v>100</v>
      </c>
      <c r="X43" s="153">
        <v>100</v>
      </c>
      <c r="Y43" s="153">
        <v>100</v>
      </c>
      <c r="Z43" s="153">
        <v>100</v>
      </c>
      <c r="AA43" s="153">
        <v>100</v>
      </c>
      <c r="AB43" s="153">
        <v>100</v>
      </c>
      <c r="AC43" s="27"/>
      <c r="AD43" s="57">
        <f t="shared" si="9"/>
        <v>1200</v>
      </c>
      <c r="AE43" s="57">
        <f t="shared" si="10"/>
        <v>1200</v>
      </c>
    </row>
    <row r="44" spans="1:31" x14ac:dyDescent="0.2">
      <c r="A44" s="15"/>
      <c r="B44" s="24" t="s">
        <v>147</v>
      </c>
      <c r="C44" s="32" t="s">
        <v>113</v>
      </c>
      <c r="D44" s="32" t="s">
        <v>83</v>
      </c>
      <c r="E44" s="37">
        <v>100</v>
      </c>
      <c r="F44" s="37">
        <v>100</v>
      </c>
      <c r="G44" s="37">
        <v>100</v>
      </c>
      <c r="H44" s="37">
        <v>100</v>
      </c>
      <c r="I44" s="37">
        <v>100</v>
      </c>
      <c r="J44" s="37">
        <v>100</v>
      </c>
      <c r="K44" s="37">
        <v>100</v>
      </c>
      <c r="L44" s="37">
        <v>100</v>
      </c>
      <c r="M44" s="37">
        <v>100</v>
      </c>
      <c r="N44" s="37">
        <v>100</v>
      </c>
      <c r="O44" s="37">
        <v>100</v>
      </c>
      <c r="P44" s="37">
        <v>100</v>
      </c>
      <c r="Q44" s="153">
        <v>100</v>
      </c>
      <c r="R44" s="153">
        <v>100</v>
      </c>
      <c r="S44" s="153">
        <v>100</v>
      </c>
      <c r="T44" s="153">
        <v>100</v>
      </c>
      <c r="U44" s="153">
        <v>100</v>
      </c>
      <c r="V44" s="153">
        <v>100</v>
      </c>
      <c r="W44" s="153">
        <v>100</v>
      </c>
      <c r="X44" s="153">
        <v>100</v>
      </c>
      <c r="Y44" s="153">
        <v>100</v>
      </c>
      <c r="Z44" s="153">
        <v>100</v>
      </c>
      <c r="AA44" s="153">
        <v>100</v>
      </c>
      <c r="AB44" s="153">
        <v>100</v>
      </c>
      <c r="AC44" s="27"/>
      <c r="AD44" s="57">
        <f>SUM(E44:P44)</f>
        <v>1200</v>
      </c>
      <c r="AE44" s="57">
        <f>SUM(Q44:AB44)</f>
        <v>1200</v>
      </c>
    </row>
    <row r="45" spans="1:31" x14ac:dyDescent="0.2">
      <c r="A45" s="15"/>
      <c r="B45" s="24" t="s">
        <v>141</v>
      </c>
      <c r="C45" s="32" t="s">
        <v>113</v>
      </c>
      <c r="D45" s="32"/>
      <c r="E45" s="37">
        <v>100</v>
      </c>
      <c r="F45" s="37">
        <v>100</v>
      </c>
      <c r="G45" s="37">
        <v>100</v>
      </c>
      <c r="H45" s="37">
        <v>100</v>
      </c>
      <c r="I45" s="37">
        <v>100</v>
      </c>
      <c r="J45" s="37">
        <v>100</v>
      </c>
      <c r="K45" s="37">
        <v>100</v>
      </c>
      <c r="L45" s="37">
        <v>100</v>
      </c>
      <c r="M45" s="37">
        <v>100</v>
      </c>
      <c r="N45" s="37">
        <v>100</v>
      </c>
      <c r="O45" s="37">
        <v>100</v>
      </c>
      <c r="P45" s="37">
        <v>100</v>
      </c>
      <c r="Q45" s="153">
        <v>100</v>
      </c>
      <c r="R45" s="153">
        <v>100</v>
      </c>
      <c r="S45" s="153">
        <v>100</v>
      </c>
      <c r="T45" s="153">
        <v>100</v>
      </c>
      <c r="U45" s="153">
        <v>100</v>
      </c>
      <c r="V45" s="153">
        <v>100</v>
      </c>
      <c r="W45" s="153">
        <v>100</v>
      </c>
      <c r="X45" s="153">
        <v>100</v>
      </c>
      <c r="Y45" s="153">
        <v>100</v>
      </c>
      <c r="Z45" s="153">
        <v>100</v>
      </c>
      <c r="AA45" s="153">
        <v>100</v>
      </c>
      <c r="AB45" s="153">
        <v>100</v>
      </c>
      <c r="AC45" s="27"/>
      <c r="AD45" s="57">
        <f>SUM(E45:P45)</f>
        <v>1200</v>
      </c>
      <c r="AE45" s="57">
        <f>SUM(Q45:AB45)</f>
        <v>1200</v>
      </c>
    </row>
    <row r="46" spans="1:31" x14ac:dyDescent="0.2">
      <c r="A46" s="15"/>
      <c r="B46" s="24"/>
      <c r="C46" s="24"/>
      <c r="D46" s="24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</row>
    <row r="47" spans="1:31" x14ac:dyDescent="0.2">
      <c r="A47" s="15"/>
      <c r="B47" s="25" t="s">
        <v>133</v>
      </c>
      <c r="C47" s="24"/>
      <c r="D47" s="24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</row>
    <row r="48" spans="1:31" x14ac:dyDescent="0.2">
      <c r="A48" s="15"/>
      <c r="B48" s="24" t="s">
        <v>223</v>
      </c>
      <c r="C48" s="50" t="s">
        <v>103</v>
      </c>
      <c r="D48" s="50" t="s">
        <v>83</v>
      </c>
      <c r="E48" s="37">
        <v>100</v>
      </c>
      <c r="F48" s="37">
        <v>100</v>
      </c>
      <c r="G48" s="37">
        <v>100</v>
      </c>
      <c r="H48" s="37">
        <v>100</v>
      </c>
      <c r="I48" s="37">
        <v>100</v>
      </c>
      <c r="J48" s="37">
        <v>100</v>
      </c>
      <c r="K48" s="37">
        <v>100</v>
      </c>
      <c r="L48" s="37">
        <v>100</v>
      </c>
      <c r="M48" s="37">
        <v>100</v>
      </c>
      <c r="N48" s="37">
        <v>100</v>
      </c>
      <c r="O48" s="37">
        <v>100</v>
      </c>
      <c r="P48" s="37">
        <v>100</v>
      </c>
      <c r="Q48" s="153">
        <v>100</v>
      </c>
      <c r="R48" s="153">
        <v>100</v>
      </c>
      <c r="S48" s="153">
        <v>100</v>
      </c>
      <c r="T48" s="153">
        <v>100</v>
      </c>
      <c r="U48" s="153">
        <v>100</v>
      </c>
      <c r="V48" s="153">
        <v>100</v>
      </c>
      <c r="W48" s="153">
        <v>100</v>
      </c>
      <c r="X48" s="153">
        <v>100</v>
      </c>
      <c r="Y48" s="153">
        <v>100</v>
      </c>
      <c r="Z48" s="153">
        <v>100</v>
      </c>
      <c r="AA48" s="153">
        <v>100</v>
      </c>
      <c r="AB48" s="153">
        <v>100</v>
      </c>
      <c r="AC48" s="27"/>
      <c r="AD48" s="57">
        <f>SUM(E48:P48)</f>
        <v>1200</v>
      </c>
      <c r="AE48" s="57">
        <f>SUM(Q48:AB48)</f>
        <v>1200</v>
      </c>
    </row>
    <row r="49" spans="2:31" x14ac:dyDescent="0.2">
      <c r="B49" s="24"/>
      <c r="C49" s="24"/>
      <c r="D49" s="24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</row>
    <row r="50" spans="2:31" x14ac:dyDescent="0.2">
      <c r="B50" s="24"/>
      <c r="C50" s="24"/>
      <c r="D50" s="24"/>
      <c r="E50" s="27">
        <f>SUMIF(D5:D48,"AP",E5:E48)</f>
        <v>2220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</row>
    <row r="51" spans="2:31" x14ac:dyDescent="0.2">
      <c r="B51" s="25" t="s">
        <v>130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57"/>
      <c r="AA51" s="27"/>
      <c r="AB51" s="27"/>
      <c r="AC51" s="27"/>
      <c r="AD51" s="27"/>
      <c r="AE51" s="27"/>
    </row>
    <row r="52" spans="2:31" x14ac:dyDescent="0.2">
      <c r="B52" s="24"/>
      <c r="D52" s="27"/>
      <c r="E52" s="65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57"/>
      <c r="AA52" s="27"/>
      <c r="AB52" s="27"/>
      <c r="AC52" s="27"/>
      <c r="AD52" s="27"/>
      <c r="AE52" s="27"/>
    </row>
    <row r="53" spans="2:31" x14ac:dyDescent="0.2">
      <c r="B53" s="66" t="s">
        <v>150</v>
      </c>
      <c r="D53" s="27"/>
      <c r="E53" s="65"/>
      <c r="F53" s="67" t="s">
        <v>152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57"/>
      <c r="AA53" s="27"/>
      <c r="AB53" s="27"/>
      <c r="AC53" s="27"/>
      <c r="AD53" s="27"/>
      <c r="AE53" s="27"/>
    </row>
    <row r="54" spans="2:31" x14ac:dyDescent="0.2">
      <c r="B54" s="24" t="s">
        <v>320</v>
      </c>
      <c r="D54" s="27"/>
      <c r="E54" s="65">
        <v>5000</v>
      </c>
      <c r="F54" s="27">
        <v>3</v>
      </c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</row>
    <row r="55" spans="2:31" x14ac:dyDescent="0.2">
      <c r="B55" s="24" t="s">
        <v>321</v>
      </c>
      <c r="D55" s="27"/>
      <c r="E55" s="65">
        <v>6000</v>
      </c>
      <c r="F55" s="27">
        <v>6</v>
      </c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spans="2:31" x14ac:dyDescent="0.2">
      <c r="B56" s="24"/>
      <c r="D56" s="27"/>
      <c r="E56" s="65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spans="2:31" x14ac:dyDescent="0.2">
      <c r="B57" s="24" t="s">
        <v>151</v>
      </c>
      <c r="D57" s="27"/>
      <c r="E57" s="65">
        <v>2</v>
      </c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spans="2:31" x14ac:dyDescent="0.2">
      <c r="B58" s="24" t="s">
        <v>148</v>
      </c>
      <c r="D58" s="27"/>
      <c r="E58" s="65">
        <v>2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spans="2:31" x14ac:dyDescent="0.2">
      <c r="B59" s="24" t="s">
        <v>149</v>
      </c>
      <c r="D59" s="27"/>
      <c r="E59" s="64">
        <v>2500</v>
      </c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  <row r="60" spans="2:31" x14ac:dyDescent="0.2">
      <c r="B60" s="24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</row>
    <row r="61" spans="2:31" x14ac:dyDescent="0.2">
      <c r="B61" s="66" t="s">
        <v>317</v>
      </c>
      <c r="D61" s="27"/>
      <c r="E61" s="67" t="s">
        <v>319</v>
      </c>
      <c r="F61" s="67" t="s">
        <v>318</v>
      </c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</row>
    <row r="62" spans="2:31" x14ac:dyDescent="0.2">
      <c r="B62" s="24" t="s">
        <v>315</v>
      </c>
      <c r="D62" s="27"/>
      <c r="E62" s="65">
        <v>10</v>
      </c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</row>
    <row r="63" spans="2:31" x14ac:dyDescent="0.2">
      <c r="B63" s="24" t="s">
        <v>231</v>
      </c>
      <c r="D63" s="27"/>
      <c r="E63" s="65">
        <v>10</v>
      </c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</row>
    <row r="64" spans="2:31" x14ac:dyDescent="0.2">
      <c r="B64" s="24" t="s">
        <v>154</v>
      </c>
      <c r="D64" s="27"/>
      <c r="E64" s="65">
        <v>10</v>
      </c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</row>
    <row r="65" spans="1:31" x14ac:dyDescent="0.2">
      <c r="B65" s="24" t="s">
        <v>155</v>
      </c>
      <c r="D65" s="27"/>
      <c r="E65" s="65">
        <v>10</v>
      </c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</row>
    <row r="66" spans="1:31" x14ac:dyDescent="0.2">
      <c r="B66" s="24" t="s">
        <v>156</v>
      </c>
      <c r="D66" s="27"/>
      <c r="E66" s="65">
        <v>10</v>
      </c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</row>
    <row r="67" spans="1:31" x14ac:dyDescent="0.2">
      <c r="B67" s="24" t="s">
        <v>157</v>
      </c>
      <c r="D67" s="27"/>
      <c r="E67" s="65">
        <v>10</v>
      </c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</row>
    <row r="68" spans="1:31" x14ac:dyDescent="0.2">
      <c r="B68" s="24" t="s">
        <v>158</v>
      </c>
      <c r="D68" s="27"/>
      <c r="E68" s="65">
        <v>10</v>
      </c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</row>
    <row r="69" spans="1:31" x14ac:dyDescent="0.2">
      <c r="B69" s="24" t="s">
        <v>239</v>
      </c>
      <c r="D69" s="27"/>
      <c r="E69" s="65">
        <v>10</v>
      </c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</row>
    <row r="70" spans="1:31" x14ac:dyDescent="0.2">
      <c r="B70" s="24" t="s">
        <v>159</v>
      </c>
      <c r="D70" s="27"/>
      <c r="E70" s="65">
        <v>10</v>
      </c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</row>
    <row r="71" spans="1:31" x14ac:dyDescent="0.2">
      <c r="B71" s="24" t="s">
        <v>160</v>
      </c>
      <c r="D71" s="27"/>
      <c r="E71" s="65">
        <v>10</v>
      </c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</row>
    <row r="72" spans="1:31" x14ac:dyDescent="0.2">
      <c r="B72" s="24" t="s">
        <v>161</v>
      </c>
      <c r="D72" s="27"/>
      <c r="E72" s="65">
        <v>10</v>
      </c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</row>
    <row r="73" spans="1:31" x14ac:dyDescent="0.2">
      <c r="B73" s="24" t="s">
        <v>162</v>
      </c>
      <c r="D73" s="27"/>
      <c r="E73" s="65">
        <v>10</v>
      </c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</row>
    <row r="74" spans="1:31" x14ac:dyDescent="0.2">
      <c r="B74" s="24" t="s">
        <v>163</v>
      </c>
      <c r="D74" s="27"/>
      <c r="E74" s="65">
        <v>10</v>
      </c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</row>
    <row r="75" spans="1:31" x14ac:dyDescent="0.2">
      <c r="B75" s="24" t="s">
        <v>164</v>
      </c>
      <c r="D75" s="27"/>
      <c r="E75" s="65">
        <v>10</v>
      </c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</row>
    <row r="76" spans="1:31" x14ac:dyDescent="0.2">
      <c r="B76" s="24" t="s">
        <v>235</v>
      </c>
      <c r="D76" s="27"/>
      <c r="E76" s="65">
        <v>10</v>
      </c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</row>
    <row r="77" spans="1:31" x14ac:dyDescent="0.2">
      <c r="B77" s="24" t="s">
        <v>236</v>
      </c>
      <c r="D77" s="27"/>
      <c r="E77" s="65">
        <v>10</v>
      </c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</row>
    <row r="78" spans="1:31" x14ac:dyDescent="0.2">
      <c r="A78" t="s">
        <v>100</v>
      </c>
      <c r="B78" s="24" t="s">
        <v>316</v>
      </c>
      <c r="D78" s="27"/>
      <c r="E78" s="27">
        <f>COUNTIF('People Costs'!A:A,A78)*F78</f>
        <v>60</v>
      </c>
      <c r="F78" s="65">
        <v>10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</row>
    <row r="79" spans="1:31" x14ac:dyDescent="0.2">
      <c r="B79" s="38" t="s">
        <v>135</v>
      </c>
      <c r="D79" s="27"/>
      <c r="E79" s="68">
        <f>SUM(E62:E78)</f>
        <v>220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</row>
  </sheetData>
  <pageMargins left="0.7" right="0.7" top="0.75" bottom="0.75" header="0.3" footer="0.3"/>
  <pageSetup paperSize="11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New Organic</vt:lpstr>
      <vt:lpstr>New PPC</vt:lpstr>
      <vt:lpstr>Sheet1</vt:lpstr>
      <vt:lpstr>New Sales</vt:lpstr>
      <vt:lpstr>New Unique</vt:lpstr>
      <vt:lpstr>Retention</vt:lpstr>
      <vt:lpstr>Revenue</vt:lpstr>
      <vt:lpstr>People Costs</vt:lpstr>
      <vt:lpstr>Other Costs</vt:lpstr>
      <vt:lpstr>Fixed Assets</vt:lpstr>
      <vt:lpstr>Cash Timing</vt:lpstr>
      <vt:lpstr>PL</vt:lpstr>
      <vt:lpstr>BS</vt:lpstr>
      <vt:lpstr>CF</vt:lpstr>
      <vt:lpstr>FurnitureCostPerHire</vt:lpstr>
      <vt:lpstr>BS!Print_Area</vt:lpstr>
      <vt:lpstr>CF!Print_Area</vt:lpstr>
      <vt:lpstr>'Fixed Assets'!Print_Area</vt:lpstr>
      <vt:lpstr>'New Unique'!Print_Area</vt:lpstr>
      <vt:lpstr>'Other Costs'!Print_Area</vt:lpstr>
      <vt:lpstr>'People Costs'!Print_Area</vt:lpstr>
      <vt:lpstr>PL!Print_Area</vt:lpstr>
      <vt:lpstr>'People Costs'!Print_Titles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Raybould</dc:creator>
  <cp:lastModifiedBy>Johnnie Watson</cp:lastModifiedBy>
  <cp:lastPrinted>2014-02-04T18:33:05Z</cp:lastPrinted>
  <dcterms:created xsi:type="dcterms:W3CDTF">2009-03-03T14:09:37Z</dcterms:created>
  <dcterms:modified xsi:type="dcterms:W3CDTF">2025-07-13T21:00:50Z</dcterms:modified>
</cp:coreProperties>
</file>