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ate1904="1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22/To Transfer/"/>
    </mc:Choice>
  </mc:AlternateContent>
  <xr:revisionPtr revIDLastSave="0" documentId="13_ncr:1_{18603290-0D7D-104B-B2BB-0E32F2623721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  <sheet name="Data Update Sequence" sheetId="27" r:id="rId17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 iterate="1"/>
  <pivotCaches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24" l="1"/>
  <c r="G31" i="10"/>
  <c r="F31" i="10"/>
  <c r="E31" i="10"/>
  <c r="D31" i="10"/>
  <c r="C31" i="10"/>
  <c r="B31" i="10"/>
  <c r="A31" i="10"/>
  <c r="H31" i="10" s="1"/>
  <c r="G30" i="10"/>
  <c r="F30" i="10"/>
  <c r="E30" i="10"/>
  <c r="D30" i="10"/>
  <c r="C30" i="10"/>
  <c r="B30" i="10"/>
  <c r="A30" i="10"/>
  <c r="H30" i="10" s="1"/>
  <c r="G29" i="10"/>
  <c r="F29" i="10"/>
  <c r="E29" i="10"/>
  <c r="D29" i="10"/>
  <c r="C29" i="10"/>
  <c r="B29" i="10"/>
  <c r="A29" i="10"/>
  <c r="H29" i="10" s="1"/>
  <c r="G28" i="10"/>
  <c r="F28" i="10"/>
  <c r="E28" i="10"/>
  <c r="D28" i="10"/>
  <c r="C28" i="10"/>
  <c r="B28" i="10"/>
  <c r="A28" i="10"/>
  <c r="H28" i="10" s="1"/>
  <c r="G27" i="10"/>
  <c r="F27" i="10"/>
  <c r="E27" i="10"/>
  <c r="D27" i="10"/>
  <c r="C27" i="10"/>
  <c r="B27" i="10"/>
  <c r="A27" i="10"/>
  <c r="H27" i="10" s="1"/>
  <c r="G26" i="10"/>
  <c r="F26" i="10"/>
  <c r="E26" i="10"/>
  <c r="D26" i="10"/>
  <c r="C26" i="10"/>
  <c r="B26" i="10"/>
  <c r="A26" i="10"/>
  <c r="H26" i="10" s="1"/>
  <c r="G25" i="10"/>
  <c r="F25" i="10"/>
  <c r="E25" i="10"/>
  <c r="D25" i="10"/>
  <c r="C25" i="10"/>
  <c r="B25" i="10"/>
  <c r="A25" i="10"/>
  <c r="H25" i="10" s="1"/>
  <c r="G24" i="10"/>
  <c r="F24" i="10"/>
  <c r="E24" i="10"/>
  <c r="D24" i="10"/>
  <c r="C24" i="10"/>
  <c r="B24" i="10"/>
  <c r="A24" i="10"/>
  <c r="H24" i="10" s="1"/>
  <c r="G23" i="10"/>
  <c r="F23" i="10"/>
  <c r="E23" i="10"/>
  <c r="D23" i="10"/>
  <c r="C23" i="10"/>
  <c r="B23" i="10"/>
  <c r="A23" i="10"/>
  <c r="H23" i="10" s="1"/>
  <c r="G22" i="10"/>
  <c r="F22" i="10"/>
  <c r="E22" i="10"/>
  <c r="D22" i="10"/>
  <c r="C22" i="10"/>
  <c r="B22" i="10"/>
  <c r="A22" i="10"/>
  <c r="H22" i="10" s="1"/>
  <c r="G21" i="10"/>
  <c r="F21" i="10"/>
  <c r="E21" i="10"/>
  <c r="D21" i="10"/>
  <c r="C21" i="10"/>
  <c r="B21" i="10"/>
  <c r="A21" i="10"/>
  <c r="H21" i="10" s="1"/>
  <c r="G20" i="10"/>
  <c r="F20" i="10"/>
  <c r="E20" i="10"/>
  <c r="D20" i="10"/>
  <c r="C20" i="10"/>
  <c r="B20" i="10"/>
  <c r="A20" i="10"/>
  <c r="H20" i="10" s="1"/>
  <c r="G19" i="10"/>
  <c r="F19" i="10"/>
  <c r="E19" i="10"/>
  <c r="D19" i="10"/>
  <c r="C19" i="10"/>
  <c r="B19" i="10"/>
  <c r="A19" i="10"/>
  <c r="H19" i="10" s="1"/>
  <c r="G18" i="10"/>
  <c r="F18" i="10"/>
  <c r="E18" i="10"/>
  <c r="D18" i="10"/>
  <c r="C18" i="10"/>
  <c r="B18" i="10"/>
  <c r="A18" i="10"/>
  <c r="H18" i="10" s="1"/>
  <c r="G17" i="10"/>
  <c r="F17" i="10"/>
  <c r="E17" i="10"/>
  <c r="D17" i="10"/>
  <c r="C17" i="10"/>
  <c r="B17" i="10"/>
  <c r="A17" i="10"/>
  <c r="H17" i="10" s="1"/>
  <c r="G16" i="10"/>
  <c r="F16" i="10"/>
  <c r="E16" i="10"/>
  <c r="D16" i="10"/>
  <c r="C16" i="10"/>
  <c r="B16" i="10"/>
  <c r="A16" i="10"/>
  <c r="H16" i="10" s="1"/>
  <c r="G15" i="10"/>
  <c r="F15" i="10"/>
  <c r="E15" i="10"/>
  <c r="D15" i="10"/>
  <c r="C15" i="10"/>
  <c r="B15" i="10"/>
  <c r="A15" i="10"/>
  <c r="H15" i="10" s="1"/>
  <c r="G14" i="10"/>
  <c r="F14" i="10"/>
  <c r="E14" i="10"/>
  <c r="D14" i="10"/>
  <c r="C14" i="10"/>
  <c r="B14" i="10"/>
  <c r="A14" i="10"/>
  <c r="H14" i="10" s="1"/>
  <c r="G13" i="10"/>
  <c r="F13" i="10"/>
  <c r="E13" i="10"/>
  <c r="D13" i="10"/>
  <c r="C13" i="10"/>
  <c r="B13" i="10"/>
  <c r="A13" i="10"/>
  <c r="H13" i="10" s="1"/>
  <c r="G12" i="10"/>
  <c r="F12" i="10"/>
  <c r="E12" i="10"/>
  <c r="D12" i="10"/>
  <c r="C12" i="10"/>
  <c r="B12" i="10"/>
  <c r="A12" i="10"/>
  <c r="H12" i="10" s="1"/>
  <c r="G11" i="10"/>
  <c r="F11" i="10"/>
  <c r="E11" i="10"/>
  <c r="D11" i="10"/>
  <c r="C11" i="10"/>
  <c r="B11" i="10"/>
  <c r="A11" i="10"/>
  <c r="H11" i="10" s="1"/>
  <c r="G10" i="10"/>
  <c r="F10" i="10"/>
  <c r="E10" i="10"/>
  <c r="D10" i="10"/>
  <c r="C10" i="10"/>
  <c r="B10" i="10"/>
  <c r="A10" i="10"/>
  <c r="H10" i="10" s="1"/>
  <c r="G9" i="10"/>
  <c r="F9" i="10"/>
  <c r="E9" i="10"/>
  <c r="D9" i="10"/>
  <c r="C9" i="10"/>
  <c r="B9" i="10"/>
  <c r="A9" i="10"/>
  <c r="H9" i="10" s="1"/>
  <c r="G8" i="10"/>
  <c r="F8" i="10"/>
  <c r="E8" i="10"/>
  <c r="D8" i="10"/>
  <c r="C8" i="10"/>
  <c r="B8" i="10"/>
  <c r="A8" i="10"/>
  <c r="H8" i="10" s="1"/>
  <c r="G7" i="10"/>
  <c r="F7" i="10"/>
  <c r="E7" i="10"/>
  <c r="D7" i="10"/>
  <c r="C7" i="10"/>
  <c r="B7" i="10"/>
  <c r="A7" i="10"/>
  <c r="H7" i="10" s="1"/>
  <c r="G6" i="10"/>
  <c r="F6" i="10"/>
  <c r="E6" i="10"/>
  <c r="D6" i="10"/>
  <c r="C6" i="10"/>
  <c r="B6" i="10"/>
  <c r="A6" i="10"/>
  <c r="H6" i="10" s="1"/>
  <c r="G5" i="10"/>
  <c r="F5" i="10"/>
  <c r="E5" i="10"/>
  <c r="D5" i="10"/>
  <c r="C5" i="10"/>
  <c r="B5" i="10"/>
  <c r="A5" i="10"/>
  <c r="H5" i="10" s="1"/>
  <c r="G4" i="10"/>
  <c r="F4" i="10"/>
  <c r="E4" i="10"/>
  <c r="D4" i="10"/>
  <c r="C4" i="10"/>
  <c r="B4" i="10"/>
  <c r="A4" i="10"/>
  <c r="H4" i="10" s="1"/>
  <c r="G3" i="10"/>
  <c r="F3" i="10"/>
  <c r="E3" i="10"/>
  <c r="D3" i="10"/>
  <c r="C3" i="10"/>
  <c r="B3" i="10"/>
  <c r="A3" i="10"/>
  <c r="H3" i="10" s="1"/>
  <c r="G2" i="10"/>
  <c r="F2" i="10"/>
  <c r="E2" i="10"/>
  <c r="D2" i="10"/>
  <c r="C2" i="10"/>
  <c r="B2" i="10"/>
  <c r="A2" i="10"/>
  <c r="H2" i="10" s="1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B180" i="23"/>
  <c r="B157" i="23"/>
  <c r="B156" i="23"/>
  <c r="B155" i="23"/>
  <c r="B154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30" i="23"/>
  <c r="B129" i="23"/>
  <c r="B128" i="23"/>
  <c r="B127" i="23"/>
  <c r="B126" i="23"/>
  <c r="B125" i="23"/>
  <c r="B124" i="23"/>
  <c r="B123" i="23"/>
  <c r="B122" i="23"/>
  <c r="B121" i="23"/>
  <c r="B120" i="23"/>
  <c r="B119" i="23"/>
  <c r="B118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4" i="23"/>
  <c r="B93" i="23"/>
  <c r="B92" i="23"/>
  <c r="B91" i="23"/>
  <c r="B90" i="23"/>
  <c r="B89" i="23"/>
  <c r="B88" i="23"/>
  <c r="B87" i="23"/>
  <c r="B86" i="23"/>
  <c r="B85" i="23"/>
  <c r="B84" i="23"/>
  <c r="B83" i="23"/>
  <c r="B82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158" i="9"/>
  <c r="B157" i="9"/>
  <c r="B155" i="9"/>
  <c r="B154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39" i="9"/>
  <c r="B138" i="9"/>
  <c r="B136" i="9"/>
  <c r="B133" i="9"/>
  <c r="B132" i="9"/>
  <c r="B131" i="9"/>
  <c r="B130" i="9"/>
  <c r="B129" i="9"/>
  <c r="B127" i="9"/>
  <c r="B125" i="9"/>
  <c r="B124" i="9"/>
  <c r="B123" i="9"/>
  <c r="B122" i="9"/>
  <c r="B120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8" i="9"/>
  <c r="B97" i="9"/>
  <c r="B96" i="9"/>
  <c r="B95" i="9"/>
  <c r="B94" i="9"/>
  <c r="B93" i="9"/>
  <c r="B92" i="9"/>
  <c r="B91" i="9"/>
  <c r="B90" i="9"/>
  <c r="B87" i="9"/>
  <c r="B86" i="9"/>
  <c r="B85" i="9"/>
  <c r="B84" i="9"/>
  <c r="B83" i="9"/>
  <c r="B80" i="9"/>
  <c r="B78" i="9"/>
  <c r="B77" i="9"/>
  <c r="B76" i="9"/>
  <c r="B74" i="9"/>
  <c r="B73" i="9"/>
  <c r="B72" i="9"/>
  <c r="B71" i="9"/>
  <c r="B70" i="9"/>
  <c r="B69" i="9"/>
  <c r="B68" i="9"/>
  <c r="B67" i="9"/>
  <c r="B66" i="9"/>
  <c r="B65" i="9"/>
  <c r="B64" i="9"/>
  <c r="B62" i="9"/>
  <c r="B60" i="9"/>
  <c r="B59" i="9"/>
  <c r="B58" i="9"/>
  <c r="B57" i="9"/>
  <c r="B56" i="9"/>
  <c r="B55" i="9"/>
  <c r="B54" i="9"/>
  <c r="B53" i="9"/>
  <c r="B52" i="9"/>
  <c r="B51" i="9"/>
  <c r="B50" i="9"/>
  <c r="B49" i="9"/>
  <c r="B47" i="9"/>
  <c r="B46" i="9"/>
  <c r="B45" i="9"/>
  <c r="B44" i="9"/>
  <c r="B43" i="9"/>
  <c r="B41" i="9"/>
  <c r="B40" i="9"/>
  <c r="B39" i="9"/>
  <c r="B38" i="9"/>
  <c r="B34" i="9"/>
  <c r="B33" i="9"/>
  <c r="B32" i="9"/>
  <c r="B31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1" i="9"/>
  <c r="B10" i="9"/>
  <c r="B9" i="9"/>
  <c r="B8" i="9"/>
  <c r="B7" i="9"/>
  <c r="B6" i="9"/>
  <c r="B5" i="9"/>
  <c r="C2" i="5"/>
  <c r="C158" i="5"/>
  <c r="C157" i="5"/>
  <c r="C156" i="5"/>
  <c r="C154" i="5"/>
  <c r="C153" i="5"/>
  <c r="C152" i="5"/>
  <c r="C150" i="5"/>
  <c r="C147" i="5"/>
  <c r="C146" i="5"/>
  <c r="C143" i="5"/>
  <c r="C139" i="5"/>
  <c r="C138" i="5"/>
  <c r="C133" i="5"/>
  <c r="C132" i="5"/>
  <c r="C131" i="5"/>
  <c r="C129" i="5"/>
  <c r="C128" i="5"/>
  <c r="C125" i="5"/>
  <c r="C124" i="5"/>
  <c r="C123" i="5"/>
  <c r="C122" i="5"/>
  <c r="C121" i="5"/>
  <c r="C120" i="5"/>
  <c r="C118" i="5"/>
  <c r="C117" i="5"/>
  <c r="C116" i="5"/>
  <c r="C115" i="5"/>
  <c r="C114" i="5"/>
  <c r="C111" i="5"/>
  <c r="C110" i="5"/>
  <c r="C109" i="5"/>
  <c r="C108" i="5"/>
  <c r="C107" i="5"/>
  <c r="C105" i="5"/>
  <c r="C104" i="5"/>
  <c r="C103" i="5"/>
  <c r="C100" i="5"/>
  <c r="C95" i="5"/>
  <c r="C90" i="5"/>
  <c r="C86" i="5"/>
  <c r="C84" i="5"/>
  <c r="C83" i="5"/>
  <c r="C80" i="5"/>
  <c r="C79" i="5"/>
  <c r="C78" i="5"/>
  <c r="C77" i="5"/>
  <c r="C74" i="5"/>
  <c r="C72" i="5"/>
  <c r="C71" i="5"/>
  <c r="C69" i="5"/>
  <c r="C68" i="5"/>
  <c r="C67" i="5"/>
  <c r="C66" i="5"/>
  <c r="C65" i="5"/>
  <c r="C64" i="5"/>
  <c r="C63" i="5"/>
  <c r="C59" i="5"/>
  <c r="C57" i="5"/>
  <c r="C54" i="5"/>
  <c r="C53" i="5"/>
  <c r="C51" i="5"/>
  <c r="C50" i="5"/>
  <c r="C49" i="5"/>
  <c r="C48" i="5"/>
  <c r="C47" i="5"/>
  <c r="C45" i="5"/>
  <c r="C44" i="5"/>
  <c r="C43" i="5"/>
  <c r="C40" i="5"/>
  <c r="C38" i="5"/>
  <c r="C34" i="5"/>
  <c r="C33" i="5"/>
  <c r="C32" i="5"/>
  <c r="C29" i="5"/>
  <c r="C28" i="5"/>
  <c r="C25" i="5"/>
  <c r="C24" i="5"/>
  <c r="C17" i="5"/>
  <c r="C13" i="5"/>
  <c r="C10" i="5"/>
  <c r="C9" i="5"/>
  <c r="C6" i="5"/>
  <c r="C5" i="5"/>
  <c r="J98" i="5"/>
  <c r="J49" i="5"/>
  <c r="G156" i="19" l="1"/>
  <c r="G158" i="19"/>
  <c r="B88" i="26"/>
  <c r="B539" i="26"/>
  <c r="B347" i="26"/>
  <c r="B280" i="26"/>
  <c r="B275" i="26"/>
  <c r="D16" i="26"/>
  <c r="D15" i="26" l="1"/>
  <c r="D158" i="24"/>
  <c r="D157" i="24"/>
  <c r="D155" i="24"/>
  <c r="C155" i="24"/>
  <c r="F154" i="23" s="1"/>
  <c r="C144" i="24"/>
  <c r="C141" i="24"/>
  <c r="C135" i="24"/>
  <c r="H135" i="3" s="1"/>
  <c r="C134" i="24"/>
  <c r="C126" i="24"/>
  <c r="C119" i="24"/>
  <c r="F118" i="23" s="1"/>
  <c r="C106" i="24"/>
  <c r="C99" i="24"/>
  <c r="H99" i="3" s="1"/>
  <c r="C92" i="24"/>
  <c r="C91" i="24"/>
  <c r="F90" i="23" s="1"/>
  <c r="C88" i="24"/>
  <c r="H88" i="3" s="1"/>
  <c r="C82" i="24"/>
  <c r="C79" i="24"/>
  <c r="F79" i="23" s="1"/>
  <c r="C75" i="24"/>
  <c r="F75" i="23" s="1"/>
  <c r="C63" i="24"/>
  <c r="F63" i="23" s="1"/>
  <c r="C61" i="24"/>
  <c r="H61" i="3" s="1"/>
  <c r="C41" i="24"/>
  <c r="F41" i="23" s="1"/>
  <c r="F39" i="23"/>
  <c r="C37" i="24"/>
  <c r="C36" i="24"/>
  <c r="H36" i="3" s="1"/>
  <c r="C35" i="24"/>
  <c r="F35" i="23" s="1"/>
  <c r="C30" i="24"/>
  <c r="C18" i="24"/>
  <c r="C4" i="24"/>
  <c r="H4" i="3" s="1"/>
  <c r="C2" i="24"/>
  <c r="D188" i="10"/>
  <c r="G81" i="6"/>
  <c r="H81" i="6"/>
  <c r="D81" i="6"/>
  <c r="G80" i="6"/>
  <c r="H80" i="6"/>
  <c r="D80" i="6"/>
  <c r="G79" i="6"/>
  <c r="H79" i="6"/>
  <c r="D79" i="6"/>
  <c r="G78" i="6"/>
  <c r="H78" i="6"/>
  <c r="D78" i="6"/>
  <c r="G77" i="6"/>
  <c r="H77" i="6"/>
  <c r="D77" i="6"/>
  <c r="G76" i="6"/>
  <c r="H76" i="6"/>
  <c r="D76" i="6"/>
  <c r="H75" i="6"/>
  <c r="G75" i="6"/>
  <c r="D75" i="6"/>
  <c r="G74" i="6"/>
  <c r="H74" i="6"/>
  <c r="D74" i="6"/>
  <c r="G73" i="6"/>
  <c r="H73" i="6"/>
  <c r="D73" i="6"/>
  <c r="H72" i="6"/>
  <c r="G72" i="6"/>
  <c r="D72" i="6"/>
  <c r="G71" i="6"/>
  <c r="H71" i="6"/>
  <c r="D71" i="6"/>
  <c r="G70" i="6"/>
  <c r="H70" i="6"/>
  <c r="D70" i="6"/>
  <c r="G69" i="6"/>
  <c r="H69" i="6"/>
  <c r="D69" i="6"/>
  <c r="G68" i="6"/>
  <c r="H68" i="6"/>
  <c r="D68" i="6"/>
  <c r="G67" i="6"/>
  <c r="H67" i="6"/>
  <c r="D67" i="6"/>
  <c r="G66" i="6"/>
  <c r="H66" i="6"/>
  <c r="D66" i="6"/>
  <c r="G65" i="6"/>
  <c r="H65" i="6"/>
  <c r="D65" i="6"/>
  <c r="G64" i="6"/>
  <c r="H64" i="6"/>
  <c r="D64" i="6"/>
  <c r="G63" i="6"/>
  <c r="H63" i="6"/>
  <c r="D63" i="6"/>
  <c r="G62" i="6"/>
  <c r="H62" i="6"/>
  <c r="D62" i="6"/>
  <c r="G61" i="6"/>
  <c r="H61" i="6"/>
  <c r="D61" i="6"/>
  <c r="G60" i="6"/>
  <c r="H60" i="6"/>
  <c r="D60" i="6"/>
  <c r="G59" i="6"/>
  <c r="H59" i="6"/>
  <c r="D59" i="6"/>
  <c r="G58" i="6"/>
  <c r="H58" i="6"/>
  <c r="D58" i="6"/>
  <c r="G57" i="6"/>
  <c r="H57" i="6"/>
  <c r="D57" i="6"/>
  <c r="G56" i="6"/>
  <c r="H56" i="6"/>
  <c r="D56" i="6"/>
  <c r="G55" i="6"/>
  <c r="H55" i="6"/>
  <c r="D55" i="6"/>
  <c r="G54" i="6"/>
  <c r="H54" i="6"/>
  <c r="D54" i="6"/>
  <c r="G53" i="6"/>
  <c r="H53" i="6"/>
  <c r="D53" i="6"/>
  <c r="G52" i="6"/>
  <c r="H52" i="6"/>
  <c r="D52" i="6"/>
  <c r="G51" i="6"/>
  <c r="H51" i="6"/>
  <c r="D51" i="6"/>
  <c r="G50" i="6"/>
  <c r="H50" i="6"/>
  <c r="D50" i="6"/>
  <c r="G49" i="6"/>
  <c r="H49" i="6"/>
  <c r="D49" i="6"/>
  <c r="G48" i="6"/>
  <c r="H48" i="6"/>
  <c r="D48" i="6"/>
  <c r="G47" i="6"/>
  <c r="H47" i="6"/>
  <c r="D47" i="6"/>
  <c r="G46" i="6"/>
  <c r="H46" i="6"/>
  <c r="D46" i="6"/>
  <c r="G45" i="6"/>
  <c r="H45" i="6"/>
  <c r="D45" i="6"/>
  <c r="G44" i="6"/>
  <c r="H44" i="6"/>
  <c r="D44" i="6"/>
  <c r="G43" i="6"/>
  <c r="H43" i="6"/>
  <c r="D43" i="6"/>
  <c r="G42" i="6"/>
  <c r="H42" i="6"/>
  <c r="D42" i="6"/>
  <c r="G41" i="6"/>
  <c r="H41" i="6"/>
  <c r="D41" i="6"/>
  <c r="G40" i="6"/>
  <c r="H40" i="6"/>
  <c r="D40" i="6"/>
  <c r="G39" i="6"/>
  <c r="H39" i="6"/>
  <c r="D39" i="6"/>
  <c r="G38" i="6"/>
  <c r="H38" i="6"/>
  <c r="D38" i="6"/>
  <c r="G37" i="6"/>
  <c r="H37" i="6"/>
  <c r="D37" i="6"/>
  <c r="G36" i="6"/>
  <c r="H36" i="6"/>
  <c r="D36" i="6"/>
  <c r="G35" i="6"/>
  <c r="H35" i="6"/>
  <c r="D35" i="6"/>
  <c r="H34" i="6"/>
  <c r="G34" i="6"/>
  <c r="D34" i="6"/>
  <c r="G33" i="6"/>
  <c r="H33" i="6"/>
  <c r="D33" i="6"/>
  <c r="G32" i="6"/>
  <c r="H32" i="6"/>
  <c r="D32" i="6"/>
  <c r="G31" i="6"/>
  <c r="H31" i="6"/>
  <c r="D31" i="6"/>
  <c r="G30" i="6"/>
  <c r="H30" i="6"/>
  <c r="D30" i="6"/>
  <c r="G29" i="6"/>
  <c r="H29" i="6"/>
  <c r="D29" i="6"/>
  <c r="G28" i="6"/>
  <c r="H28" i="6"/>
  <c r="D28" i="6"/>
  <c r="H27" i="6"/>
  <c r="G27" i="6"/>
  <c r="D27" i="6"/>
  <c r="G26" i="6"/>
  <c r="H26" i="6"/>
  <c r="D26" i="6"/>
  <c r="G25" i="6"/>
  <c r="H25" i="6"/>
  <c r="D25" i="6"/>
  <c r="H24" i="6"/>
  <c r="G24" i="6"/>
  <c r="D24" i="6"/>
  <c r="G23" i="6"/>
  <c r="H23" i="6"/>
  <c r="D23" i="6"/>
  <c r="G22" i="6"/>
  <c r="H22" i="6"/>
  <c r="D22" i="6"/>
  <c r="G21" i="6"/>
  <c r="H21" i="6"/>
  <c r="D21" i="6"/>
  <c r="G20" i="6"/>
  <c r="H20" i="6"/>
  <c r="D20" i="6"/>
  <c r="G19" i="6"/>
  <c r="H19" i="6"/>
  <c r="D19" i="6"/>
  <c r="H18" i="6"/>
  <c r="G18" i="6"/>
  <c r="D18" i="6"/>
  <c r="G17" i="6"/>
  <c r="H17" i="6"/>
  <c r="D17" i="6"/>
  <c r="G16" i="6"/>
  <c r="H16" i="6"/>
  <c r="D16" i="6"/>
  <c r="G15" i="6"/>
  <c r="H15" i="6"/>
  <c r="D15" i="6"/>
  <c r="G14" i="6"/>
  <c r="H14" i="6"/>
  <c r="D14" i="6"/>
  <c r="G13" i="6"/>
  <c r="H13" i="6"/>
  <c r="D13" i="6"/>
  <c r="G12" i="6"/>
  <c r="H12" i="6"/>
  <c r="D12" i="6"/>
  <c r="H11" i="6"/>
  <c r="G11" i="6"/>
  <c r="D11" i="6"/>
  <c r="G10" i="6"/>
  <c r="H10" i="6"/>
  <c r="D10" i="6"/>
  <c r="G9" i="6"/>
  <c r="H9" i="6"/>
  <c r="D9" i="6"/>
  <c r="H8" i="6"/>
  <c r="G8" i="6"/>
  <c r="D8" i="6"/>
  <c r="G7" i="6"/>
  <c r="H7" i="6"/>
  <c r="D7" i="6"/>
  <c r="G6" i="6"/>
  <c r="H6" i="6"/>
  <c r="D6" i="6"/>
  <c r="G5" i="6"/>
  <c r="H5" i="6"/>
  <c r="D5" i="6"/>
  <c r="G4" i="6"/>
  <c r="H4" i="6"/>
  <c r="D4" i="6"/>
  <c r="D83" i="6"/>
  <c r="H83" i="6"/>
  <c r="H82" i="6"/>
  <c r="D82" i="6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2" i="25"/>
  <c r="B158" i="19"/>
  <c r="B158" i="2" s="1"/>
  <c r="G157" i="19"/>
  <c r="B157" i="19" s="1"/>
  <c r="B157" i="2" s="1"/>
  <c r="G155" i="19"/>
  <c r="G154" i="19"/>
  <c r="B154" i="19" s="1"/>
  <c r="B154" i="2" s="1"/>
  <c r="G152" i="19"/>
  <c r="G151" i="19"/>
  <c r="G150" i="19"/>
  <c r="B150" i="19" s="1"/>
  <c r="B150" i="2" s="1"/>
  <c r="G149" i="19"/>
  <c r="B149" i="19" s="1"/>
  <c r="B149" i="2" s="1"/>
  <c r="G146" i="19"/>
  <c r="B146" i="19" s="1"/>
  <c r="B146" i="2" s="1"/>
  <c r="G145" i="19"/>
  <c r="B145" i="19" s="1"/>
  <c r="B145" i="2" s="1"/>
  <c r="G144" i="19"/>
  <c r="B144" i="19" s="1"/>
  <c r="B144" i="2" s="1"/>
  <c r="G143" i="19"/>
  <c r="B143" i="19" s="1"/>
  <c r="B143" i="2" s="1"/>
  <c r="G142" i="19"/>
  <c r="G141" i="19"/>
  <c r="G140" i="19"/>
  <c r="G139" i="19"/>
  <c r="B139" i="19" s="1"/>
  <c r="B139" i="2" s="1"/>
  <c r="G136" i="19"/>
  <c r="G133" i="19"/>
  <c r="G132" i="19"/>
  <c r="B132" i="19" s="1"/>
  <c r="B132" i="2" s="1"/>
  <c r="G131" i="19"/>
  <c r="B131" i="19" s="1"/>
  <c r="B131" i="2" s="1"/>
  <c r="G130" i="19"/>
  <c r="G129" i="19"/>
  <c r="G128" i="19"/>
  <c r="G125" i="19"/>
  <c r="B125" i="19" s="1"/>
  <c r="B125" i="2" s="1"/>
  <c r="G124" i="19"/>
  <c r="B124" i="19" s="1"/>
  <c r="B124" i="2" s="1"/>
  <c r="G123" i="19"/>
  <c r="G122" i="19"/>
  <c r="B122" i="19" s="1"/>
  <c r="B122" i="2" s="1"/>
  <c r="G121" i="19"/>
  <c r="B121" i="19" s="1"/>
  <c r="B121" i="2" s="1"/>
  <c r="G120" i="19"/>
  <c r="G118" i="19"/>
  <c r="G117" i="19"/>
  <c r="B117" i="19" s="1"/>
  <c r="B117" i="2" s="1"/>
  <c r="G116" i="19"/>
  <c r="B116" i="19" s="1"/>
  <c r="B116" i="2" s="1"/>
  <c r="G115" i="19"/>
  <c r="B115" i="19" s="1"/>
  <c r="B115" i="2" s="1"/>
  <c r="G114" i="19"/>
  <c r="B114" i="19" s="1"/>
  <c r="B114" i="2" s="1"/>
  <c r="G113" i="19"/>
  <c r="B113" i="19" s="1"/>
  <c r="B113" i="2" s="1"/>
  <c r="G112" i="19"/>
  <c r="B112" i="19" s="1"/>
  <c r="B112" i="2" s="1"/>
  <c r="G111" i="19"/>
  <c r="G110" i="19"/>
  <c r="G109" i="19"/>
  <c r="B109" i="19" s="1"/>
  <c r="B109" i="2" s="1"/>
  <c r="G107" i="19"/>
  <c r="B107" i="19" s="1"/>
  <c r="B107" i="2" s="1"/>
  <c r="G106" i="19"/>
  <c r="B106" i="19" s="1"/>
  <c r="B106" i="2" s="1"/>
  <c r="G105" i="19"/>
  <c r="G104" i="19"/>
  <c r="B104" i="19" s="1"/>
  <c r="B104" i="2" s="1"/>
  <c r="G103" i="19"/>
  <c r="B103" i="19" s="1"/>
  <c r="B103" i="2" s="1"/>
  <c r="G102" i="19"/>
  <c r="G101" i="19"/>
  <c r="G100" i="19"/>
  <c r="G99" i="19"/>
  <c r="B99" i="19" s="1"/>
  <c r="G98" i="19"/>
  <c r="B98" i="19" s="1"/>
  <c r="B98" i="2" s="1"/>
  <c r="G97" i="19"/>
  <c r="B97" i="19" s="1"/>
  <c r="B97" i="2" s="1"/>
  <c r="G96" i="19"/>
  <c r="B96" i="19" s="1"/>
  <c r="B96" i="2" s="1"/>
  <c r="G95" i="19"/>
  <c r="B95" i="19" s="1"/>
  <c r="B95" i="2" s="1"/>
  <c r="G94" i="19"/>
  <c r="G93" i="19"/>
  <c r="G92" i="19"/>
  <c r="B92" i="19" s="1"/>
  <c r="B92" i="2" s="1"/>
  <c r="G91" i="19"/>
  <c r="G90" i="19"/>
  <c r="B90" i="19" s="1"/>
  <c r="B90" i="2" s="1"/>
  <c r="G89" i="19"/>
  <c r="B89" i="19" s="1"/>
  <c r="G87" i="19"/>
  <c r="B87" i="19" s="1"/>
  <c r="B87" i="2" s="1"/>
  <c r="G86" i="19"/>
  <c r="B86" i="19" s="1"/>
  <c r="B86" i="2" s="1"/>
  <c r="G85" i="19"/>
  <c r="B85" i="19" s="1"/>
  <c r="B85" i="2" s="1"/>
  <c r="G84" i="19"/>
  <c r="B84" i="19" s="1"/>
  <c r="B84" i="2" s="1"/>
  <c r="G83" i="19"/>
  <c r="G82" i="19"/>
  <c r="B82" i="19" s="1"/>
  <c r="B82" i="2" s="1"/>
  <c r="G80" i="19"/>
  <c r="B80" i="19" s="1"/>
  <c r="B80" i="2" s="1"/>
  <c r="G78" i="19"/>
  <c r="B78" i="19" s="1"/>
  <c r="B78" i="2" s="1"/>
  <c r="G77" i="19"/>
  <c r="B77" i="19" s="1"/>
  <c r="B77" i="2" s="1"/>
  <c r="G76" i="19"/>
  <c r="B76" i="19" s="1"/>
  <c r="B76" i="2" s="1"/>
  <c r="G74" i="19"/>
  <c r="G73" i="19"/>
  <c r="B73" i="19" s="1"/>
  <c r="B73" i="2" s="1"/>
  <c r="G72" i="19"/>
  <c r="G71" i="19"/>
  <c r="B71" i="19" s="1"/>
  <c r="B71" i="2" s="1"/>
  <c r="G69" i="19"/>
  <c r="B69" i="19" s="1"/>
  <c r="B69" i="2" s="1"/>
  <c r="G68" i="19"/>
  <c r="B68" i="19" s="1"/>
  <c r="B68" i="2" s="1"/>
  <c r="G67" i="19"/>
  <c r="B67" i="19" s="1"/>
  <c r="B67" i="2" s="1"/>
  <c r="G66" i="19"/>
  <c r="B66" i="19" s="1"/>
  <c r="B66" i="2" s="1"/>
  <c r="G65" i="19"/>
  <c r="G64" i="19"/>
  <c r="B64" i="19" s="1"/>
  <c r="B64" i="2" s="1"/>
  <c r="G63" i="19"/>
  <c r="B63" i="19" s="1"/>
  <c r="B63" i="2" s="1"/>
  <c r="G62" i="19"/>
  <c r="B62" i="19" s="1"/>
  <c r="B62" i="2" s="1"/>
  <c r="G60" i="19"/>
  <c r="B60" i="19" s="1"/>
  <c r="B60" i="2" s="1"/>
  <c r="G59" i="19"/>
  <c r="G58" i="19"/>
  <c r="B58" i="19" s="1"/>
  <c r="B58" i="2" s="1"/>
  <c r="G57" i="19"/>
  <c r="B57" i="19" s="1"/>
  <c r="B57" i="2" s="1"/>
  <c r="G56" i="19"/>
  <c r="G55" i="19"/>
  <c r="B55" i="19" s="1"/>
  <c r="B55" i="2" s="1"/>
  <c r="G54" i="19"/>
  <c r="B54" i="19" s="1"/>
  <c r="B54" i="2" s="1"/>
  <c r="G53" i="19"/>
  <c r="B53" i="19" s="1"/>
  <c r="B53" i="2" s="1"/>
  <c r="G52" i="19"/>
  <c r="B52" i="19" s="1"/>
  <c r="B52" i="2" s="1"/>
  <c r="G51" i="19"/>
  <c r="B51" i="19" s="1"/>
  <c r="B51" i="2" s="1"/>
  <c r="G50" i="19"/>
  <c r="B50" i="19" s="1"/>
  <c r="B50" i="2" s="1"/>
  <c r="G49" i="19"/>
  <c r="B49" i="19" s="1"/>
  <c r="B49" i="2" s="1"/>
  <c r="G48" i="19"/>
  <c r="B48" i="19" s="1"/>
  <c r="B48" i="2" s="1"/>
  <c r="G47" i="19"/>
  <c r="G46" i="19"/>
  <c r="B46" i="19" s="1"/>
  <c r="B46" i="2" s="1"/>
  <c r="G45" i="19"/>
  <c r="B45" i="19" s="1"/>
  <c r="B45" i="2" s="1"/>
  <c r="G44" i="19"/>
  <c r="B44" i="19" s="1"/>
  <c r="B44" i="2" s="1"/>
  <c r="G43" i="19"/>
  <c r="B43" i="19" s="1"/>
  <c r="B43" i="2" s="1"/>
  <c r="G41" i="19"/>
  <c r="B41" i="19" s="1"/>
  <c r="B41" i="2" s="1"/>
  <c r="G40" i="19"/>
  <c r="B40" i="19" s="1"/>
  <c r="B40" i="2" s="1"/>
  <c r="G38" i="19"/>
  <c r="G34" i="19"/>
  <c r="B34" i="19" s="1"/>
  <c r="B34" i="2" s="1"/>
  <c r="G33" i="19"/>
  <c r="G32" i="19"/>
  <c r="B32" i="19" s="1"/>
  <c r="B32" i="2" s="1"/>
  <c r="G31" i="19"/>
  <c r="B31" i="19" s="1"/>
  <c r="B31" i="2" s="1"/>
  <c r="G30" i="19"/>
  <c r="B30" i="19" s="1"/>
  <c r="G29" i="19"/>
  <c r="B29" i="19" s="1"/>
  <c r="B29" i="2" s="1"/>
  <c r="G28" i="19"/>
  <c r="B28" i="19" s="1"/>
  <c r="B28" i="2" s="1"/>
  <c r="G26" i="19"/>
  <c r="B26" i="19" s="1"/>
  <c r="G25" i="19"/>
  <c r="B25" i="19" s="1"/>
  <c r="B25" i="2" s="1"/>
  <c r="G24" i="19"/>
  <c r="G23" i="19"/>
  <c r="B23" i="19" s="1"/>
  <c r="B23" i="2" s="1"/>
  <c r="G22" i="19"/>
  <c r="B22" i="19" s="1"/>
  <c r="B22" i="2" s="1"/>
  <c r="G21" i="19"/>
  <c r="B21" i="19" s="1"/>
  <c r="B21" i="2" s="1"/>
  <c r="G20" i="19"/>
  <c r="B20" i="19" s="1"/>
  <c r="B20" i="2" s="1"/>
  <c r="G19" i="19"/>
  <c r="B19" i="19" s="1"/>
  <c r="B19" i="2" s="1"/>
  <c r="G18" i="19"/>
  <c r="G17" i="19"/>
  <c r="B17" i="19" s="1"/>
  <c r="B17" i="2" s="1"/>
  <c r="G16" i="19"/>
  <c r="G15" i="19"/>
  <c r="B15" i="19" s="1"/>
  <c r="B15" i="2" s="1"/>
  <c r="G14" i="19"/>
  <c r="B14" i="19" s="1"/>
  <c r="B14" i="2" s="1"/>
  <c r="G13" i="19"/>
  <c r="B13" i="19" s="1"/>
  <c r="B13" i="2" s="1"/>
  <c r="G12" i="19"/>
  <c r="B12" i="19" s="1"/>
  <c r="B12" i="2" s="1"/>
  <c r="G11" i="19"/>
  <c r="B11" i="19" s="1"/>
  <c r="B11" i="2" s="1"/>
  <c r="G10" i="19"/>
  <c r="G9" i="19"/>
  <c r="B9" i="19" s="1"/>
  <c r="B9" i="2" s="1"/>
  <c r="G8" i="19"/>
  <c r="B8" i="19" s="1"/>
  <c r="B8" i="2" s="1"/>
  <c r="G6" i="19"/>
  <c r="B6" i="19" s="1"/>
  <c r="B6" i="2" s="1"/>
  <c r="G5" i="19"/>
  <c r="B5" i="19" s="1"/>
  <c r="B5" i="2" s="1"/>
  <c r="G4" i="19"/>
  <c r="B4" i="19" s="1"/>
  <c r="B4" i="2" s="1"/>
  <c r="G3" i="19"/>
  <c r="B3" i="19" s="1"/>
  <c r="B3" i="2" s="1"/>
  <c r="F158" i="19"/>
  <c r="F157" i="19"/>
  <c r="F156" i="19"/>
  <c r="F155" i="19"/>
  <c r="F154" i="19"/>
  <c r="F153" i="19"/>
  <c r="F152" i="19"/>
  <c r="F151" i="19"/>
  <c r="F150" i="19"/>
  <c r="F149" i="19"/>
  <c r="F147" i="19"/>
  <c r="F146" i="19"/>
  <c r="F145" i="19"/>
  <c r="C145" i="19" s="1"/>
  <c r="F144" i="19"/>
  <c r="F143" i="19"/>
  <c r="F142" i="19"/>
  <c r="F141" i="19"/>
  <c r="C141" i="19" s="1"/>
  <c r="F139" i="19"/>
  <c r="F138" i="19"/>
  <c r="F137" i="19"/>
  <c r="F136" i="19"/>
  <c r="F135" i="19"/>
  <c r="F134" i="19"/>
  <c r="F133" i="19"/>
  <c r="F132" i="19"/>
  <c r="F131" i="19"/>
  <c r="F130" i="19"/>
  <c r="F129" i="19"/>
  <c r="C129" i="19" s="1"/>
  <c r="F128" i="19"/>
  <c r="F127" i="19"/>
  <c r="F126" i="19"/>
  <c r="F125" i="19"/>
  <c r="F124" i="19"/>
  <c r="F123" i="19"/>
  <c r="F122" i="19"/>
  <c r="C122" i="19" s="1"/>
  <c r="C122" i="2" s="1"/>
  <c r="F121" i="19"/>
  <c r="C121" i="19" s="1"/>
  <c r="C121" i="2" s="1"/>
  <c r="F120" i="19"/>
  <c r="C120" i="19" s="1"/>
  <c r="F118" i="19"/>
  <c r="F117" i="19"/>
  <c r="F116" i="19"/>
  <c r="F115" i="19"/>
  <c r="F114" i="19"/>
  <c r="C114" i="19" s="1"/>
  <c r="C114" i="2" s="1"/>
  <c r="F113" i="19"/>
  <c r="C113" i="19" s="1"/>
  <c r="C113" i="2" s="1"/>
  <c r="F112" i="19"/>
  <c r="C112" i="19" s="1"/>
  <c r="C112" i="2" s="1"/>
  <c r="C112" i="3" s="1"/>
  <c r="F111" i="19"/>
  <c r="C111" i="19" s="1"/>
  <c r="F110" i="19"/>
  <c r="F109" i="19"/>
  <c r="F108" i="19"/>
  <c r="F107" i="19"/>
  <c r="C107" i="19" s="1"/>
  <c r="F106" i="19"/>
  <c r="C106" i="19" s="1"/>
  <c r="C106" i="2" s="1"/>
  <c r="F105" i="19"/>
  <c r="C105" i="19" s="1"/>
  <c r="C105" i="2" s="1"/>
  <c r="F104" i="19"/>
  <c r="C104" i="19" s="1"/>
  <c r="C104" i="2" s="1"/>
  <c r="F103" i="19"/>
  <c r="C103" i="19" s="1"/>
  <c r="C103" i="2" s="1"/>
  <c r="B103" i="5" s="1"/>
  <c r="F102" i="19"/>
  <c r="F101" i="19"/>
  <c r="F100" i="19"/>
  <c r="F98" i="19"/>
  <c r="C98" i="19" s="1"/>
  <c r="C98" i="2" s="1"/>
  <c r="F97" i="19"/>
  <c r="C97" i="19" s="1"/>
  <c r="C97" i="2" s="1"/>
  <c r="F96" i="19"/>
  <c r="F95" i="19"/>
  <c r="C95" i="19" s="1"/>
  <c r="C95" i="2" s="1"/>
  <c r="F94" i="19"/>
  <c r="C94" i="19" s="1"/>
  <c r="C94" i="2" s="1"/>
  <c r="B94" i="5" s="1"/>
  <c r="F93" i="19"/>
  <c r="F92" i="19"/>
  <c r="F91" i="19"/>
  <c r="C91" i="19" s="1"/>
  <c r="C91" i="2" s="1"/>
  <c r="B91" i="5" s="1"/>
  <c r="F90" i="19"/>
  <c r="C90" i="19" s="1"/>
  <c r="C90" i="2" s="1"/>
  <c r="F87" i="19"/>
  <c r="F86" i="19"/>
  <c r="C86" i="19" s="1"/>
  <c r="C86" i="2" s="1"/>
  <c r="F85" i="19"/>
  <c r="C85" i="19" s="1"/>
  <c r="C85" i="2" s="1"/>
  <c r="F84" i="19"/>
  <c r="C84" i="19" s="1"/>
  <c r="C84" i="2" s="1"/>
  <c r="C90" i="1" s="1"/>
  <c r="D90" i="1" s="1"/>
  <c r="F83" i="19"/>
  <c r="C83" i="19" s="1"/>
  <c r="C83" i="2" s="1"/>
  <c r="B83" i="5" s="1"/>
  <c r="F82" i="19"/>
  <c r="F81" i="19"/>
  <c r="F80" i="19"/>
  <c r="F79" i="19"/>
  <c r="F78" i="19"/>
  <c r="C78" i="19" s="1"/>
  <c r="C78" i="2" s="1"/>
  <c r="F77" i="19"/>
  <c r="C77" i="19" s="1"/>
  <c r="C77" i="2" s="1"/>
  <c r="F76" i="19"/>
  <c r="F75" i="19"/>
  <c r="C75" i="19" s="1"/>
  <c r="C75" i="2" s="1"/>
  <c r="F74" i="19"/>
  <c r="F73" i="19"/>
  <c r="F72" i="19"/>
  <c r="C72" i="19" s="1"/>
  <c r="F71" i="19"/>
  <c r="F70" i="19"/>
  <c r="C70" i="19" s="1"/>
  <c r="C70" i="2" s="1"/>
  <c r="F69" i="19"/>
  <c r="C69" i="19" s="1"/>
  <c r="C69" i="2" s="1"/>
  <c r="F68" i="19"/>
  <c r="F67" i="19"/>
  <c r="C67" i="19" s="1"/>
  <c r="C67" i="2" s="1"/>
  <c r="C67" i="3" s="1"/>
  <c r="F66" i="19"/>
  <c r="F65" i="19"/>
  <c r="F64" i="19"/>
  <c r="F62" i="19"/>
  <c r="C62" i="19" s="1"/>
  <c r="C62" i="2" s="1"/>
  <c r="C61" i="19"/>
  <c r="C61" i="2" s="1"/>
  <c r="F60" i="19"/>
  <c r="F59" i="19"/>
  <c r="C59" i="19" s="1"/>
  <c r="C59" i="2" s="1"/>
  <c r="C65" i="1" s="1"/>
  <c r="F58" i="19"/>
  <c r="C58" i="19" s="1"/>
  <c r="C58" i="2" s="1"/>
  <c r="B58" i="5" s="1"/>
  <c r="F57" i="19"/>
  <c r="F56" i="19"/>
  <c r="C56" i="19" s="1"/>
  <c r="C56" i="2" s="1"/>
  <c r="F55" i="19"/>
  <c r="C55" i="19" s="1"/>
  <c r="C55" i="2" s="1"/>
  <c r="C55" i="3" s="1"/>
  <c r="F54" i="19"/>
  <c r="C54" i="19" s="1"/>
  <c r="C54" i="2" s="1"/>
  <c r="F53" i="19"/>
  <c r="C53" i="19" s="1"/>
  <c r="C53" i="2" s="1"/>
  <c r="F52" i="19"/>
  <c r="F51" i="19"/>
  <c r="C51" i="19" s="1"/>
  <c r="F50" i="19"/>
  <c r="C50" i="19" s="1"/>
  <c r="C50" i="2" s="1"/>
  <c r="C50" i="3" s="1"/>
  <c r="F49" i="19"/>
  <c r="F48" i="19"/>
  <c r="F47" i="19"/>
  <c r="C47" i="19" s="1"/>
  <c r="F46" i="19"/>
  <c r="C46" i="19" s="1"/>
  <c r="C46" i="2" s="1"/>
  <c r="F45" i="19"/>
  <c r="C45" i="19" s="1"/>
  <c r="C45" i="2" s="1"/>
  <c r="F44" i="19"/>
  <c r="F43" i="19"/>
  <c r="C43" i="19" s="1"/>
  <c r="C43" i="2" s="1"/>
  <c r="C43" i="3" s="1"/>
  <c r="F41" i="19"/>
  <c r="F40" i="19"/>
  <c r="F39" i="19"/>
  <c r="F38" i="19"/>
  <c r="C38" i="19" s="1"/>
  <c r="C38" i="2" s="1"/>
  <c r="F34" i="19"/>
  <c r="C34" i="19" s="1"/>
  <c r="C34" i="2" s="1"/>
  <c r="F33" i="19"/>
  <c r="C33" i="19" s="1"/>
  <c r="C33" i="2" s="1"/>
  <c r="F32" i="19"/>
  <c r="C32" i="19" s="1"/>
  <c r="C32" i="2" s="1"/>
  <c r="F31" i="19"/>
  <c r="C31" i="19" s="1"/>
  <c r="F29" i="19"/>
  <c r="C29" i="19" s="1"/>
  <c r="C29" i="2" s="1"/>
  <c r="C35" i="1" s="1"/>
  <c r="F28" i="19"/>
  <c r="F27" i="19"/>
  <c r="C27" i="19" s="1"/>
  <c r="C27" i="2" s="1"/>
  <c r="F25" i="19"/>
  <c r="C25" i="19" s="1"/>
  <c r="C25" i="2" s="1"/>
  <c r="F24" i="19"/>
  <c r="F23" i="19"/>
  <c r="F22" i="19"/>
  <c r="C22" i="19" s="1"/>
  <c r="C22" i="2" s="1"/>
  <c r="F21" i="19"/>
  <c r="C21" i="19" s="1"/>
  <c r="C21" i="2" s="1"/>
  <c r="B21" i="5" s="1"/>
  <c r="F20" i="19"/>
  <c r="F19" i="19"/>
  <c r="F18" i="19"/>
  <c r="F17" i="19"/>
  <c r="C17" i="19" s="1"/>
  <c r="C17" i="2" s="1"/>
  <c r="F16" i="19"/>
  <c r="F15" i="19"/>
  <c r="C15" i="19" s="1"/>
  <c r="F14" i="19"/>
  <c r="C14" i="19" s="1"/>
  <c r="C14" i="2" s="1"/>
  <c r="F13" i="19"/>
  <c r="F12" i="19"/>
  <c r="F11" i="19"/>
  <c r="F10" i="19"/>
  <c r="F9" i="19"/>
  <c r="C9" i="19" s="1"/>
  <c r="C9" i="2" s="1"/>
  <c r="F7" i="19"/>
  <c r="F6" i="19"/>
  <c r="C6" i="19" s="1"/>
  <c r="C6" i="2" s="1"/>
  <c r="F5" i="19"/>
  <c r="C5" i="19" s="1"/>
  <c r="C5" i="2" s="1"/>
  <c r="F3" i="19"/>
  <c r="F2" i="19"/>
  <c r="B137" i="10"/>
  <c r="I124" i="10" s="1"/>
  <c r="J77" i="5"/>
  <c r="J45" i="5"/>
  <c r="B50" i="3"/>
  <c r="B49" i="3"/>
  <c r="B48" i="3"/>
  <c r="B42" i="3"/>
  <c r="B41" i="3"/>
  <c r="B40" i="3"/>
  <c r="B33" i="3"/>
  <c r="B32" i="3"/>
  <c r="B31" i="3"/>
  <c r="B30" i="3"/>
  <c r="B25" i="3"/>
  <c r="B24" i="3"/>
  <c r="B23" i="3"/>
  <c r="B22" i="3"/>
  <c r="B17" i="3"/>
  <c r="B16" i="3"/>
  <c r="B15" i="3"/>
  <c r="B14" i="3"/>
  <c r="B9" i="3"/>
  <c r="B8" i="3"/>
  <c r="B7" i="3"/>
  <c r="B6" i="3"/>
  <c r="B3" i="9"/>
  <c r="C158" i="19"/>
  <c r="C157" i="19"/>
  <c r="C156" i="19"/>
  <c r="B156" i="19"/>
  <c r="B156" i="2" s="1"/>
  <c r="C153" i="19"/>
  <c r="B153" i="19"/>
  <c r="C152" i="19"/>
  <c r="B152" i="19"/>
  <c r="B152" i="2" s="1"/>
  <c r="C151" i="19"/>
  <c r="B151" i="19"/>
  <c r="B151" i="2" s="1"/>
  <c r="C150" i="19"/>
  <c r="C149" i="19"/>
  <c r="C148" i="19"/>
  <c r="B148" i="19"/>
  <c r="C147" i="19"/>
  <c r="B147" i="19"/>
  <c r="B147" i="2" s="1"/>
  <c r="C146" i="19"/>
  <c r="C144" i="19"/>
  <c r="C143" i="19"/>
  <c r="C142" i="19"/>
  <c r="B142" i="19"/>
  <c r="B142" i="2" s="1"/>
  <c r="B141" i="19"/>
  <c r="B141" i="2" s="1"/>
  <c r="C140" i="19"/>
  <c r="B140" i="19"/>
  <c r="C139" i="19"/>
  <c r="C139" i="2" s="1"/>
  <c r="B139" i="5" s="1"/>
  <c r="C138" i="19"/>
  <c r="B138" i="19"/>
  <c r="C137" i="19"/>
  <c r="B137" i="19"/>
  <c r="C136" i="19"/>
  <c r="B136" i="19"/>
  <c r="B136" i="2" s="1"/>
  <c r="C135" i="19"/>
  <c r="C135" i="2" s="1"/>
  <c r="C135" i="3" s="1"/>
  <c r="B135" i="19"/>
  <c r="B135" i="2" s="1"/>
  <c r="C134" i="19"/>
  <c r="B134" i="19"/>
  <c r="C133" i="19"/>
  <c r="B133" i="19"/>
  <c r="B133" i="2" s="1"/>
  <c r="C132" i="19"/>
  <c r="C131" i="19"/>
  <c r="C131" i="2" s="1"/>
  <c r="B131" i="5" s="1"/>
  <c r="C130" i="19"/>
  <c r="B130" i="19"/>
  <c r="B130" i="2" s="1"/>
  <c r="B129" i="19"/>
  <c r="C128" i="19"/>
  <c r="B128" i="19"/>
  <c r="B128" i="2" s="1"/>
  <c r="C127" i="19"/>
  <c r="C127" i="2" s="1"/>
  <c r="B127" i="5" s="1"/>
  <c r="B127" i="19"/>
  <c r="B127" i="2" s="1"/>
  <c r="C126" i="19"/>
  <c r="B126" i="19"/>
  <c r="C125" i="19"/>
  <c r="C124" i="19"/>
  <c r="C123" i="19"/>
  <c r="C123" i="2" s="1"/>
  <c r="C123" i="3" s="1"/>
  <c r="B123" i="19"/>
  <c r="B123" i="2" s="1"/>
  <c r="B120" i="19"/>
  <c r="C119" i="19"/>
  <c r="B119" i="19"/>
  <c r="C118" i="19"/>
  <c r="C118" i="2" s="1"/>
  <c r="C118" i="3" s="1"/>
  <c r="B118" i="19"/>
  <c r="B118" i="2" s="1"/>
  <c r="C117" i="19"/>
  <c r="C116" i="19"/>
  <c r="C115" i="19"/>
  <c r="B111" i="19"/>
  <c r="C110" i="19"/>
  <c r="B110" i="19"/>
  <c r="C109" i="19"/>
  <c r="C109" i="2" s="1"/>
  <c r="C108" i="19"/>
  <c r="B108" i="19"/>
  <c r="B105" i="19"/>
  <c r="B105" i="2" s="1"/>
  <c r="C102" i="19"/>
  <c r="B102" i="19"/>
  <c r="B102" i="2" s="1"/>
  <c r="C101" i="19"/>
  <c r="B101" i="19"/>
  <c r="B101" i="2" s="1"/>
  <c r="C100" i="19"/>
  <c r="B100" i="19"/>
  <c r="B100" i="2" s="1"/>
  <c r="C99" i="19"/>
  <c r="C96" i="19"/>
  <c r="C96" i="2" s="1"/>
  <c r="C102" i="1" s="1"/>
  <c r="B94" i="19"/>
  <c r="B94" i="2" s="1"/>
  <c r="C93" i="19"/>
  <c r="B93" i="19"/>
  <c r="C92" i="19"/>
  <c r="C92" i="2" s="1"/>
  <c r="B91" i="19"/>
  <c r="B91" i="2" s="1"/>
  <c r="C89" i="19"/>
  <c r="C88" i="19"/>
  <c r="C88" i="2" s="1"/>
  <c r="C88" i="3" s="1"/>
  <c r="B88" i="19"/>
  <c r="B88" i="2" s="1"/>
  <c r="C87" i="19"/>
  <c r="C87" i="2" s="1"/>
  <c r="B87" i="5" s="1"/>
  <c r="B83" i="19"/>
  <c r="C82" i="19"/>
  <c r="C81" i="19"/>
  <c r="B81" i="19"/>
  <c r="B81" i="2" s="1"/>
  <c r="C80" i="19"/>
  <c r="C79" i="19"/>
  <c r="B79" i="19"/>
  <c r="C76" i="19"/>
  <c r="C76" i="2" s="1"/>
  <c r="C76" i="3" s="1"/>
  <c r="B75" i="19"/>
  <c r="B75" i="2" s="1"/>
  <c r="C74" i="19"/>
  <c r="C74" i="2" s="1"/>
  <c r="B74" i="19"/>
  <c r="B74" i="2" s="1"/>
  <c r="C73" i="19"/>
  <c r="B72" i="19"/>
  <c r="B72" i="2" s="1"/>
  <c r="C71" i="19"/>
  <c r="C71" i="2" s="1"/>
  <c r="B71" i="5" s="1"/>
  <c r="B70" i="19"/>
  <c r="C68" i="19"/>
  <c r="C68" i="2" s="1"/>
  <c r="C74" i="1" s="1"/>
  <c r="C66" i="19"/>
  <c r="C65" i="19"/>
  <c r="B65" i="19"/>
  <c r="B65" i="2" s="1"/>
  <c r="C64" i="19"/>
  <c r="C64" i="2" s="1"/>
  <c r="C63" i="19"/>
  <c r="B61" i="19"/>
  <c r="C60" i="19"/>
  <c r="B59" i="19"/>
  <c r="B59" i="2" s="1"/>
  <c r="C57" i="19"/>
  <c r="B56" i="19"/>
  <c r="B56" i="2" s="1"/>
  <c r="C52" i="19"/>
  <c r="C49" i="19"/>
  <c r="C48" i="19"/>
  <c r="B47" i="19"/>
  <c r="B47" i="2" s="1"/>
  <c r="C44" i="19"/>
  <c r="C42" i="19"/>
  <c r="B42" i="19"/>
  <c r="C41" i="19"/>
  <c r="C40" i="19"/>
  <c r="C40" i="2" s="1"/>
  <c r="C40" i="3" s="1"/>
  <c r="C39" i="19"/>
  <c r="C39" i="2" s="1"/>
  <c r="B39" i="19"/>
  <c r="B38" i="19"/>
  <c r="B38" i="2" s="1"/>
  <c r="C37" i="19"/>
  <c r="B37" i="19"/>
  <c r="C36" i="19"/>
  <c r="B36" i="19"/>
  <c r="C35" i="19"/>
  <c r="C35" i="2" s="1"/>
  <c r="B35" i="19"/>
  <c r="B35" i="2" s="1"/>
  <c r="B33" i="19"/>
  <c r="C30" i="19"/>
  <c r="C28" i="19"/>
  <c r="B27" i="19"/>
  <c r="C26" i="19"/>
  <c r="C24" i="19"/>
  <c r="C24" i="2" s="1"/>
  <c r="C30" i="1" s="1"/>
  <c r="B24" i="19"/>
  <c r="B24" i="2" s="1"/>
  <c r="C23" i="19"/>
  <c r="C20" i="19"/>
  <c r="C19" i="19"/>
  <c r="C19" i="2" s="1"/>
  <c r="C18" i="19"/>
  <c r="B18" i="19"/>
  <c r="C16" i="19"/>
  <c r="B16" i="19"/>
  <c r="B16" i="2" s="1"/>
  <c r="C13" i="19"/>
  <c r="C13" i="2" s="1"/>
  <c r="C19" i="1" s="1"/>
  <c r="C12" i="19"/>
  <c r="C11" i="19"/>
  <c r="C10" i="19"/>
  <c r="B10" i="19"/>
  <c r="B10" i="2" s="1"/>
  <c r="C8" i="19"/>
  <c r="C7" i="19"/>
  <c r="B7" i="19"/>
  <c r="C4" i="19"/>
  <c r="C3" i="19"/>
  <c r="C3" i="2" s="1"/>
  <c r="C9" i="1" s="1"/>
  <c r="C2" i="19"/>
  <c r="C2" i="2" s="1"/>
  <c r="B2" i="19"/>
  <c r="B155" i="19"/>
  <c r="C155" i="19"/>
  <c r="C155" i="2" s="1"/>
  <c r="B155" i="5" s="1"/>
  <c r="C154" i="19"/>
  <c r="C154" i="2" s="1"/>
  <c r="C158" i="24"/>
  <c r="C157" i="24"/>
  <c r="D140" i="24"/>
  <c r="C140" i="24" s="1"/>
  <c r="D136" i="24"/>
  <c r="C136" i="24" s="1"/>
  <c r="D129" i="24"/>
  <c r="C129" i="24" s="1"/>
  <c r="D93" i="24"/>
  <c r="C93" i="24" s="1"/>
  <c r="D90" i="24"/>
  <c r="C90" i="24" s="1"/>
  <c r="D67" i="24"/>
  <c r="C67" i="24" s="1"/>
  <c r="J41" i="23"/>
  <c r="D156" i="5"/>
  <c r="D155" i="5"/>
  <c r="D151" i="5"/>
  <c r="D149" i="5"/>
  <c r="D148" i="5"/>
  <c r="D145" i="5"/>
  <c r="D144" i="5"/>
  <c r="D142" i="5"/>
  <c r="D140" i="5"/>
  <c r="D137" i="5"/>
  <c r="D136" i="5"/>
  <c r="D135" i="5"/>
  <c r="D134" i="5"/>
  <c r="D133" i="5"/>
  <c r="D130" i="5"/>
  <c r="D127" i="5"/>
  <c r="D126" i="5"/>
  <c r="D119" i="5"/>
  <c r="D113" i="5"/>
  <c r="D112" i="5"/>
  <c r="D106" i="5"/>
  <c r="D102" i="5"/>
  <c r="D101" i="5"/>
  <c r="D99" i="5"/>
  <c r="D98" i="5"/>
  <c r="D97" i="5"/>
  <c r="D96" i="5"/>
  <c r="D94" i="5"/>
  <c r="D93" i="5"/>
  <c r="D92" i="5"/>
  <c r="D91" i="5"/>
  <c r="D89" i="5"/>
  <c r="D88" i="5"/>
  <c r="D87" i="5"/>
  <c r="D85" i="5"/>
  <c r="D84" i="5"/>
  <c r="D82" i="5"/>
  <c r="D81" i="5"/>
  <c r="D76" i="5"/>
  <c r="D75" i="5"/>
  <c r="D73" i="5"/>
  <c r="D70" i="5"/>
  <c r="D62" i="5"/>
  <c r="D61" i="5"/>
  <c r="D60" i="5"/>
  <c r="D58" i="5"/>
  <c r="D56" i="5"/>
  <c r="D55" i="5"/>
  <c r="D52" i="5"/>
  <c r="D51" i="5"/>
  <c r="D46" i="5"/>
  <c r="D42" i="5"/>
  <c r="D41" i="5"/>
  <c r="D39" i="5"/>
  <c r="D37" i="5"/>
  <c r="D36" i="5"/>
  <c r="D35" i="5"/>
  <c r="D31" i="5"/>
  <c r="D30" i="5"/>
  <c r="D27" i="5"/>
  <c r="D26" i="5"/>
  <c r="D23" i="5"/>
  <c r="D22" i="5"/>
  <c r="D21" i="5"/>
  <c r="D20" i="5"/>
  <c r="D19" i="5"/>
  <c r="D18" i="5"/>
  <c r="D16" i="5"/>
  <c r="D15" i="5"/>
  <c r="D14" i="5"/>
  <c r="D12" i="5"/>
  <c r="D11" i="5"/>
  <c r="D8" i="5"/>
  <c r="D7" i="5"/>
  <c r="D4" i="5"/>
  <c r="D3" i="5"/>
  <c r="A82" i="19"/>
  <c r="B79" i="24"/>
  <c r="K25" i="1"/>
  <c r="J27" i="1"/>
  <c r="J28" i="1"/>
  <c r="J29" i="1"/>
  <c r="H82" i="3"/>
  <c r="D82" i="3"/>
  <c r="C82" i="2"/>
  <c r="C88" i="1" s="1"/>
  <c r="A82" i="2"/>
  <c r="A82" i="3" s="1"/>
  <c r="I82" i="3" s="1"/>
  <c r="J109" i="5"/>
  <c r="J107" i="5"/>
  <c r="J106" i="5"/>
  <c r="J105" i="5"/>
  <c r="J104" i="5"/>
  <c r="J103" i="5"/>
  <c r="J102" i="5"/>
  <c r="J101" i="5"/>
  <c r="J100" i="5"/>
  <c r="J99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6" i="5"/>
  <c r="J75" i="5"/>
  <c r="J74" i="5"/>
  <c r="J73" i="5"/>
  <c r="J72" i="5"/>
  <c r="J71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8" i="5"/>
  <c r="J47" i="5"/>
  <c r="J46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D84" i="6"/>
  <c r="H84" i="6"/>
  <c r="B32" i="10"/>
  <c r="D156" i="3"/>
  <c r="D155" i="3"/>
  <c r="D151" i="3"/>
  <c r="D149" i="3"/>
  <c r="D148" i="3"/>
  <c r="D145" i="3"/>
  <c r="D144" i="3"/>
  <c r="D142" i="3"/>
  <c r="D141" i="3"/>
  <c r="D140" i="3"/>
  <c r="D137" i="3"/>
  <c r="D136" i="3"/>
  <c r="D135" i="3"/>
  <c r="D134" i="3"/>
  <c r="D133" i="3"/>
  <c r="D130" i="3"/>
  <c r="D127" i="3"/>
  <c r="D126" i="3"/>
  <c r="D119" i="3"/>
  <c r="D113" i="3"/>
  <c r="D112" i="3"/>
  <c r="D106" i="3"/>
  <c r="D102" i="3"/>
  <c r="D101" i="3"/>
  <c r="D99" i="3"/>
  <c r="D98" i="3"/>
  <c r="D97" i="3"/>
  <c r="D96" i="3"/>
  <c r="D94" i="3"/>
  <c r="D93" i="3"/>
  <c r="D92" i="3"/>
  <c r="D91" i="3"/>
  <c r="D89" i="3"/>
  <c r="D88" i="3"/>
  <c r="D87" i="3"/>
  <c r="D85" i="3"/>
  <c r="D84" i="3"/>
  <c r="D81" i="3"/>
  <c r="D76" i="3"/>
  <c r="D75" i="3"/>
  <c r="D73" i="3"/>
  <c r="D70" i="3"/>
  <c r="D62" i="3"/>
  <c r="D61" i="3"/>
  <c r="D60" i="3"/>
  <c r="D58" i="3"/>
  <c r="D56" i="3"/>
  <c r="D55" i="3"/>
  <c r="D52" i="3"/>
  <c r="D51" i="3"/>
  <c r="D46" i="3"/>
  <c r="D42" i="3"/>
  <c r="D41" i="3"/>
  <c r="D39" i="3"/>
  <c r="D37" i="3"/>
  <c r="D36" i="3"/>
  <c r="D35" i="3"/>
  <c r="D31" i="3"/>
  <c r="D30" i="3"/>
  <c r="D27" i="3"/>
  <c r="D26" i="3"/>
  <c r="D23" i="3"/>
  <c r="D22" i="3"/>
  <c r="D21" i="3"/>
  <c r="D20" i="3"/>
  <c r="D19" i="3"/>
  <c r="D18" i="3"/>
  <c r="D16" i="3"/>
  <c r="D15" i="3"/>
  <c r="D14" i="3"/>
  <c r="D12" i="3"/>
  <c r="D11" i="3"/>
  <c r="D8" i="3"/>
  <c r="D7" i="3"/>
  <c r="D4" i="3"/>
  <c r="D3" i="3"/>
  <c r="I537" i="26"/>
  <c r="I536" i="26"/>
  <c r="I535" i="26"/>
  <c r="I534" i="26"/>
  <c r="I533" i="26"/>
  <c r="I532" i="26"/>
  <c r="I531" i="26"/>
  <c r="I530" i="26"/>
  <c r="I529" i="26"/>
  <c r="I528" i="26"/>
  <c r="I527" i="26"/>
  <c r="I526" i="26"/>
  <c r="I525" i="26"/>
  <c r="I524" i="26"/>
  <c r="I523" i="26"/>
  <c r="I522" i="26"/>
  <c r="I521" i="26"/>
  <c r="I520" i="26"/>
  <c r="I519" i="26"/>
  <c r="I518" i="26"/>
  <c r="I517" i="26"/>
  <c r="I516" i="26"/>
  <c r="I515" i="26"/>
  <c r="I514" i="26"/>
  <c r="I513" i="26"/>
  <c r="I512" i="26"/>
  <c r="I511" i="26"/>
  <c r="I510" i="26"/>
  <c r="I509" i="26"/>
  <c r="I508" i="26"/>
  <c r="I507" i="26"/>
  <c r="I506" i="26"/>
  <c r="I505" i="26"/>
  <c r="I504" i="26"/>
  <c r="I503" i="26"/>
  <c r="I502" i="26"/>
  <c r="I501" i="26"/>
  <c r="I500" i="26"/>
  <c r="I499" i="26"/>
  <c r="I498" i="26"/>
  <c r="I497" i="26"/>
  <c r="I496" i="26"/>
  <c r="I495" i="26"/>
  <c r="I494" i="26"/>
  <c r="I493" i="26"/>
  <c r="I492" i="26"/>
  <c r="I491" i="26"/>
  <c r="I490" i="26"/>
  <c r="I489" i="26"/>
  <c r="I488" i="26"/>
  <c r="I487" i="26"/>
  <c r="I486" i="26"/>
  <c r="I485" i="26"/>
  <c r="I484" i="26"/>
  <c r="I483" i="26"/>
  <c r="I482" i="26"/>
  <c r="I481" i="26"/>
  <c r="I480" i="26"/>
  <c r="I479" i="26"/>
  <c r="I478" i="26"/>
  <c r="I477" i="26"/>
  <c r="I476" i="26"/>
  <c r="I475" i="26"/>
  <c r="I474" i="26"/>
  <c r="I473" i="26"/>
  <c r="I472" i="26"/>
  <c r="I471" i="26"/>
  <c r="I470" i="26"/>
  <c r="I469" i="26"/>
  <c r="I468" i="26"/>
  <c r="I467" i="26"/>
  <c r="I466" i="26"/>
  <c r="I465" i="26"/>
  <c r="I464" i="26"/>
  <c r="I463" i="26"/>
  <c r="I462" i="26"/>
  <c r="I461" i="26"/>
  <c r="I460" i="26"/>
  <c r="I459" i="26"/>
  <c r="I458" i="26"/>
  <c r="I457" i="26"/>
  <c r="I456" i="26"/>
  <c r="I455" i="26"/>
  <c r="I454" i="26"/>
  <c r="I453" i="26"/>
  <c r="I452" i="26"/>
  <c r="I451" i="26"/>
  <c r="I450" i="26"/>
  <c r="I449" i="26"/>
  <c r="I448" i="26"/>
  <c r="I447" i="26"/>
  <c r="I446" i="26"/>
  <c r="I445" i="26"/>
  <c r="I444" i="26"/>
  <c r="I443" i="26"/>
  <c r="I442" i="26"/>
  <c r="I441" i="26"/>
  <c r="I440" i="26"/>
  <c r="I439" i="26"/>
  <c r="I438" i="26"/>
  <c r="I437" i="26"/>
  <c r="I436" i="26"/>
  <c r="I435" i="26"/>
  <c r="I434" i="26"/>
  <c r="I433" i="26"/>
  <c r="I432" i="26"/>
  <c r="I431" i="26"/>
  <c r="I430" i="26"/>
  <c r="I429" i="26"/>
  <c r="I428" i="26"/>
  <c r="I427" i="26"/>
  <c r="I426" i="26"/>
  <c r="I425" i="26"/>
  <c r="I424" i="26"/>
  <c r="I423" i="26"/>
  <c r="I422" i="26"/>
  <c r="I421" i="26"/>
  <c r="I420" i="26"/>
  <c r="I419" i="26"/>
  <c r="I418" i="26"/>
  <c r="I417" i="26"/>
  <c r="I416" i="26"/>
  <c r="I415" i="26"/>
  <c r="I414" i="26"/>
  <c r="I413" i="26"/>
  <c r="I412" i="26"/>
  <c r="I411" i="26"/>
  <c r="I410" i="26"/>
  <c r="I409" i="26"/>
  <c r="I408" i="26"/>
  <c r="I407" i="26"/>
  <c r="I406" i="26"/>
  <c r="I405" i="26"/>
  <c r="I404" i="26"/>
  <c r="I403" i="26"/>
  <c r="I402" i="26"/>
  <c r="I401" i="26"/>
  <c r="I400" i="26"/>
  <c r="I399" i="26"/>
  <c r="I398" i="26"/>
  <c r="I397" i="26"/>
  <c r="I396" i="26"/>
  <c r="I395" i="26"/>
  <c r="I394" i="26"/>
  <c r="I393" i="26"/>
  <c r="I392" i="26"/>
  <c r="I391" i="26"/>
  <c r="I390" i="26"/>
  <c r="I389" i="26"/>
  <c r="I388" i="26"/>
  <c r="I387" i="26"/>
  <c r="I386" i="26"/>
  <c r="I385" i="26"/>
  <c r="I384" i="26"/>
  <c r="I383" i="26"/>
  <c r="I382" i="26"/>
  <c r="I381" i="26"/>
  <c r="I380" i="26"/>
  <c r="I379" i="26"/>
  <c r="I378" i="26"/>
  <c r="I377" i="26"/>
  <c r="I376" i="26"/>
  <c r="I375" i="26"/>
  <c r="I374" i="26"/>
  <c r="I373" i="26"/>
  <c r="I372" i="26"/>
  <c r="I371" i="26"/>
  <c r="I370" i="26"/>
  <c r="I369" i="26"/>
  <c r="I368" i="26"/>
  <c r="I367" i="26"/>
  <c r="I366" i="26"/>
  <c r="I365" i="26"/>
  <c r="I364" i="26"/>
  <c r="I363" i="26"/>
  <c r="I362" i="26"/>
  <c r="I361" i="26"/>
  <c r="I360" i="26"/>
  <c r="I359" i="26"/>
  <c r="I358" i="26"/>
  <c r="I357" i="26"/>
  <c r="I356" i="26"/>
  <c r="I355" i="26"/>
  <c r="I354" i="26"/>
  <c r="I353" i="26"/>
  <c r="I352" i="26"/>
  <c r="I351" i="26"/>
  <c r="I350" i="26"/>
  <c r="I349" i="26"/>
  <c r="I348" i="26"/>
  <c r="I347" i="26"/>
  <c r="I346" i="26"/>
  <c r="I345" i="26"/>
  <c r="I344" i="26"/>
  <c r="I343" i="26"/>
  <c r="I342" i="26"/>
  <c r="I341" i="26"/>
  <c r="I340" i="26"/>
  <c r="I339" i="26"/>
  <c r="I338" i="26"/>
  <c r="I337" i="26"/>
  <c r="I336" i="26"/>
  <c r="I335" i="26"/>
  <c r="I334" i="26"/>
  <c r="I333" i="26"/>
  <c r="I332" i="26"/>
  <c r="I331" i="26"/>
  <c r="I330" i="26"/>
  <c r="I329" i="26"/>
  <c r="I328" i="26"/>
  <c r="I327" i="26"/>
  <c r="I326" i="26"/>
  <c r="I325" i="26"/>
  <c r="I324" i="26"/>
  <c r="I323" i="26"/>
  <c r="I322" i="26"/>
  <c r="I321" i="26"/>
  <c r="I320" i="26"/>
  <c r="I319" i="26"/>
  <c r="I318" i="26"/>
  <c r="I317" i="26"/>
  <c r="I316" i="26"/>
  <c r="I315" i="26"/>
  <c r="I314" i="26"/>
  <c r="I313" i="26"/>
  <c r="I312" i="26"/>
  <c r="I311" i="26"/>
  <c r="I310" i="26"/>
  <c r="I309" i="26"/>
  <c r="I308" i="26"/>
  <c r="I307" i="26"/>
  <c r="I306" i="26"/>
  <c r="I305" i="26"/>
  <c r="I304" i="26"/>
  <c r="I303" i="26"/>
  <c r="I302" i="26"/>
  <c r="I301" i="26"/>
  <c r="I300" i="26"/>
  <c r="I299" i="26"/>
  <c r="I298" i="26"/>
  <c r="I297" i="26"/>
  <c r="I296" i="26"/>
  <c r="I295" i="26"/>
  <c r="I294" i="26"/>
  <c r="I293" i="26"/>
  <c r="I292" i="26"/>
  <c r="I291" i="26"/>
  <c r="I290" i="26"/>
  <c r="I289" i="26"/>
  <c r="I288" i="26"/>
  <c r="I287" i="26"/>
  <c r="I286" i="26"/>
  <c r="I285" i="26"/>
  <c r="I284" i="26"/>
  <c r="I283" i="26"/>
  <c r="I282" i="26"/>
  <c r="I281" i="26"/>
  <c r="I280" i="26"/>
  <c r="I279" i="26"/>
  <c r="I278" i="26"/>
  <c r="I277" i="26"/>
  <c r="I276" i="26"/>
  <c r="I275" i="26"/>
  <c r="I274" i="26"/>
  <c r="I273" i="26"/>
  <c r="I272" i="26"/>
  <c r="I271" i="26"/>
  <c r="I270" i="26"/>
  <c r="I269" i="26"/>
  <c r="I268" i="26"/>
  <c r="I267" i="26"/>
  <c r="I266" i="26"/>
  <c r="I265" i="26"/>
  <c r="I264" i="26"/>
  <c r="I263" i="26"/>
  <c r="I262" i="26"/>
  <c r="I261" i="26"/>
  <c r="I260" i="26"/>
  <c r="I259" i="26"/>
  <c r="I258" i="26"/>
  <c r="I257" i="26"/>
  <c r="I256" i="26"/>
  <c r="I255" i="26"/>
  <c r="I254" i="26"/>
  <c r="I253" i="26"/>
  <c r="I252" i="26"/>
  <c r="I251" i="26"/>
  <c r="I250" i="26"/>
  <c r="I249" i="26"/>
  <c r="I248" i="26"/>
  <c r="I247" i="26"/>
  <c r="I246" i="26"/>
  <c r="I245" i="26"/>
  <c r="I244" i="26"/>
  <c r="I243" i="26"/>
  <c r="I242" i="26"/>
  <c r="I241" i="26"/>
  <c r="I240" i="26"/>
  <c r="I239" i="26"/>
  <c r="I238" i="26"/>
  <c r="I237" i="26"/>
  <c r="I236" i="26"/>
  <c r="I235" i="26"/>
  <c r="I234" i="26"/>
  <c r="I233" i="26"/>
  <c r="I232" i="26"/>
  <c r="I231" i="26"/>
  <c r="I230" i="26"/>
  <c r="I229" i="26"/>
  <c r="I228" i="26"/>
  <c r="I227" i="26"/>
  <c r="I226" i="26"/>
  <c r="I225" i="26"/>
  <c r="I224" i="26"/>
  <c r="I223" i="26"/>
  <c r="I222" i="26"/>
  <c r="I221" i="26"/>
  <c r="I220" i="26"/>
  <c r="I219" i="26"/>
  <c r="I218" i="26"/>
  <c r="I217" i="26"/>
  <c r="I216" i="26"/>
  <c r="I215" i="26"/>
  <c r="I214" i="26"/>
  <c r="I213" i="26"/>
  <c r="I212" i="26"/>
  <c r="I211" i="26"/>
  <c r="I210" i="26"/>
  <c r="I209" i="26"/>
  <c r="I208" i="26"/>
  <c r="I207" i="26"/>
  <c r="I206" i="26"/>
  <c r="I205" i="26"/>
  <c r="I204" i="26"/>
  <c r="I203" i="26"/>
  <c r="I202" i="26"/>
  <c r="I201" i="26"/>
  <c r="I200" i="26"/>
  <c r="I199" i="26"/>
  <c r="I198" i="26"/>
  <c r="I197" i="26"/>
  <c r="I196" i="26"/>
  <c r="I195" i="26"/>
  <c r="I194" i="26"/>
  <c r="I193" i="26"/>
  <c r="I192" i="26"/>
  <c r="I191" i="26"/>
  <c r="I190" i="26"/>
  <c r="I189" i="26"/>
  <c r="I188" i="26"/>
  <c r="I187" i="26"/>
  <c r="I186" i="26"/>
  <c r="I185" i="26"/>
  <c r="I184" i="26"/>
  <c r="I183" i="26"/>
  <c r="I182" i="26"/>
  <c r="I181" i="26"/>
  <c r="I180" i="26"/>
  <c r="I179" i="26"/>
  <c r="I178" i="26"/>
  <c r="I177" i="26"/>
  <c r="I176" i="26"/>
  <c r="I175" i="26"/>
  <c r="I174" i="26"/>
  <c r="I173" i="26"/>
  <c r="I172" i="26"/>
  <c r="I171" i="26"/>
  <c r="I170" i="26"/>
  <c r="I169" i="26"/>
  <c r="I168" i="26"/>
  <c r="I167" i="26"/>
  <c r="I166" i="26"/>
  <c r="I165" i="26"/>
  <c r="I164" i="26"/>
  <c r="I163" i="26"/>
  <c r="I162" i="26"/>
  <c r="I161" i="26"/>
  <c r="I160" i="26"/>
  <c r="I159" i="26"/>
  <c r="I158" i="26"/>
  <c r="I157" i="26"/>
  <c r="I156" i="26"/>
  <c r="I155" i="26"/>
  <c r="I154" i="26"/>
  <c r="I153" i="26"/>
  <c r="I152" i="26"/>
  <c r="I151" i="26"/>
  <c r="I150" i="26"/>
  <c r="I149" i="26"/>
  <c r="I148" i="26"/>
  <c r="I147" i="26"/>
  <c r="I146" i="26"/>
  <c r="I145" i="26"/>
  <c r="I144" i="26"/>
  <c r="I143" i="26"/>
  <c r="I142" i="26"/>
  <c r="I141" i="26"/>
  <c r="I140" i="26"/>
  <c r="I139" i="26"/>
  <c r="I138" i="26"/>
  <c r="I137" i="26"/>
  <c r="I136" i="26"/>
  <c r="I135" i="26"/>
  <c r="I134" i="26"/>
  <c r="I133" i="26"/>
  <c r="I132" i="26"/>
  <c r="I131" i="26"/>
  <c r="I130" i="26"/>
  <c r="I129" i="26"/>
  <c r="I128" i="26"/>
  <c r="I127" i="26"/>
  <c r="I126" i="26"/>
  <c r="I125" i="26"/>
  <c r="I124" i="26"/>
  <c r="I123" i="26"/>
  <c r="I122" i="26"/>
  <c r="I121" i="26"/>
  <c r="I120" i="26"/>
  <c r="I119" i="26"/>
  <c r="I118" i="26"/>
  <c r="I117" i="26"/>
  <c r="I116" i="26"/>
  <c r="I115" i="26"/>
  <c r="I114" i="26"/>
  <c r="I113" i="26"/>
  <c r="I112" i="26"/>
  <c r="I111" i="26"/>
  <c r="I110" i="26"/>
  <c r="I109" i="26"/>
  <c r="I108" i="26"/>
  <c r="I107" i="26"/>
  <c r="I106" i="26"/>
  <c r="I105" i="26"/>
  <c r="I104" i="26"/>
  <c r="I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D193" i="10"/>
  <c r="C193" i="10"/>
  <c r="D192" i="10"/>
  <c r="C192" i="10"/>
  <c r="B186" i="1"/>
  <c r="B185" i="1"/>
  <c r="B181" i="1"/>
  <c r="B177" i="1"/>
  <c r="B169" i="1"/>
  <c r="F105" i="23"/>
  <c r="B156" i="3"/>
  <c r="B140" i="3"/>
  <c r="B137" i="3"/>
  <c r="B135" i="3"/>
  <c r="B134" i="3"/>
  <c r="B126" i="3"/>
  <c r="B119" i="3"/>
  <c r="B99" i="3"/>
  <c r="B89" i="3"/>
  <c r="B79" i="3"/>
  <c r="B75" i="3"/>
  <c r="B61" i="3"/>
  <c r="B37" i="3"/>
  <c r="B1" i="3"/>
  <c r="B2" i="3"/>
  <c r="B53" i="3"/>
  <c r="B52" i="3"/>
  <c r="B51" i="3"/>
  <c r="B47" i="3"/>
  <c r="B46" i="3"/>
  <c r="B45" i="3"/>
  <c r="B44" i="3"/>
  <c r="B43" i="3"/>
  <c r="B39" i="3"/>
  <c r="B38" i="3"/>
  <c r="B36" i="3"/>
  <c r="B35" i="3"/>
  <c r="B34" i="3"/>
  <c r="B29" i="3"/>
  <c r="B28" i="3"/>
  <c r="B27" i="3"/>
  <c r="B26" i="3"/>
  <c r="B21" i="3"/>
  <c r="B20" i="3"/>
  <c r="B19" i="3"/>
  <c r="B18" i="3"/>
  <c r="B13" i="3"/>
  <c r="B12" i="3"/>
  <c r="B11" i="3"/>
  <c r="B10" i="3"/>
  <c r="B5" i="3"/>
  <c r="B4" i="3"/>
  <c r="B3" i="3"/>
  <c r="H106" i="3"/>
  <c r="A181" i="1"/>
  <c r="A106" i="2"/>
  <c r="B30" i="17"/>
  <c r="B20" i="17"/>
  <c r="B19" i="17"/>
  <c r="B123" i="10"/>
  <c r="I122" i="10" s="1"/>
  <c r="F143" i="23"/>
  <c r="F140" i="23"/>
  <c r="F133" i="23"/>
  <c r="F125" i="23"/>
  <c r="F98" i="23"/>
  <c r="F91" i="23"/>
  <c r="F87" i="23"/>
  <c r="F61" i="23"/>
  <c r="F37" i="23"/>
  <c r="F36" i="23"/>
  <c r="F30" i="23"/>
  <c r="F18" i="23"/>
  <c r="F4" i="23"/>
  <c r="F2" i="23"/>
  <c r="L3" i="23"/>
  <c r="H144" i="3"/>
  <c r="H141" i="3"/>
  <c r="H134" i="3"/>
  <c r="H126" i="3"/>
  <c r="H92" i="3"/>
  <c r="H41" i="3"/>
  <c r="H37" i="3"/>
  <c r="H30" i="3"/>
  <c r="H18" i="3"/>
  <c r="H2" i="3"/>
  <c r="A158" i="2"/>
  <c r="A158" i="3"/>
  <c r="I158" i="3"/>
  <c r="A157" i="2"/>
  <c r="A156" i="2"/>
  <c r="A155" i="2"/>
  <c r="A155" i="3" s="1"/>
  <c r="I155" i="3" s="1"/>
  <c r="A154" i="2"/>
  <c r="A160" i="1" s="1"/>
  <c r="A153" i="2"/>
  <c r="A153" i="5"/>
  <c r="A152" i="2"/>
  <c r="A152" i="5" s="1"/>
  <c r="D152" i="3" s="1"/>
  <c r="A151" i="2"/>
  <c r="A151" i="5" s="1"/>
  <c r="A150" i="2"/>
  <c r="A150" i="5" s="1"/>
  <c r="A149" i="2"/>
  <c r="A149" i="3" s="1"/>
  <c r="I149" i="3"/>
  <c r="A148" i="2"/>
  <c r="A147" i="2"/>
  <c r="A147" i="5" s="1"/>
  <c r="D147" i="3" s="1"/>
  <c r="A146" i="2"/>
  <c r="A146" i="3" s="1"/>
  <c r="I146" i="3" s="1"/>
  <c r="A145" i="2"/>
  <c r="A151" i="1" s="1"/>
  <c r="A144" i="2"/>
  <c r="A144" i="5"/>
  <c r="A143" i="2"/>
  <c r="A143" i="5" s="1"/>
  <c r="D143" i="3" s="1"/>
  <c r="A142" i="2"/>
  <c r="A142" i="5" s="1"/>
  <c r="A141" i="2"/>
  <c r="A141" i="3" s="1"/>
  <c r="I141" i="3" s="1"/>
  <c r="A140" i="2"/>
  <c r="A146" i="1" s="1"/>
  <c r="B146" i="1" s="1"/>
  <c r="A139" i="2"/>
  <c r="A139" i="3" s="1"/>
  <c r="I139" i="3" s="1"/>
  <c r="A138" i="2"/>
  <c r="A144" i="1" s="1"/>
  <c r="B144" i="1" s="1"/>
  <c r="A137" i="2"/>
  <c r="A137" i="3"/>
  <c r="I137" i="3" s="1"/>
  <c r="A136" i="2"/>
  <c r="A136" i="5" s="1"/>
  <c r="A135" i="2"/>
  <c r="A141" i="1" s="1"/>
  <c r="A134" i="23" s="1"/>
  <c r="A134" i="2"/>
  <c r="A134" i="5" s="1"/>
  <c r="A133" i="2"/>
  <c r="A133" i="3" s="1"/>
  <c r="I133" i="3"/>
  <c r="A132" i="2"/>
  <c r="A131" i="2"/>
  <c r="A131" i="5" s="1"/>
  <c r="A130" i="2"/>
  <c r="A130" i="3" s="1"/>
  <c r="I130" i="3" s="1"/>
  <c r="A129" i="2"/>
  <c r="A129" i="3" s="1"/>
  <c r="I129" i="3" s="1"/>
  <c r="A128" i="2"/>
  <c r="A128" i="5" s="1"/>
  <c r="D128" i="3" s="1"/>
  <c r="A127" i="2"/>
  <c r="A127" i="5" s="1"/>
  <c r="A126" i="2"/>
  <c r="A126" i="5" s="1"/>
  <c r="A125" i="2"/>
  <c r="A131" i="1" s="1"/>
  <c r="A124" i="2"/>
  <c r="A124" i="3" s="1"/>
  <c r="I124" i="3" s="1"/>
  <c r="A123" i="2"/>
  <c r="A123" i="3"/>
  <c r="I123" i="3"/>
  <c r="A122" i="2"/>
  <c r="A122" i="5"/>
  <c r="D122" i="3" s="1"/>
  <c r="A121" i="2"/>
  <c r="A121" i="3" s="1"/>
  <c r="I121" i="3" s="1"/>
  <c r="A120" i="2"/>
  <c r="A120" i="3"/>
  <c r="I120" i="3" s="1"/>
  <c r="A119" i="2"/>
  <c r="A119" i="5"/>
  <c r="A118" i="2"/>
  <c r="A118" i="3" s="1"/>
  <c r="I118" i="3" s="1"/>
  <c r="A117" i="2"/>
  <c r="A117" i="3" s="1"/>
  <c r="I117" i="3" s="1"/>
  <c r="A116" i="2"/>
  <c r="A115" i="2"/>
  <c r="A115" i="5" s="1"/>
  <c r="D115" i="3" s="1"/>
  <c r="A114" i="2"/>
  <c r="A120" i="1"/>
  <c r="A113" i="23"/>
  <c r="A113" i="2"/>
  <c r="A113" i="5" s="1"/>
  <c r="A112" i="2"/>
  <c r="A112" i="5" s="1"/>
  <c r="A111" i="2"/>
  <c r="A111" i="5" s="1"/>
  <c r="D111" i="3" s="1"/>
  <c r="A110" i="2"/>
  <c r="A116" i="1"/>
  <c r="A109" i="2"/>
  <c r="A109" i="3" s="1"/>
  <c r="I109" i="3"/>
  <c r="A108" i="2"/>
  <c r="A107" i="2"/>
  <c r="A107" i="3" s="1"/>
  <c r="I107" i="3" s="1"/>
  <c r="A105" i="2"/>
  <c r="A105" i="5" s="1"/>
  <c r="A104" i="2"/>
  <c r="A104" i="3"/>
  <c r="I104" i="3" s="1"/>
  <c r="A103" i="2"/>
  <c r="A103" i="5" s="1"/>
  <c r="D103" i="3" s="1"/>
  <c r="A102" i="2"/>
  <c r="A102" i="5"/>
  <c r="A101" i="2"/>
  <c r="A101" i="5" s="1"/>
  <c r="A100" i="2"/>
  <c r="A100" i="3" s="1"/>
  <c r="I100" i="3" s="1"/>
  <c r="A99" i="2"/>
  <c r="A99" i="5" s="1"/>
  <c r="A98" i="2"/>
  <c r="A98" i="5"/>
  <c r="A97" i="2"/>
  <c r="A97" i="5" s="1"/>
  <c r="A96" i="2"/>
  <c r="A96" i="5" s="1"/>
  <c r="A95" i="2"/>
  <c r="A101" i="1" s="1"/>
  <c r="A94" i="2"/>
  <c r="A94" i="3" s="1"/>
  <c r="I94" i="3" s="1"/>
  <c r="A100" i="1"/>
  <c r="A93" i="23" s="1"/>
  <c r="A93" i="2"/>
  <c r="A93" i="5" s="1"/>
  <c r="A92" i="2"/>
  <c r="A98" i="1" s="1"/>
  <c r="A91" i="23" s="1"/>
  <c r="A91" i="2"/>
  <c r="A90" i="2"/>
  <c r="A90" i="3" s="1"/>
  <c r="I90" i="3" s="1"/>
  <c r="A89" i="2"/>
  <c r="A95" i="1" s="1"/>
  <c r="A88" i="2"/>
  <c r="A88" i="3" s="1"/>
  <c r="I88" i="3" s="1"/>
  <c r="A87" i="2"/>
  <c r="A87" i="3" s="1"/>
  <c r="I87" i="3" s="1"/>
  <c r="A86" i="2"/>
  <c r="A86" i="3"/>
  <c r="I86" i="3" s="1"/>
  <c r="A85" i="2"/>
  <c r="A85" i="3"/>
  <c r="I85" i="3"/>
  <c r="A84" i="2"/>
  <c r="A84" i="3" s="1"/>
  <c r="I84" i="3" s="1"/>
  <c r="A83" i="2"/>
  <c r="A83" i="5" s="1"/>
  <c r="A81" i="2"/>
  <c r="A80" i="2"/>
  <c r="A80" i="3" s="1"/>
  <c r="I80" i="3" s="1"/>
  <c r="A79" i="2"/>
  <c r="A85" i="1" s="1"/>
  <c r="A79" i="23" s="1"/>
  <c r="A78" i="2"/>
  <c r="A78" i="3" s="1"/>
  <c r="I78" i="3" s="1"/>
  <c r="A77" i="2"/>
  <c r="A77" i="3"/>
  <c r="I77" i="3" s="1"/>
  <c r="A76" i="2"/>
  <c r="A76" i="3"/>
  <c r="I76" i="3" s="1"/>
  <c r="A75" i="2"/>
  <c r="A74" i="2"/>
  <c r="A74" i="3"/>
  <c r="I74" i="3" s="1"/>
  <c r="A73" i="2"/>
  <c r="A73" i="3"/>
  <c r="I73" i="3" s="1"/>
  <c r="A72" i="2"/>
  <c r="A72" i="3" s="1"/>
  <c r="I72" i="3" s="1"/>
  <c r="A71" i="2"/>
  <c r="A71" i="5" s="1"/>
  <c r="D71" i="3" s="1"/>
  <c r="A70" i="2"/>
  <c r="A70" i="3"/>
  <c r="I70" i="3" s="1"/>
  <c r="A69" i="2"/>
  <c r="A69" i="3" s="1"/>
  <c r="I69" i="3" s="1"/>
  <c r="A68" i="2"/>
  <c r="A68" i="3" s="1"/>
  <c r="I68" i="3" s="1"/>
  <c r="A67" i="2"/>
  <c r="A67" i="3" s="1"/>
  <c r="I67" i="3" s="1"/>
  <c r="A66" i="2"/>
  <c r="A65" i="2"/>
  <c r="A71" i="1" s="1"/>
  <c r="A64" i="2"/>
  <c r="A64" i="3" s="1"/>
  <c r="I64" i="3" s="1"/>
  <c r="A63" i="2"/>
  <c r="A69" i="1" s="1"/>
  <c r="B69" i="1" s="1"/>
  <c r="A62" i="2"/>
  <c r="A62" i="3" s="1"/>
  <c r="I62" i="3"/>
  <c r="A61" i="2"/>
  <c r="A61" i="3" s="1"/>
  <c r="I61" i="3" s="1"/>
  <c r="A60" i="2"/>
  <c r="A60" i="3"/>
  <c r="I60" i="3" s="1"/>
  <c r="A59" i="2"/>
  <c r="A65" i="1"/>
  <c r="A58" i="2"/>
  <c r="A58" i="3" s="1"/>
  <c r="I58" i="3" s="1"/>
  <c r="A57" i="2"/>
  <c r="A57" i="5" s="1"/>
  <c r="A56" i="2"/>
  <c r="A56" i="3" s="1"/>
  <c r="I56" i="3" s="1"/>
  <c r="A55" i="2"/>
  <c r="A55" i="3" s="1"/>
  <c r="I55" i="3" s="1"/>
  <c r="A54" i="2"/>
  <c r="A54" i="3"/>
  <c r="I54" i="3" s="1"/>
  <c r="A53" i="2"/>
  <c r="A53" i="3"/>
  <c r="I53" i="3"/>
  <c r="A52" i="2"/>
  <c r="A52" i="5" s="1"/>
  <c r="A51" i="2"/>
  <c r="A51" i="3"/>
  <c r="I51" i="3" s="1"/>
  <c r="A50" i="2"/>
  <c r="A50" i="3"/>
  <c r="I50" i="3" s="1"/>
  <c r="A49" i="2"/>
  <c r="A49" i="3" s="1"/>
  <c r="I49" i="3" s="1"/>
  <c r="A48" i="2"/>
  <c r="A48" i="3" s="1"/>
  <c r="I48" i="3" s="1"/>
  <c r="A47" i="2"/>
  <c r="A47" i="3"/>
  <c r="I47" i="3" s="1"/>
  <c r="A46" i="2"/>
  <c r="A46" i="3"/>
  <c r="I46" i="3"/>
  <c r="A45" i="2"/>
  <c r="A45" i="3" s="1"/>
  <c r="I45" i="3" s="1"/>
  <c r="A44" i="2"/>
  <c r="A44" i="3" s="1"/>
  <c r="I44" i="3" s="1"/>
  <c r="A43" i="2"/>
  <c r="A43" i="3" s="1"/>
  <c r="I43" i="3" s="1"/>
  <c r="A42" i="2"/>
  <c r="A42" i="3" s="1"/>
  <c r="I42" i="3" s="1"/>
  <c r="A41" i="2"/>
  <c r="A41" i="3" s="1"/>
  <c r="I41" i="3" s="1"/>
  <c r="A40" i="2"/>
  <c r="A40" i="3" s="1"/>
  <c r="I40" i="3" s="1"/>
  <c r="A39" i="2"/>
  <c r="A39" i="3" s="1"/>
  <c r="I39" i="3" s="1"/>
  <c r="A38" i="2"/>
  <c r="A37" i="2"/>
  <c r="A36" i="2"/>
  <c r="A36" i="3" s="1"/>
  <c r="I36" i="3" s="1"/>
  <c r="A35" i="2"/>
  <c r="A35" i="3" s="1"/>
  <c r="I35" i="3" s="1"/>
  <c r="A34" i="2"/>
  <c r="A34" i="3"/>
  <c r="I34" i="3"/>
  <c r="A33" i="2"/>
  <c r="A32" i="2"/>
  <c r="A32" i="3" s="1"/>
  <c r="I32" i="3" s="1"/>
  <c r="A31" i="2"/>
  <c r="A31" i="3" s="1"/>
  <c r="I31" i="3" s="1"/>
  <c r="A30" i="2"/>
  <c r="A30" i="3" s="1"/>
  <c r="I30" i="3" s="1"/>
  <c r="A29" i="2"/>
  <c r="A29" i="3" s="1"/>
  <c r="I29" i="3" s="1"/>
  <c r="A28" i="2"/>
  <c r="A28" i="3"/>
  <c r="I28" i="3" s="1"/>
  <c r="A27" i="2"/>
  <c r="A27" i="3" s="1"/>
  <c r="I27" i="3"/>
  <c r="A26" i="2"/>
  <c r="A26" i="3" s="1"/>
  <c r="I26" i="3" s="1"/>
  <c r="A25" i="2"/>
  <c r="A25" i="3"/>
  <c r="I25" i="3"/>
  <c r="A24" i="2"/>
  <c r="A24" i="3" s="1"/>
  <c r="I24" i="3" s="1"/>
  <c r="A23" i="2"/>
  <c r="A23" i="3" s="1"/>
  <c r="I23" i="3" s="1"/>
  <c r="A22" i="2"/>
  <c r="A22" i="3" s="1"/>
  <c r="I22" i="3" s="1"/>
  <c r="A21" i="2"/>
  <c r="A21" i="3"/>
  <c r="I21" i="3" s="1"/>
  <c r="A20" i="2"/>
  <c r="A26" i="1" s="1"/>
  <c r="A20" i="23" s="1"/>
  <c r="A20" i="3"/>
  <c r="I20" i="3" s="1"/>
  <c r="A19" i="2"/>
  <c r="A19" i="3" s="1"/>
  <c r="I19" i="3" s="1"/>
  <c r="A18" i="2"/>
  <c r="A18" i="3" s="1"/>
  <c r="I18" i="3" s="1"/>
  <c r="A17" i="2"/>
  <c r="A17" i="3" s="1"/>
  <c r="I17" i="3" s="1"/>
  <c r="A16" i="2"/>
  <c r="A16" i="3"/>
  <c r="I16" i="3"/>
  <c r="A15" i="2"/>
  <c r="A14" i="2"/>
  <c r="A14" i="5"/>
  <c r="A13" i="2"/>
  <c r="A13" i="3" s="1"/>
  <c r="I13" i="3" s="1"/>
  <c r="A12" i="2"/>
  <c r="A12" i="3" s="1"/>
  <c r="I12" i="3" s="1"/>
  <c r="A11" i="2"/>
  <c r="A11" i="3"/>
  <c r="I11" i="3"/>
  <c r="A10" i="2"/>
  <c r="A9" i="2"/>
  <c r="A9" i="3"/>
  <c r="I9" i="3" s="1"/>
  <c r="A8" i="2"/>
  <c r="A8" i="3" s="1"/>
  <c r="I8" i="3" s="1"/>
  <c r="A7" i="2"/>
  <c r="A7" i="3" s="1"/>
  <c r="I7" i="3" s="1"/>
  <c r="A6" i="2"/>
  <c r="A6" i="5" s="1"/>
  <c r="A5" i="2"/>
  <c r="A5" i="5" s="1"/>
  <c r="A4" i="2"/>
  <c r="A4" i="3" s="1"/>
  <c r="I4" i="3" s="1"/>
  <c r="A3" i="2"/>
  <c r="A3" i="3" s="1"/>
  <c r="I3" i="3" s="1"/>
  <c r="B155" i="2"/>
  <c r="B153" i="2"/>
  <c r="C152" i="2"/>
  <c r="B152" i="5" s="1"/>
  <c r="C151" i="2"/>
  <c r="C157" i="1" s="1"/>
  <c r="C150" i="2"/>
  <c r="C150" i="3" s="1"/>
  <c r="C149" i="2"/>
  <c r="B149" i="5" s="1"/>
  <c r="C148" i="2"/>
  <c r="B148" i="2"/>
  <c r="C147" i="2"/>
  <c r="B147" i="5" s="1"/>
  <c r="C146" i="2"/>
  <c r="C152" i="1" s="1"/>
  <c r="C145" i="2"/>
  <c r="B145" i="5" s="1"/>
  <c r="C144" i="2"/>
  <c r="C144" i="3" s="1"/>
  <c r="C143" i="2"/>
  <c r="B143" i="5" s="1"/>
  <c r="C142" i="2"/>
  <c r="C142" i="3" s="1"/>
  <c r="C141" i="2"/>
  <c r="C147" i="1" s="1"/>
  <c r="C140" i="2"/>
  <c r="C140" i="3" s="1"/>
  <c r="B140" i="2"/>
  <c r="C138" i="2"/>
  <c r="C138" i="3" s="1"/>
  <c r="B138" i="2"/>
  <c r="C137" i="2"/>
  <c r="B137" i="2"/>
  <c r="C136" i="2"/>
  <c r="C142" i="1" s="1"/>
  <c r="C134" i="2"/>
  <c r="C134" i="3" s="1"/>
  <c r="B134" i="2"/>
  <c r="C133" i="2"/>
  <c r="C139" i="1" s="1"/>
  <c r="C132" i="2"/>
  <c r="C132" i="3" s="1"/>
  <c r="C130" i="2"/>
  <c r="C136" i="1" s="1"/>
  <c r="C129" i="2"/>
  <c r="C129" i="3" s="1"/>
  <c r="B129" i="2"/>
  <c r="C128" i="2"/>
  <c r="C128" i="3" s="1"/>
  <c r="C126" i="2"/>
  <c r="C126" i="3" s="1"/>
  <c r="B126" i="2"/>
  <c r="C125" i="2"/>
  <c r="B125" i="5" s="1"/>
  <c r="C124" i="2"/>
  <c r="B124" i="5" s="1"/>
  <c r="C120" i="2"/>
  <c r="C126" i="1" s="1"/>
  <c r="B120" i="2"/>
  <c r="C119" i="2"/>
  <c r="C125" i="1" s="1"/>
  <c r="B119" i="2"/>
  <c r="C117" i="2"/>
  <c r="C117" i="3" s="1"/>
  <c r="C116" i="2"/>
  <c r="C116" i="3" s="1"/>
  <c r="C115" i="2"/>
  <c r="B115" i="5" s="1"/>
  <c r="C111" i="2"/>
  <c r="C117" i="1" s="1"/>
  <c r="B111" i="2"/>
  <c r="C110" i="2"/>
  <c r="C110" i="3" s="1"/>
  <c r="B110" i="2"/>
  <c r="C108" i="2"/>
  <c r="B108" i="5" s="1"/>
  <c r="B108" i="2"/>
  <c r="C107" i="2"/>
  <c r="C113" i="1" s="1"/>
  <c r="C102" i="2"/>
  <c r="C102" i="3" s="1"/>
  <c r="C101" i="2"/>
  <c r="C101" i="3" s="1"/>
  <c r="C100" i="2"/>
  <c r="C100" i="3" s="1"/>
  <c r="C93" i="2"/>
  <c r="C93" i="3" s="1"/>
  <c r="B93" i="2"/>
  <c r="B83" i="2"/>
  <c r="C81" i="2"/>
  <c r="C87" i="1" s="1"/>
  <c r="C80" i="2"/>
  <c r="C86" i="1" s="1"/>
  <c r="C79" i="2"/>
  <c r="B79" i="2"/>
  <c r="C73" i="2"/>
  <c r="C73" i="3" s="1"/>
  <c r="C72" i="2"/>
  <c r="C72" i="3" s="1"/>
  <c r="B70" i="2"/>
  <c r="C66" i="2"/>
  <c r="B66" i="5" s="1"/>
  <c r="C65" i="2"/>
  <c r="B65" i="5" s="1"/>
  <c r="C63" i="2"/>
  <c r="C63" i="3" s="1"/>
  <c r="B61" i="2"/>
  <c r="C60" i="2"/>
  <c r="C60" i="3" s="1"/>
  <c r="C57" i="2"/>
  <c r="C63" i="1" s="1"/>
  <c r="C52" i="2"/>
  <c r="C52" i="3" s="1"/>
  <c r="C51" i="2"/>
  <c r="C51" i="3" s="1"/>
  <c r="C49" i="2"/>
  <c r="B49" i="5" s="1"/>
  <c r="C48" i="2"/>
  <c r="C54" i="1" s="1"/>
  <c r="C47" i="2"/>
  <c r="B47" i="5" s="1"/>
  <c r="C44" i="2"/>
  <c r="B44" i="5" s="1"/>
  <c r="C42" i="2"/>
  <c r="C48" i="1" s="1"/>
  <c r="B42" i="2"/>
  <c r="C41" i="2"/>
  <c r="B41" i="5" s="1"/>
  <c r="B39" i="2"/>
  <c r="C36" i="2"/>
  <c r="B36" i="2"/>
  <c r="B33" i="2"/>
  <c r="C31" i="2"/>
  <c r="C37" i="1" s="1"/>
  <c r="C28" i="2"/>
  <c r="C28" i="3" s="1"/>
  <c r="B27" i="2"/>
  <c r="C23" i="2"/>
  <c r="B23" i="5" s="1"/>
  <c r="C20" i="2"/>
  <c r="C26" i="1" s="1"/>
  <c r="C18" i="2"/>
  <c r="B18" i="2"/>
  <c r="C16" i="2"/>
  <c r="C16" i="3" s="1"/>
  <c r="C15" i="2"/>
  <c r="C12" i="2"/>
  <c r="C18" i="1" s="1"/>
  <c r="C11" i="2"/>
  <c r="C17" i="1" s="1"/>
  <c r="C10" i="2"/>
  <c r="C10" i="3" s="1"/>
  <c r="C7" i="2"/>
  <c r="C7" i="3" s="1"/>
  <c r="B7" i="2"/>
  <c r="A99" i="3"/>
  <c r="I99" i="3"/>
  <c r="A124" i="5"/>
  <c r="D124" i="3" s="1"/>
  <c r="D187" i="10"/>
  <c r="B167" i="10"/>
  <c r="I160" i="10" s="1"/>
  <c r="B56" i="10"/>
  <c r="D191" i="10" s="1"/>
  <c r="B60" i="10"/>
  <c r="B75" i="10"/>
  <c r="F174" i="10" s="1"/>
  <c r="B95" i="10"/>
  <c r="I89" i="10" s="1"/>
  <c r="F177" i="10"/>
  <c r="B140" i="10"/>
  <c r="F178" i="10" s="1"/>
  <c r="D141" i="5"/>
  <c r="B2" i="2"/>
  <c r="B184" i="1"/>
  <c r="B183" i="1"/>
  <c r="B182" i="1"/>
  <c r="B180" i="1"/>
  <c r="B179" i="1"/>
  <c r="B178" i="1"/>
  <c r="B176" i="1"/>
  <c r="B175" i="1"/>
  <c r="B174" i="1"/>
  <c r="B173" i="1"/>
  <c r="B172" i="1"/>
  <c r="B171" i="1"/>
  <c r="B170" i="1"/>
  <c r="B168" i="1"/>
  <c r="B167" i="1"/>
  <c r="A186" i="1"/>
  <c r="A185" i="1"/>
  <c r="A184" i="1"/>
  <c r="A183" i="1"/>
  <c r="A182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K18" i="23"/>
  <c r="A64" i="1"/>
  <c r="A58" i="23" s="1"/>
  <c r="A27" i="5"/>
  <c r="A2" i="2"/>
  <c r="A8" i="1" s="1"/>
  <c r="B8" i="1" s="1"/>
  <c r="B74" i="24"/>
  <c r="D74" i="24"/>
  <c r="C74" i="24" s="1"/>
  <c r="B37" i="24"/>
  <c r="B19" i="24"/>
  <c r="D19" i="24" s="1"/>
  <c r="C19" i="24" s="1"/>
  <c r="H19" i="3" s="1"/>
  <c r="B2" i="24"/>
  <c r="B3" i="24"/>
  <c r="B4" i="24"/>
  <c r="B5" i="24"/>
  <c r="D5" i="24" s="1"/>
  <c r="C5" i="24" s="1"/>
  <c r="B6" i="24"/>
  <c r="D6" i="24" s="1"/>
  <c r="C6" i="24" s="1"/>
  <c r="F6" i="23" s="1"/>
  <c r="B7" i="24"/>
  <c r="D7" i="24" s="1"/>
  <c r="C7" i="24" s="1"/>
  <c r="B8" i="24"/>
  <c r="D8" i="24" s="1"/>
  <c r="C8" i="24" s="1"/>
  <c r="B9" i="24"/>
  <c r="D9" i="24" s="1"/>
  <c r="C9" i="24" s="1"/>
  <c r="B10" i="24"/>
  <c r="D10" i="24" s="1"/>
  <c r="C10" i="24" s="1"/>
  <c r="H10" i="3" s="1"/>
  <c r="B11" i="24"/>
  <c r="D11" i="24" s="1"/>
  <c r="C11" i="24" s="1"/>
  <c r="B12" i="24"/>
  <c r="D12" i="24"/>
  <c r="C12" i="24" s="1"/>
  <c r="F12" i="23" s="1"/>
  <c r="B13" i="24"/>
  <c r="D13" i="24" s="1"/>
  <c r="C13" i="24" s="1"/>
  <c r="B14" i="24"/>
  <c r="D14" i="24" s="1"/>
  <c r="C14" i="24" s="1"/>
  <c r="F14" i="23" s="1"/>
  <c r="B15" i="24"/>
  <c r="D15" i="24" s="1"/>
  <c r="C15" i="24" s="1"/>
  <c r="B16" i="24"/>
  <c r="D16" i="24"/>
  <c r="C16" i="24" s="1"/>
  <c r="F16" i="23" s="1"/>
  <c r="B17" i="24"/>
  <c r="D17" i="24" s="1"/>
  <c r="C17" i="24" s="1"/>
  <c r="B18" i="24"/>
  <c r="B20" i="24"/>
  <c r="D20" i="24" s="1"/>
  <c r="C20" i="24" s="1"/>
  <c r="B21" i="24"/>
  <c r="D21" i="24" s="1"/>
  <c r="C21" i="24" s="1"/>
  <c r="B22" i="24"/>
  <c r="D22" i="24" s="1"/>
  <c r="C22" i="24" s="1"/>
  <c r="B23" i="24"/>
  <c r="D23" i="24" s="1"/>
  <c r="C23" i="24" s="1"/>
  <c r="B24" i="24"/>
  <c r="D24" i="24" s="1"/>
  <c r="C24" i="24" s="1"/>
  <c r="B25" i="24"/>
  <c r="D25" i="24" s="1"/>
  <c r="C25" i="24" s="1"/>
  <c r="B26" i="24"/>
  <c r="D26" i="24" s="1"/>
  <c r="C26" i="24" s="1"/>
  <c r="B27" i="24"/>
  <c r="D27" i="24" s="1"/>
  <c r="C27" i="24" s="1"/>
  <c r="B28" i="24"/>
  <c r="D28" i="24" s="1"/>
  <c r="C28" i="24" s="1"/>
  <c r="B29" i="24"/>
  <c r="D29" i="24" s="1"/>
  <c r="C29" i="24" s="1"/>
  <c r="B30" i="24"/>
  <c r="B31" i="24"/>
  <c r="D31" i="24" s="1"/>
  <c r="C31" i="24" s="1"/>
  <c r="B32" i="24"/>
  <c r="D32" i="24"/>
  <c r="C32" i="24" s="1"/>
  <c r="B33" i="24"/>
  <c r="D33" i="24" s="1"/>
  <c r="C33" i="24" s="1"/>
  <c r="H33" i="3" s="1"/>
  <c r="B34" i="24"/>
  <c r="D34" i="24" s="1"/>
  <c r="C34" i="24" s="1"/>
  <c r="B35" i="24"/>
  <c r="B36" i="24"/>
  <c r="B38" i="24"/>
  <c r="D38" i="24" s="1"/>
  <c r="C38" i="24" s="1"/>
  <c r="B39" i="24"/>
  <c r="B40" i="24"/>
  <c r="D40" i="24" s="1"/>
  <c r="C40" i="24" s="1"/>
  <c r="B41" i="24"/>
  <c r="B42" i="24"/>
  <c r="D42" i="24" s="1"/>
  <c r="C42" i="24" s="1"/>
  <c r="B43" i="24"/>
  <c r="D43" i="24" s="1"/>
  <c r="C43" i="24" s="1"/>
  <c r="F43" i="23" s="1"/>
  <c r="B44" i="24"/>
  <c r="D44" i="24" s="1"/>
  <c r="C44" i="24" s="1"/>
  <c r="B45" i="24"/>
  <c r="D45" i="24"/>
  <c r="C45" i="24" s="1"/>
  <c r="B46" i="24"/>
  <c r="D46" i="24" s="1"/>
  <c r="C46" i="24" s="1"/>
  <c r="B47" i="24"/>
  <c r="D47" i="24" s="1"/>
  <c r="C47" i="24" s="1"/>
  <c r="B48" i="24"/>
  <c r="D48" i="24" s="1"/>
  <c r="C48" i="24" s="1"/>
  <c r="B49" i="24"/>
  <c r="D49" i="24" s="1"/>
  <c r="C49" i="24" s="1"/>
  <c r="H49" i="3" s="1"/>
  <c r="B50" i="24"/>
  <c r="D50" i="24" s="1"/>
  <c r="C50" i="24" s="1"/>
  <c r="B51" i="24"/>
  <c r="D51" i="24" s="1"/>
  <c r="C51" i="24" s="1"/>
  <c r="B52" i="24"/>
  <c r="D52" i="24" s="1"/>
  <c r="C52" i="24" s="1"/>
  <c r="B53" i="24"/>
  <c r="D53" i="24" s="1"/>
  <c r="C53" i="24" s="1"/>
  <c r="B54" i="24"/>
  <c r="D54" i="24" s="1"/>
  <c r="C54" i="24" s="1"/>
  <c r="B55" i="24"/>
  <c r="D55" i="24" s="1"/>
  <c r="C55" i="24" s="1"/>
  <c r="B56" i="24"/>
  <c r="D56" i="24" s="1"/>
  <c r="C56" i="24" s="1"/>
  <c r="B57" i="24"/>
  <c r="D57" i="24" s="1"/>
  <c r="C57" i="24" s="1"/>
  <c r="B58" i="24"/>
  <c r="D58" i="24" s="1"/>
  <c r="C58" i="24" s="1"/>
  <c r="B59" i="24"/>
  <c r="D59" i="24" s="1"/>
  <c r="C59" i="24" s="1"/>
  <c r="B60" i="24"/>
  <c r="D60" i="24" s="1"/>
  <c r="C60" i="24" s="1"/>
  <c r="B61" i="24"/>
  <c r="B62" i="24"/>
  <c r="D62" i="24" s="1"/>
  <c r="C62" i="24" s="1"/>
  <c r="B63" i="24"/>
  <c r="B64" i="24"/>
  <c r="D64" i="24" s="1"/>
  <c r="C64" i="24" s="1"/>
  <c r="B65" i="24"/>
  <c r="D65" i="24" s="1"/>
  <c r="C65" i="24" s="1"/>
  <c r="B66" i="24"/>
  <c r="D66" i="24" s="1"/>
  <c r="C66" i="24" s="1"/>
  <c r="B68" i="24"/>
  <c r="D68" i="24" s="1"/>
  <c r="C68" i="24" s="1"/>
  <c r="B69" i="24"/>
  <c r="D69" i="24" s="1"/>
  <c r="C69" i="24" s="1"/>
  <c r="H69" i="3" s="1"/>
  <c r="B70" i="24"/>
  <c r="D70" i="24" s="1"/>
  <c r="C70" i="24" s="1"/>
  <c r="B71" i="24"/>
  <c r="D71" i="24" s="1"/>
  <c r="C71" i="24" s="1"/>
  <c r="B72" i="24"/>
  <c r="D72" i="24" s="1"/>
  <c r="C72" i="24" s="1"/>
  <c r="B73" i="24"/>
  <c r="D73" i="24" s="1"/>
  <c r="C73" i="24" s="1"/>
  <c r="F73" i="23" s="1"/>
  <c r="B75" i="24"/>
  <c r="B76" i="24"/>
  <c r="D76" i="24" s="1"/>
  <c r="C76" i="24" s="1"/>
  <c r="B77" i="24"/>
  <c r="D77" i="24" s="1"/>
  <c r="C77" i="24" s="1"/>
  <c r="B78" i="24"/>
  <c r="D78" i="24" s="1"/>
  <c r="C78" i="24" s="1"/>
  <c r="H78" i="3" s="1"/>
  <c r="B80" i="24"/>
  <c r="D80" i="24" s="1"/>
  <c r="C80" i="24" s="1"/>
  <c r="B81" i="24"/>
  <c r="D81" i="24"/>
  <c r="C81" i="24" s="1"/>
  <c r="F81" i="23" s="1"/>
  <c r="B83" i="24"/>
  <c r="D83" i="24" s="1"/>
  <c r="C83" i="24" s="1"/>
  <c r="B84" i="24"/>
  <c r="D84" i="24" s="1"/>
  <c r="C84" i="24" s="1"/>
  <c r="F83" i="23" s="1"/>
  <c r="B85" i="24"/>
  <c r="D85" i="24" s="1"/>
  <c r="C85" i="24" s="1"/>
  <c r="B86" i="24"/>
  <c r="D86" i="24" s="1"/>
  <c r="C86" i="24" s="1"/>
  <c r="H86" i="3" s="1"/>
  <c r="B87" i="24"/>
  <c r="D87" i="24"/>
  <c r="C87" i="24" s="1"/>
  <c r="B88" i="24"/>
  <c r="B89" i="24"/>
  <c r="D89" i="24" s="1"/>
  <c r="C89" i="24" s="1"/>
  <c r="B91" i="24"/>
  <c r="B94" i="24"/>
  <c r="D94" i="24" s="1"/>
  <c r="C94" i="24" s="1"/>
  <c r="B95" i="24"/>
  <c r="D95" i="24" s="1"/>
  <c r="C95" i="24" s="1"/>
  <c r="B96" i="24"/>
  <c r="D96" i="24" s="1"/>
  <c r="C96" i="24" s="1"/>
  <c r="B97" i="24"/>
  <c r="D97" i="24"/>
  <c r="C97" i="24" s="1"/>
  <c r="B98" i="24"/>
  <c r="D98" i="24"/>
  <c r="C98" i="24" s="1"/>
  <c r="B99" i="24"/>
  <c r="B100" i="24"/>
  <c r="D100" i="24" s="1"/>
  <c r="C100" i="24" s="1"/>
  <c r="B101" i="24"/>
  <c r="D101" i="24" s="1"/>
  <c r="C101" i="24" s="1"/>
  <c r="B102" i="24"/>
  <c r="D102" i="24"/>
  <c r="C102" i="24" s="1"/>
  <c r="H102" i="3" s="1"/>
  <c r="B103" i="24"/>
  <c r="D103" i="24" s="1"/>
  <c r="C103" i="24" s="1"/>
  <c r="B104" i="24"/>
  <c r="D104" i="24" s="1"/>
  <c r="C104" i="24" s="1"/>
  <c r="H104" i="3" s="1"/>
  <c r="B105" i="24"/>
  <c r="D105" i="24" s="1"/>
  <c r="C105" i="24" s="1"/>
  <c r="B107" i="24"/>
  <c r="D107" i="24"/>
  <c r="C107" i="24" s="1"/>
  <c r="F106" i="23" s="1"/>
  <c r="B108" i="24"/>
  <c r="D108" i="24" s="1"/>
  <c r="C108" i="24" s="1"/>
  <c r="B109" i="24"/>
  <c r="D109" i="24"/>
  <c r="C109" i="24" s="1"/>
  <c r="F108" i="23" s="1"/>
  <c r="B110" i="24"/>
  <c r="D110" i="24" s="1"/>
  <c r="C110" i="24" s="1"/>
  <c r="B111" i="24"/>
  <c r="D111" i="24" s="1"/>
  <c r="C111" i="24" s="1"/>
  <c r="H111" i="3" s="1"/>
  <c r="B112" i="24"/>
  <c r="D112" i="24" s="1"/>
  <c r="C112" i="24" s="1"/>
  <c r="B113" i="24"/>
  <c r="D113" i="24" s="1"/>
  <c r="C113" i="24" s="1"/>
  <c r="F112" i="23" s="1"/>
  <c r="B114" i="24"/>
  <c r="D114" i="24" s="1"/>
  <c r="C114" i="24" s="1"/>
  <c r="B115" i="24"/>
  <c r="D115" i="24" s="1"/>
  <c r="C115" i="24" s="1"/>
  <c r="F114" i="23" s="1"/>
  <c r="B116" i="24"/>
  <c r="D116" i="24" s="1"/>
  <c r="C116" i="24" s="1"/>
  <c r="B117" i="24"/>
  <c r="D117" i="24" s="1"/>
  <c r="C117" i="24" s="1"/>
  <c r="F116" i="23" s="1"/>
  <c r="B118" i="24"/>
  <c r="D118" i="24" s="1"/>
  <c r="C118" i="24" s="1"/>
  <c r="B119" i="24"/>
  <c r="B120" i="24"/>
  <c r="D120" i="24" s="1"/>
  <c r="C120" i="24" s="1"/>
  <c r="B121" i="24"/>
  <c r="D121" i="24" s="1"/>
  <c r="C121" i="24" s="1"/>
  <c r="H121" i="3" s="1"/>
  <c r="B122" i="24"/>
  <c r="D122" i="24" s="1"/>
  <c r="C122" i="24" s="1"/>
  <c r="B123" i="24"/>
  <c r="D123" i="24" s="1"/>
  <c r="C123" i="24" s="1"/>
  <c r="B124" i="24"/>
  <c r="D124" i="24" s="1"/>
  <c r="C124" i="24" s="1"/>
  <c r="B125" i="24"/>
  <c r="D125" i="24" s="1"/>
  <c r="C125" i="24" s="1"/>
  <c r="B126" i="24"/>
  <c r="B127" i="24"/>
  <c r="D127" i="24" s="1"/>
  <c r="C127" i="24" s="1"/>
  <c r="B128" i="24"/>
  <c r="D128" i="24" s="1"/>
  <c r="C128" i="24" s="1"/>
  <c r="B130" i="24"/>
  <c r="D130" i="24"/>
  <c r="C130" i="24" s="1"/>
  <c r="B131" i="24"/>
  <c r="D131" i="24" s="1"/>
  <c r="C131" i="24" s="1"/>
  <c r="B132" i="24"/>
  <c r="D132" i="24" s="1"/>
  <c r="C132" i="24" s="1"/>
  <c r="B133" i="24"/>
  <c r="D133" i="24"/>
  <c r="C133" i="24" s="1"/>
  <c r="B134" i="24"/>
  <c r="B135" i="24"/>
  <c r="B137" i="24"/>
  <c r="D137" i="24" s="1"/>
  <c r="C137" i="24" s="1"/>
  <c r="B138" i="24"/>
  <c r="D138" i="24"/>
  <c r="C138" i="24" s="1"/>
  <c r="F137" i="23" s="1"/>
  <c r="B139" i="24"/>
  <c r="D139" i="24" s="1"/>
  <c r="C139" i="24" s="1"/>
  <c r="B142" i="24"/>
  <c r="D142" i="24" s="1"/>
  <c r="C142" i="24" s="1"/>
  <c r="F141" i="23" s="1"/>
  <c r="B143" i="24"/>
  <c r="D143" i="24" s="1"/>
  <c r="C143" i="24" s="1"/>
  <c r="B145" i="24"/>
  <c r="D145" i="24" s="1"/>
  <c r="C145" i="24" s="1"/>
  <c r="H145" i="3" s="1"/>
  <c r="B146" i="24"/>
  <c r="D146" i="24" s="1"/>
  <c r="C146" i="24"/>
  <c r="B147" i="24"/>
  <c r="D147" i="24" s="1"/>
  <c r="C147" i="24" s="1"/>
  <c r="F146" i="23" s="1"/>
  <c r="B148" i="24"/>
  <c r="D148" i="24" s="1"/>
  <c r="C148" i="24"/>
  <c r="B149" i="24"/>
  <c r="D149" i="24" s="1"/>
  <c r="C149" i="24" s="1"/>
  <c r="B150" i="24"/>
  <c r="B151" i="24"/>
  <c r="B152" i="24"/>
  <c r="D152" i="24" s="1"/>
  <c r="C152" i="24"/>
  <c r="B153" i="24"/>
  <c r="D153" i="24" s="1"/>
  <c r="C153" i="24" s="1"/>
  <c r="H153" i="3" s="1"/>
  <c r="B154" i="24"/>
  <c r="B156" i="24"/>
  <c r="I102" i="10"/>
  <c r="J102" i="10" s="1"/>
  <c r="I118" i="10"/>
  <c r="J118" i="10" s="1"/>
  <c r="C187" i="10"/>
  <c r="A179" i="10"/>
  <c r="A178" i="10"/>
  <c r="A177" i="10"/>
  <c r="A176" i="10"/>
  <c r="A175" i="10"/>
  <c r="A174" i="10"/>
  <c r="A173" i="10"/>
  <c r="A172" i="10"/>
  <c r="A171" i="10"/>
  <c r="C1" i="3"/>
  <c r="A1" i="3"/>
  <c r="K30" i="1"/>
  <c r="I130" i="10"/>
  <c r="J130" i="10" s="1"/>
  <c r="I133" i="10"/>
  <c r="K133" i="10" s="1"/>
  <c r="A57" i="1"/>
  <c r="I159" i="10"/>
  <c r="J159" i="10" s="1"/>
  <c r="I157" i="10"/>
  <c r="M157" i="10" s="1"/>
  <c r="I141" i="10"/>
  <c r="M141" i="10" s="1"/>
  <c r="I152" i="10"/>
  <c r="J152" i="10" s="1"/>
  <c r="I144" i="10"/>
  <c r="M144" i="10" s="1"/>
  <c r="I111" i="10"/>
  <c r="J111" i="10" s="1"/>
  <c r="I96" i="10"/>
  <c r="J96" i="10" s="1"/>
  <c r="I104" i="10"/>
  <c r="M104" i="10" s="1"/>
  <c r="I131" i="10"/>
  <c r="J131" i="10" s="1"/>
  <c r="I68" i="10"/>
  <c r="J68" i="10" s="1"/>
  <c r="B82" i="3"/>
  <c r="B154" i="3"/>
  <c r="B146" i="3"/>
  <c r="B136" i="3"/>
  <c r="B125" i="3"/>
  <c r="B116" i="3"/>
  <c r="B108" i="3"/>
  <c r="B100" i="3"/>
  <c r="B91" i="3"/>
  <c r="B81" i="3"/>
  <c r="B71" i="3"/>
  <c r="B63" i="3"/>
  <c r="B54" i="3"/>
  <c r="B153" i="3"/>
  <c r="B145" i="3"/>
  <c r="B133" i="3"/>
  <c r="B124" i="3"/>
  <c r="B115" i="3"/>
  <c r="B107" i="3"/>
  <c r="B98" i="3"/>
  <c r="B90" i="3"/>
  <c r="B80" i="3"/>
  <c r="B70" i="3"/>
  <c r="B62" i="3"/>
  <c r="B152" i="3"/>
  <c r="B144" i="3"/>
  <c r="B132" i="3"/>
  <c r="B123" i="3"/>
  <c r="B114" i="3"/>
  <c r="B106" i="3"/>
  <c r="B97" i="3"/>
  <c r="B88" i="3"/>
  <c r="B78" i="3"/>
  <c r="B69" i="3"/>
  <c r="B60" i="3"/>
  <c r="B151" i="3"/>
  <c r="B143" i="3"/>
  <c r="B131" i="3"/>
  <c r="B122" i="3"/>
  <c r="B113" i="3"/>
  <c r="B105" i="3"/>
  <c r="B96" i="3"/>
  <c r="B87" i="3"/>
  <c r="B77" i="3"/>
  <c r="B68" i="3"/>
  <c r="B59" i="3"/>
  <c r="B150" i="3"/>
  <c r="B142" i="3"/>
  <c r="B130" i="3"/>
  <c r="B121" i="3"/>
  <c r="B112" i="3"/>
  <c r="B104" i="3"/>
  <c r="B95" i="3"/>
  <c r="B86" i="3"/>
  <c r="B76" i="3"/>
  <c r="B67" i="3"/>
  <c r="B58" i="3"/>
  <c r="B158" i="3"/>
  <c r="B149" i="3"/>
  <c r="B141" i="3"/>
  <c r="B129" i="3"/>
  <c r="B120" i="3"/>
  <c r="B111" i="3"/>
  <c r="B103" i="3"/>
  <c r="B94" i="3"/>
  <c r="B85" i="3"/>
  <c r="B74" i="3"/>
  <c r="B66" i="3"/>
  <c r="B57" i="3"/>
  <c r="B157" i="3"/>
  <c r="B148" i="3"/>
  <c r="B139" i="3"/>
  <c r="B128" i="3"/>
  <c r="B118" i="3"/>
  <c r="B110" i="3"/>
  <c r="B102" i="3"/>
  <c r="B93" i="3"/>
  <c r="B84" i="3"/>
  <c r="B73" i="3"/>
  <c r="B65" i="3"/>
  <c r="B56" i="3"/>
  <c r="B155" i="3"/>
  <c r="B147" i="3"/>
  <c r="B138" i="3"/>
  <c r="B127" i="3"/>
  <c r="B117" i="3"/>
  <c r="B109" i="3"/>
  <c r="B101" i="3"/>
  <c r="B92" i="3"/>
  <c r="B83" i="3"/>
  <c r="B72" i="3"/>
  <c r="B64" i="3"/>
  <c r="B55" i="3"/>
  <c r="I72" i="10"/>
  <c r="J72" i="10" s="1"/>
  <c r="I64" i="10"/>
  <c r="J64" i="10" s="1"/>
  <c r="I73" i="10"/>
  <c r="J73" i="10" s="1"/>
  <c r="I65" i="10"/>
  <c r="J65" i="10" s="1"/>
  <c r="I74" i="10"/>
  <c r="M74" i="10" s="1"/>
  <c r="I66" i="10"/>
  <c r="M66" i="10" s="1"/>
  <c r="I69" i="10"/>
  <c r="J69" i="10" s="1"/>
  <c r="I139" i="10"/>
  <c r="J139" i="10" s="1"/>
  <c r="I138" i="10"/>
  <c r="M138" i="10" s="1"/>
  <c r="F179" i="10"/>
  <c r="I163" i="10"/>
  <c r="M163" i="10" s="1"/>
  <c r="I143" i="10"/>
  <c r="J143" i="10" s="1"/>
  <c r="J104" i="10"/>
  <c r="J66" i="10"/>
  <c r="A51" i="5"/>
  <c r="A49" i="1"/>
  <c r="B49" i="1" s="1"/>
  <c r="A138" i="1"/>
  <c r="B138" i="1" s="1"/>
  <c r="A148" i="1"/>
  <c r="A141" i="23"/>
  <c r="A130" i="1"/>
  <c r="B130" i="1" s="1"/>
  <c r="A35" i="5"/>
  <c r="A154" i="1"/>
  <c r="A147" i="23" s="1"/>
  <c r="A105" i="1"/>
  <c r="A98" i="23" s="1"/>
  <c r="A58" i="5"/>
  <c r="A87" i="5"/>
  <c r="A33" i="1"/>
  <c r="B33" i="1" s="1"/>
  <c r="A74" i="5"/>
  <c r="D74" i="3" s="1"/>
  <c r="A80" i="1"/>
  <c r="B80" i="1" s="1"/>
  <c r="A19" i="5"/>
  <c r="A25" i="1"/>
  <c r="M73" i="10"/>
  <c r="I80" i="10"/>
  <c r="M80" i="10" s="1"/>
  <c r="I88" i="10"/>
  <c r="J88" i="10" s="1"/>
  <c r="I92" i="10"/>
  <c r="I79" i="10"/>
  <c r="J79" i="10" s="1"/>
  <c r="C143" i="1"/>
  <c r="C98" i="1"/>
  <c r="C19" i="3"/>
  <c r="B39" i="5"/>
  <c r="C108" i="1"/>
  <c r="C36" i="3"/>
  <c r="D17" i="26"/>
  <c r="B2" i="26" s="1"/>
  <c r="M133" i="10"/>
  <c r="I155" i="10"/>
  <c r="M155" i="10" s="1"/>
  <c r="I142" i="10"/>
  <c r="I166" i="10"/>
  <c r="M139" i="10"/>
  <c r="I112" i="10"/>
  <c r="M112" i="10" s="1"/>
  <c r="I119" i="10"/>
  <c r="M119" i="10" s="1"/>
  <c r="I90" i="10"/>
  <c r="M88" i="10"/>
  <c r="I91" i="10"/>
  <c r="I85" i="10"/>
  <c r="I86" i="10"/>
  <c r="I94" i="10"/>
  <c r="I87" i="10"/>
  <c r="K87" i="10" s="1"/>
  <c r="I93" i="10"/>
  <c r="I84" i="10"/>
  <c r="I76" i="10"/>
  <c r="F175" i="10"/>
  <c r="I78" i="10"/>
  <c r="I81" i="10"/>
  <c r="I82" i="10"/>
  <c r="I77" i="10"/>
  <c r="L77" i="10" s="1"/>
  <c r="I83" i="10"/>
  <c r="M72" i="10"/>
  <c r="I63" i="10"/>
  <c r="I71" i="10"/>
  <c r="M64" i="10"/>
  <c r="I67" i="10"/>
  <c r="I70" i="10"/>
  <c r="I61" i="10"/>
  <c r="I62" i="10"/>
  <c r="A135" i="3"/>
  <c r="I135" i="3" s="1"/>
  <c r="A102" i="3"/>
  <c r="I102" i="3" s="1"/>
  <c r="A36" i="1"/>
  <c r="A108" i="1"/>
  <c r="A101" i="23" s="1"/>
  <c r="A135" i="5"/>
  <c r="A125" i="1"/>
  <c r="B125" i="1" s="1"/>
  <c r="A133" i="1"/>
  <c r="B133" i="1"/>
  <c r="A127" i="3"/>
  <c r="I127" i="3" s="1"/>
  <c r="A117" i="1"/>
  <c r="B117" i="1" s="1"/>
  <c r="A149" i="1"/>
  <c r="B149" i="1" s="1"/>
  <c r="A94" i="5"/>
  <c r="A157" i="1"/>
  <c r="A151" i="3"/>
  <c r="I151" i="3"/>
  <c r="A119" i="3"/>
  <c r="I119" i="3"/>
  <c r="A143" i="3"/>
  <c r="I143" i="3" s="1"/>
  <c r="A111" i="3"/>
  <c r="I111" i="3" s="1"/>
  <c r="A67" i="1"/>
  <c r="B67" i="1" s="1"/>
  <c r="I97" i="10"/>
  <c r="I121" i="10"/>
  <c r="I117" i="10"/>
  <c r="I99" i="10"/>
  <c r="I120" i="10"/>
  <c r="F176" i="10"/>
  <c r="I107" i="10"/>
  <c r="L107" i="10" s="1"/>
  <c r="I113" i="10"/>
  <c r="I116" i="10"/>
  <c r="I100" i="10"/>
  <c r="I114" i="10"/>
  <c r="I98" i="10"/>
  <c r="J112" i="10"/>
  <c r="M118" i="10"/>
  <c r="M111" i="10"/>
  <c r="M102" i="10"/>
  <c r="I109" i="10"/>
  <c r="I103" i="10"/>
  <c r="I110" i="10"/>
  <c r="M96" i="10"/>
  <c r="I105" i="10"/>
  <c r="I108" i="10"/>
  <c r="L108" i="10" s="1"/>
  <c r="I115" i="10"/>
  <c r="M115" i="10" s="1"/>
  <c r="I106" i="10"/>
  <c r="I101" i="10"/>
  <c r="M69" i="10"/>
  <c r="I55" i="10"/>
  <c r="M55" i="10" s="1"/>
  <c r="I33" i="10"/>
  <c r="M33" i="10" s="1"/>
  <c r="I49" i="10"/>
  <c r="M49" i="10" s="1"/>
  <c r="I53" i="10"/>
  <c r="M53" i="10" s="1"/>
  <c r="A22" i="5"/>
  <c r="A28" i="1"/>
  <c r="B28" i="1" s="1"/>
  <c r="A96" i="1"/>
  <c r="B96" i="1" s="1"/>
  <c r="A90" i="5"/>
  <c r="D90" i="3" s="1"/>
  <c r="A161" i="1"/>
  <c r="B161" i="1" s="1"/>
  <c r="A113" i="1"/>
  <c r="A76" i="5"/>
  <c r="A153" i="1"/>
  <c r="A146" i="23" s="1"/>
  <c r="A123" i="5"/>
  <c r="D123" i="3" s="1"/>
  <c r="A115" i="3"/>
  <c r="I115" i="3" s="1"/>
  <c r="A27" i="1"/>
  <c r="A21" i="23" s="1"/>
  <c r="A118" i="5"/>
  <c r="D118" i="3" s="1"/>
  <c r="A23" i="5"/>
  <c r="A158" i="1"/>
  <c r="A151" i="23" s="1"/>
  <c r="A103" i="3"/>
  <c r="I103" i="3" s="1"/>
  <c r="A120" i="5"/>
  <c r="A112" i="3"/>
  <c r="I112" i="3" s="1"/>
  <c r="A53" i="5"/>
  <c r="A85" i="5"/>
  <c r="A21" i="5"/>
  <c r="A51" i="1"/>
  <c r="A91" i="1"/>
  <c r="A84" i="23" s="1"/>
  <c r="A158" i="5"/>
  <c r="D158" i="3" s="1"/>
  <c r="A60" i="5"/>
  <c r="A66" i="1"/>
  <c r="A126" i="3"/>
  <c r="I126" i="3" s="1"/>
  <c r="A82" i="1"/>
  <c r="B82" i="1" s="1"/>
  <c r="A43" i="23"/>
  <c r="A141" i="5"/>
  <c r="A109" i="5"/>
  <c r="A139" i="1"/>
  <c r="A132" i="23"/>
  <c r="A106" i="1"/>
  <c r="B106" i="1" s="1"/>
  <c r="A89" i="5"/>
  <c r="A104" i="1"/>
  <c r="A65" i="5"/>
  <c r="A95" i="3"/>
  <c r="I95" i="3" s="1"/>
  <c r="A136" i="1"/>
  <c r="A129" i="1"/>
  <c r="B129" i="1"/>
  <c r="A145" i="1"/>
  <c r="A152" i="1"/>
  <c r="B152" i="1"/>
  <c r="A155" i="5"/>
  <c r="A95" i="5"/>
  <c r="A62" i="5"/>
  <c r="A118" i="1"/>
  <c r="B118" i="1"/>
  <c r="A29" i="1"/>
  <c r="B29" i="1" s="1"/>
  <c r="A142" i="1"/>
  <c r="A135" i="23"/>
  <c r="A93" i="1"/>
  <c r="A152" i="3"/>
  <c r="I152" i="3"/>
  <c r="A150" i="1"/>
  <c r="A143" i="23" s="1"/>
  <c r="A134" i="1"/>
  <c r="A127" i="23" s="1"/>
  <c r="A109" i="1"/>
  <c r="A70" i="5"/>
  <c r="A126" i="1"/>
  <c r="B126" i="1"/>
  <c r="A31" i="5"/>
  <c r="A78" i="5"/>
  <c r="A128" i="3"/>
  <c r="I128" i="3" s="1"/>
  <c r="A136" i="3"/>
  <c r="I136" i="3" s="1"/>
  <c r="A144" i="3"/>
  <c r="I144" i="3" s="1"/>
  <c r="A84" i="1"/>
  <c r="A37" i="1"/>
  <c r="B37" i="1" s="1"/>
  <c r="A54" i="5"/>
  <c r="D54" i="3" s="1"/>
  <c r="A75" i="1"/>
  <c r="B75" i="1" s="1"/>
  <c r="A69" i="5"/>
  <c r="D69" i="3" s="1"/>
  <c r="A52" i="1"/>
  <c r="B52" i="1" s="1"/>
  <c r="A60" i="1"/>
  <c r="A54" i="23" s="1"/>
  <c r="A83" i="1"/>
  <c r="A77" i="23" s="1"/>
  <c r="B105" i="1"/>
  <c r="A30" i="5"/>
  <c r="A61" i="5"/>
  <c r="A77" i="5"/>
  <c r="D77" i="3" s="1"/>
  <c r="A46" i="5"/>
  <c r="B131" i="1"/>
  <c r="A124" i="23"/>
  <c r="A84" i="5"/>
  <c r="A147" i="1"/>
  <c r="B147" i="1" s="1"/>
  <c r="A125" i="5"/>
  <c r="D125" i="3" s="1"/>
  <c r="A92" i="5"/>
  <c r="A115" i="1"/>
  <c r="B115" i="1"/>
  <c r="A12" i="5"/>
  <c r="A123" i="1"/>
  <c r="A125" i="3"/>
  <c r="I125" i="3" s="1"/>
  <c r="A92" i="3"/>
  <c r="I92" i="3" s="1"/>
  <c r="A149" i="5"/>
  <c r="A117" i="5"/>
  <c r="D117" i="3" s="1"/>
  <c r="A18" i="1"/>
  <c r="B18" i="1" s="1"/>
  <c r="A155" i="1"/>
  <c r="B155" i="1" s="1"/>
  <c r="A67" i="5"/>
  <c r="D67" i="3" s="1"/>
  <c r="A73" i="1"/>
  <c r="B73" i="1" s="1"/>
  <c r="A67" i="23"/>
  <c r="A133" i="5"/>
  <c r="A100" i="5"/>
  <c r="D100" i="3" s="1"/>
  <c r="A72" i="5"/>
  <c r="D72" i="3" s="1"/>
  <c r="A78" i="1"/>
  <c r="A72" i="23" s="1"/>
  <c r="A16" i="5"/>
  <c r="A23" i="1"/>
  <c r="A17" i="23" s="1"/>
  <c r="A17" i="5"/>
  <c r="A114" i="3"/>
  <c r="I114" i="3" s="1"/>
  <c r="A22" i="1"/>
  <c r="A16" i="23"/>
  <c r="A14" i="1"/>
  <c r="A61" i="23"/>
  <c r="C81" i="3"/>
  <c r="B81" i="5"/>
  <c r="A8" i="5"/>
  <c r="A62" i="1"/>
  <c r="B62" i="1" s="1"/>
  <c r="A2" i="5"/>
  <c r="A2" i="3"/>
  <c r="I2" i="3" s="1"/>
  <c r="C57" i="3"/>
  <c r="A52" i="3"/>
  <c r="I52" i="3" s="1"/>
  <c r="B107" i="5"/>
  <c r="B98" i="1"/>
  <c r="A34" i="5"/>
  <c r="D34" i="3" s="1"/>
  <c r="A96" i="3"/>
  <c r="I96" i="3"/>
  <c r="A47" i="1"/>
  <c r="A41" i="23"/>
  <c r="B112" i="5"/>
  <c r="A135" i="1"/>
  <c r="A56" i="5"/>
  <c r="A49" i="5"/>
  <c r="A25" i="5"/>
  <c r="D25" i="3" s="1"/>
  <c r="A56" i="1"/>
  <c r="A153" i="3"/>
  <c r="I153" i="3" s="1"/>
  <c r="A41" i="5"/>
  <c r="B85" i="1"/>
  <c r="A74" i="23"/>
  <c r="A110" i="1"/>
  <c r="B110" i="1" s="1"/>
  <c r="B4" i="17"/>
  <c r="A88" i="5"/>
  <c r="A3" i="5"/>
  <c r="A48" i="1"/>
  <c r="B48" i="1"/>
  <c r="A26" i="5"/>
  <c r="A159" i="1"/>
  <c r="A127" i="1"/>
  <c r="A11" i="5"/>
  <c r="A9" i="1"/>
  <c r="A137" i="5"/>
  <c r="A70" i="1"/>
  <c r="B70" i="1" s="1"/>
  <c r="A64" i="23"/>
  <c r="A42" i="5"/>
  <c r="A50" i="5"/>
  <c r="D50" i="3" s="1"/>
  <c r="A17" i="1"/>
  <c r="A11" i="23"/>
  <c r="A113" i="3"/>
  <c r="I113" i="3" s="1"/>
  <c r="A64" i="5"/>
  <c r="D64" i="3" s="1"/>
  <c r="A40" i="1"/>
  <c r="A94" i="1"/>
  <c r="A145" i="5"/>
  <c r="A88" i="23"/>
  <c r="A31" i="1"/>
  <c r="A45" i="1"/>
  <c r="A12" i="1"/>
  <c r="B64" i="1"/>
  <c r="A103" i="1"/>
  <c r="A97" i="3"/>
  <c r="I97" i="3" s="1"/>
  <c r="A105" i="3"/>
  <c r="I105" i="3" s="1"/>
  <c r="A122" i="3"/>
  <c r="I122" i="3"/>
  <c r="A114" i="5"/>
  <c r="D114" i="3" s="1"/>
  <c r="A6" i="3"/>
  <c r="I6" i="3" s="1"/>
  <c r="A59" i="3"/>
  <c r="I59" i="3"/>
  <c r="A89" i="3"/>
  <c r="I89" i="3" s="1"/>
  <c r="A128" i="1"/>
  <c r="A146" i="5"/>
  <c r="D146" i="3" s="1"/>
  <c r="A111" i="1"/>
  <c r="A104" i="23" s="1"/>
  <c r="A130" i="5"/>
  <c r="A154" i="5"/>
  <c r="D154" i="3" s="1"/>
  <c r="A59" i="1"/>
  <c r="B59" i="1"/>
  <c r="A59" i="5"/>
  <c r="D59" i="3" s="1"/>
  <c r="A53" i="1"/>
  <c r="A47" i="5"/>
  <c r="D47" i="3" s="1"/>
  <c r="A138" i="5"/>
  <c r="A154" i="3"/>
  <c r="I154" i="3" s="1"/>
  <c r="A138" i="3"/>
  <c r="I138" i="3"/>
  <c r="C123" i="1"/>
  <c r="B151" i="1"/>
  <c r="A144" i="23"/>
  <c r="A109" i="23"/>
  <c r="B116" i="1"/>
  <c r="C131" i="1"/>
  <c r="C125" i="3"/>
  <c r="A44" i="5"/>
  <c r="D44" i="3" s="1"/>
  <c r="A61" i="1"/>
  <c r="B61" i="1"/>
  <c r="A119" i="1"/>
  <c r="A73" i="5"/>
  <c r="A15" i="1"/>
  <c r="A9" i="23" s="1"/>
  <c r="A79" i="1"/>
  <c r="A142" i="3"/>
  <c r="I142" i="3" s="1"/>
  <c r="A110" i="3"/>
  <c r="I110" i="3" s="1"/>
  <c r="A121" i="5"/>
  <c r="D121" i="3" s="1"/>
  <c r="A104" i="5"/>
  <c r="B57" i="5"/>
  <c r="B148" i="1"/>
  <c r="A68" i="5"/>
  <c r="D68" i="3" s="1"/>
  <c r="B120" i="1"/>
  <c r="A32" i="5"/>
  <c r="A55" i="1"/>
  <c r="A99" i="1"/>
  <c r="A132" i="1"/>
  <c r="A156" i="1"/>
  <c r="A110" i="5"/>
  <c r="A19" i="1"/>
  <c r="B19" i="1"/>
  <c r="A38" i="1"/>
  <c r="A164" i="1"/>
  <c r="A134" i="3"/>
  <c r="I134" i="3" s="1"/>
  <c r="A101" i="3"/>
  <c r="I101" i="3" s="1"/>
  <c r="B137" i="5"/>
  <c r="C153" i="2"/>
  <c r="C153" i="3" s="1"/>
  <c r="C157" i="2"/>
  <c r="A118" i="23"/>
  <c r="A35" i="1"/>
  <c r="A20" i="5"/>
  <c r="A32" i="1"/>
  <c r="A140" i="1"/>
  <c r="B140" i="1"/>
  <c r="A50" i="1"/>
  <c r="B50" i="1" s="1"/>
  <c r="A13" i="1"/>
  <c r="A7" i="23" s="1"/>
  <c r="A29" i="5"/>
  <c r="D29" i="3" s="1"/>
  <c r="A107" i="1"/>
  <c r="A102" i="1"/>
  <c r="B102" i="1" s="1"/>
  <c r="A124" i="1"/>
  <c r="B124" i="1" s="1"/>
  <c r="A41" i="1"/>
  <c r="A143" i="1"/>
  <c r="A136" i="23" s="1"/>
  <c r="B67" i="5"/>
  <c r="C137" i="3"/>
  <c r="A7" i="5"/>
  <c r="A9" i="5"/>
  <c r="A92" i="1"/>
  <c r="A85" i="23" s="1"/>
  <c r="A145" i="3"/>
  <c r="I145" i="3"/>
  <c r="A150" i="3"/>
  <c r="I150" i="3" s="1"/>
  <c r="A93" i="3"/>
  <c r="I93" i="3" s="1"/>
  <c r="A129" i="5"/>
  <c r="D129" i="3" s="1"/>
  <c r="A10" i="1"/>
  <c r="A13" i="5"/>
  <c r="A4" i="5"/>
  <c r="A86" i="5"/>
  <c r="D86" i="3" s="1"/>
  <c r="A139" i="23"/>
  <c r="A106" i="23"/>
  <c r="B113" i="1"/>
  <c r="A106" i="3"/>
  <c r="I106" i="3" s="1"/>
  <c r="A112" i="1"/>
  <c r="A105" i="23" s="1"/>
  <c r="C93" i="1"/>
  <c r="A34" i="1"/>
  <c r="A28" i="23"/>
  <c r="A28" i="5"/>
  <c r="C121" i="1"/>
  <c r="C115" i="3"/>
  <c r="A16" i="1"/>
  <c r="A10" i="5"/>
  <c r="D10" i="3" s="1"/>
  <c r="A33" i="3"/>
  <c r="I33" i="3" s="1"/>
  <c r="A39" i="1"/>
  <c r="B39" i="1" s="1"/>
  <c r="A75" i="3"/>
  <c r="I75" i="3"/>
  <c r="A81" i="1"/>
  <c r="A75" i="5"/>
  <c r="A123" i="23"/>
  <c r="C110" i="1"/>
  <c r="A91" i="3"/>
  <c r="I91" i="3"/>
  <c r="A91" i="5"/>
  <c r="A97" i="1"/>
  <c r="A90" i="23" s="1"/>
  <c r="A108" i="5"/>
  <c r="A108" i="3"/>
  <c r="I108" i="3" s="1"/>
  <c r="A114" i="1"/>
  <c r="A107" i="23" s="1"/>
  <c r="A122" i="1"/>
  <c r="A116" i="5"/>
  <c r="D116" i="3" s="1"/>
  <c r="A116" i="3"/>
  <c r="I116" i="3"/>
  <c r="A132" i="5"/>
  <c r="A132" i="3"/>
  <c r="I132" i="3" s="1"/>
  <c r="A140" i="5"/>
  <c r="A140" i="3"/>
  <c r="I140" i="3" s="1"/>
  <c r="A162" i="1"/>
  <c r="B162" i="1"/>
  <c r="A156" i="5"/>
  <c r="A156" i="3"/>
  <c r="I156" i="3" s="1"/>
  <c r="C94" i="1"/>
  <c r="C95" i="3"/>
  <c r="A48" i="5"/>
  <c r="A54" i="1"/>
  <c r="A48" i="23" s="1"/>
  <c r="A66" i="3"/>
  <c r="I66" i="3" s="1"/>
  <c r="A66" i="5"/>
  <c r="A72" i="1"/>
  <c r="A66" i="23" s="1"/>
  <c r="A137" i="23"/>
  <c r="A14" i="3"/>
  <c r="I14" i="3" s="1"/>
  <c r="A20" i="1"/>
  <c r="A30" i="1"/>
  <c r="A24" i="5"/>
  <c r="D24" i="3" s="1"/>
  <c r="A2" i="23"/>
  <c r="A58" i="1"/>
  <c r="C115" i="1"/>
  <c r="B109" i="5"/>
  <c r="C109" i="3"/>
  <c r="A15" i="3"/>
  <c r="I15" i="3" s="1"/>
  <c r="A21" i="1"/>
  <c r="A15" i="5"/>
  <c r="A37" i="3"/>
  <c r="I37" i="3"/>
  <c r="A43" i="1"/>
  <c r="A37" i="23" s="1"/>
  <c r="A37" i="5"/>
  <c r="A81" i="3"/>
  <c r="I81" i="3" s="1"/>
  <c r="A87" i="1"/>
  <c r="A81" i="5"/>
  <c r="A33" i="5"/>
  <c r="A5" i="3"/>
  <c r="I5" i="3" s="1"/>
  <c r="A11" i="1"/>
  <c r="B11" i="1" s="1"/>
  <c r="A10" i="3"/>
  <c r="I10" i="3" s="1"/>
  <c r="A38" i="3"/>
  <c r="I38" i="3" s="1"/>
  <c r="A44" i="1"/>
  <c r="A38" i="5"/>
  <c r="A57" i="3"/>
  <c r="I57" i="3" s="1"/>
  <c r="A63" i="1"/>
  <c r="A147" i="3"/>
  <c r="I147" i="3" s="1"/>
  <c r="A107" i="5"/>
  <c r="A98" i="3"/>
  <c r="I98" i="3" s="1"/>
  <c r="A121" i="1"/>
  <c r="A139" i="5"/>
  <c r="D139" i="3" s="1"/>
  <c r="A137" i="1"/>
  <c r="B137" i="1" s="1"/>
  <c r="A76" i="1"/>
  <c r="A80" i="5"/>
  <c r="A131" i="3"/>
  <c r="I131" i="3" s="1"/>
  <c r="C156" i="2"/>
  <c r="C162" i="1" s="1"/>
  <c r="D162" i="1" s="1"/>
  <c r="A86" i="1"/>
  <c r="B86" i="1" s="1"/>
  <c r="A51" i="23"/>
  <c r="B57" i="1"/>
  <c r="B157" i="1"/>
  <c r="A150" i="23"/>
  <c r="B141" i="1"/>
  <c r="B65" i="1"/>
  <c r="A59" i="23"/>
  <c r="B101" i="1"/>
  <c r="A94" i="23"/>
  <c r="A30" i="23"/>
  <c r="B36" i="1"/>
  <c r="A131" i="23"/>
  <c r="A63" i="23"/>
  <c r="B100" i="1"/>
  <c r="C12" i="3"/>
  <c r="C24" i="1"/>
  <c r="B18" i="5"/>
  <c r="C46" i="1"/>
  <c r="C153" i="1"/>
  <c r="C147" i="3"/>
  <c r="B119" i="5"/>
  <c r="C69" i="1"/>
  <c r="B63" i="5"/>
  <c r="C74" i="3"/>
  <c r="C80" i="1"/>
  <c r="B74" i="5"/>
  <c r="C133" i="1"/>
  <c r="C127" i="3"/>
  <c r="C18" i="3"/>
  <c r="C99" i="1"/>
  <c r="B93" i="5"/>
  <c r="C139" i="3"/>
  <c r="A79" i="3"/>
  <c r="I79" i="3" s="1"/>
  <c r="A79" i="5"/>
  <c r="B16" i="5"/>
  <c r="B48" i="5"/>
  <c r="C34" i="1"/>
  <c r="B28" i="5"/>
  <c r="A71" i="3"/>
  <c r="I71" i="3" s="1"/>
  <c r="A77" i="1"/>
  <c r="A71" i="23" s="1"/>
  <c r="B35" i="5"/>
  <c r="C35" i="3"/>
  <c r="C72" i="1"/>
  <c r="C149" i="1"/>
  <c r="B5" i="17"/>
  <c r="C29" i="3"/>
  <c r="C45" i="1"/>
  <c r="C39" i="3"/>
  <c r="C129" i="1"/>
  <c r="C135" i="1"/>
  <c r="A63" i="3"/>
  <c r="I63" i="3" s="1"/>
  <c r="A63" i="5"/>
  <c r="A163" i="1"/>
  <c r="A157" i="3"/>
  <c r="I157" i="3" s="1"/>
  <c r="A157" i="5"/>
  <c r="C143" i="3"/>
  <c r="C141" i="1"/>
  <c r="B135" i="5"/>
  <c r="C158" i="2"/>
  <c r="C158" i="3" s="1"/>
  <c r="C150" i="1"/>
  <c r="C118" i="1"/>
  <c r="B88" i="5"/>
  <c r="C11" i="3"/>
  <c r="B31" i="5"/>
  <c r="B15" i="5"/>
  <c r="C21" i="1"/>
  <c r="C15" i="3"/>
  <c r="C70" i="1"/>
  <c r="B64" i="5"/>
  <c r="C154" i="1"/>
  <c r="C148" i="3"/>
  <c r="B148" i="5"/>
  <c r="B7" i="5"/>
  <c r="B128" i="5"/>
  <c r="C42" i="1"/>
  <c r="B36" i="5"/>
  <c r="B126" i="5"/>
  <c r="C132" i="1"/>
  <c r="B142" i="5"/>
  <c r="C148" i="1"/>
  <c r="C66" i="1"/>
  <c r="C13" i="1"/>
  <c r="C64" i="1"/>
  <c r="B42" i="5"/>
  <c r="B146" i="5"/>
  <c r="C57" i="1"/>
  <c r="B51" i="5"/>
  <c r="B68" i="5"/>
  <c r="C3" i="3"/>
  <c r="B3" i="5"/>
  <c r="C49" i="1"/>
  <c r="C49" i="3"/>
  <c r="C55" i="1"/>
  <c r="C79" i="3"/>
  <c r="B79" i="5"/>
  <c r="C85" i="1"/>
  <c r="C144" i="1"/>
  <c r="B138" i="5"/>
  <c r="A88" i="1"/>
  <c r="A82" i="5"/>
  <c r="C41" i="1"/>
  <c r="C56" i="1"/>
  <c r="C130" i="3"/>
  <c r="C71" i="3"/>
  <c r="C64" i="3"/>
  <c r="C27" i="3"/>
  <c r="C156" i="1"/>
  <c r="B150" i="5"/>
  <c r="C92" i="3"/>
  <c r="B144" i="5"/>
  <c r="B19" i="5"/>
  <c r="C25" i="1"/>
  <c r="C29" i="1"/>
  <c r="B52" i="5"/>
  <c r="C75" i="3"/>
  <c r="C107" i="1"/>
  <c r="C114" i="1"/>
  <c r="C108" i="3"/>
  <c r="C124" i="1"/>
  <c r="B118" i="5"/>
  <c r="C140" i="1"/>
  <c r="B134" i="5"/>
  <c r="B50" i="5"/>
  <c r="B92" i="5"/>
  <c r="C151" i="3"/>
  <c r="C42" i="3"/>
  <c r="B55" i="5"/>
  <c r="C138" i="1"/>
  <c r="B132" i="5"/>
  <c r="B32" i="5"/>
  <c r="M79" i="10"/>
  <c r="M92" i="10"/>
  <c r="J92" i="10"/>
  <c r="M166" i="10"/>
  <c r="J166" i="10"/>
  <c r="M142" i="10"/>
  <c r="J142" i="10"/>
  <c r="M83" i="10"/>
  <c r="J83" i="10"/>
  <c r="L93" i="10"/>
  <c r="K93" i="10"/>
  <c r="J93" i="10"/>
  <c r="M93" i="10"/>
  <c r="J77" i="10"/>
  <c r="M82" i="10"/>
  <c r="J82" i="10"/>
  <c r="M94" i="10"/>
  <c r="J94" i="10"/>
  <c r="J86" i="10"/>
  <c r="M86" i="10"/>
  <c r="J85" i="10"/>
  <c r="M85" i="10"/>
  <c r="M91" i="10"/>
  <c r="J91" i="10"/>
  <c r="J81" i="10"/>
  <c r="M81" i="10"/>
  <c r="J78" i="10"/>
  <c r="M78" i="10"/>
  <c r="M76" i="10"/>
  <c r="J76" i="10"/>
  <c r="M84" i="10"/>
  <c r="J84" i="10"/>
  <c r="M90" i="10"/>
  <c r="J90" i="10"/>
  <c r="J61" i="10"/>
  <c r="M61" i="10"/>
  <c r="J70" i="10"/>
  <c r="M70" i="10"/>
  <c r="M67" i="10"/>
  <c r="J67" i="10"/>
  <c r="J71" i="10"/>
  <c r="M71" i="10"/>
  <c r="J63" i="10"/>
  <c r="M63" i="10"/>
  <c r="J62" i="10"/>
  <c r="A126" i="23"/>
  <c r="B108" i="1"/>
  <c r="J103" i="10"/>
  <c r="M103" i="10"/>
  <c r="J114" i="10"/>
  <c r="M114" i="10"/>
  <c r="M117" i="10"/>
  <c r="J117" i="10"/>
  <c r="J100" i="10"/>
  <c r="M100" i="10"/>
  <c r="M121" i="10"/>
  <c r="J121" i="10"/>
  <c r="J101" i="10"/>
  <c r="M101" i="10"/>
  <c r="M116" i="10"/>
  <c r="J116" i="10"/>
  <c r="M107" i="10"/>
  <c r="J106" i="10"/>
  <c r="M106" i="10"/>
  <c r="M105" i="10"/>
  <c r="J105" i="10"/>
  <c r="J109" i="10"/>
  <c r="M109" i="10"/>
  <c r="M120" i="10"/>
  <c r="J120" i="10"/>
  <c r="M97" i="10"/>
  <c r="J97" i="10"/>
  <c r="J113" i="10"/>
  <c r="M113" i="10"/>
  <c r="M110" i="10"/>
  <c r="J110" i="10"/>
  <c r="M98" i="10"/>
  <c r="J98" i="10"/>
  <c r="J99" i="10"/>
  <c r="M99" i="10"/>
  <c r="D9" i="3"/>
  <c r="A89" i="23"/>
  <c r="A99" i="23"/>
  <c r="A86" i="23"/>
  <c r="B27" i="1"/>
  <c r="A145" i="23"/>
  <c r="A154" i="23"/>
  <c r="B71" i="1"/>
  <c r="B51" i="1"/>
  <c r="B153" i="1"/>
  <c r="B83" i="1"/>
  <c r="B158" i="1"/>
  <c r="D53" i="3"/>
  <c r="B139" i="1"/>
  <c r="A119" i="23"/>
  <c r="A111" i="23"/>
  <c r="A13" i="23"/>
  <c r="A122" i="23"/>
  <c r="C159" i="1"/>
  <c r="B111" i="1"/>
  <c r="A53" i="23"/>
  <c r="B47" i="1"/>
  <c r="A42" i="23"/>
  <c r="B60" i="1"/>
  <c r="B150" i="1"/>
  <c r="A46" i="23"/>
  <c r="B134" i="1"/>
  <c r="A108" i="23"/>
  <c r="B142" i="1"/>
  <c r="B22" i="1"/>
  <c r="A69" i="23"/>
  <c r="A56" i="23"/>
  <c r="A148" i="23"/>
  <c r="B123" i="1"/>
  <c r="B79" i="1"/>
  <c r="B78" i="1"/>
  <c r="B17" i="1"/>
  <c r="B54" i="1"/>
  <c r="A103" i="23"/>
  <c r="A117" i="23"/>
  <c r="A55" i="23"/>
  <c r="A133" i="23"/>
  <c r="A87" i="23"/>
  <c r="B94" i="1"/>
  <c r="B112" i="1"/>
  <c r="B127" i="1"/>
  <c r="A120" i="23"/>
  <c r="B128" i="1"/>
  <c r="A121" i="23"/>
  <c r="A44" i="23"/>
  <c r="D104" i="3"/>
  <c r="A6" i="23"/>
  <c r="B12" i="1"/>
  <c r="B34" i="1"/>
  <c r="B45" i="1"/>
  <c r="A39" i="23"/>
  <c r="D138" i="3"/>
  <c r="B31" i="1"/>
  <c r="A25" i="23"/>
  <c r="A100" i="23"/>
  <c r="B107" i="1"/>
  <c r="A26" i="23"/>
  <c r="B32" i="1"/>
  <c r="A95" i="23"/>
  <c r="B92" i="1"/>
  <c r="B15" i="1"/>
  <c r="B143" i="1"/>
  <c r="A33" i="23"/>
  <c r="A35" i="23"/>
  <c r="B41" i="1"/>
  <c r="B153" i="5"/>
  <c r="D110" i="3"/>
  <c r="B26" i="1"/>
  <c r="B119" i="1"/>
  <c r="A112" i="23"/>
  <c r="B38" i="1"/>
  <c r="A32" i="23"/>
  <c r="B156" i="1"/>
  <c r="A149" i="23"/>
  <c r="B114" i="1"/>
  <c r="A10" i="23"/>
  <c r="B16" i="1"/>
  <c r="A70" i="23"/>
  <c r="B76" i="1"/>
  <c r="A81" i="23"/>
  <c r="B87" i="1"/>
  <c r="B30" i="1"/>
  <c r="A24" i="23"/>
  <c r="D108" i="3"/>
  <c r="A130" i="23"/>
  <c r="A14" i="23"/>
  <c r="B97" i="1"/>
  <c r="A75" i="23"/>
  <c r="B81" i="1"/>
  <c r="B21" i="1"/>
  <c r="A15" i="23"/>
  <c r="A155" i="23"/>
  <c r="A57" i="23"/>
  <c r="B63" i="1"/>
  <c r="D28" i="3"/>
  <c r="B43" i="1"/>
  <c r="A80" i="23"/>
  <c r="B72" i="1"/>
  <c r="A38" i="23"/>
  <c r="B44" i="1"/>
  <c r="A115" i="23"/>
  <c r="B122" i="1"/>
  <c r="D107" i="3"/>
  <c r="A52" i="23"/>
  <c r="B58" i="1"/>
  <c r="A156" i="23"/>
  <c r="B77" i="1"/>
  <c r="B88" i="1"/>
  <c r="K94" i="10"/>
  <c r="L91" i="10"/>
  <c r="K121" i="10"/>
  <c r="L87" i="10"/>
  <c r="K84" i="10"/>
  <c r="K138" i="10"/>
  <c r="K73" i="10"/>
  <c r="K104" i="10"/>
  <c r="L166" i="10"/>
  <c r="L64" i="10"/>
  <c r="K100" i="10"/>
  <c r="K142" i="10"/>
  <c r="L103" i="10"/>
  <c r="K144" i="10"/>
  <c r="K72" i="10"/>
  <c r="K107" i="10"/>
  <c r="L143" i="10"/>
  <c r="L112" i="10"/>
  <c r="L111" i="10"/>
  <c r="K82" i="10"/>
  <c r="L116" i="10"/>
  <c r="K152" i="10"/>
  <c r="K88" i="10"/>
  <c r="L81" i="10"/>
  <c r="K115" i="10"/>
  <c r="L86" i="10"/>
  <c r="L120" i="10"/>
  <c r="L83" i="10"/>
  <c r="L117" i="10"/>
  <c r="K92" i="10"/>
  <c r="K90" i="10"/>
  <c r="L159" i="10"/>
  <c r="K61" i="10"/>
  <c r="L96" i="10"/>
  <c r="K130" i="10"/>
  <c r="L101" i="10"/>
  <c r="K101" i="10"/>
  <c r="K76" i="10"/>
  <c r="L76" i="10"/>
  <c r="K80" i="10"/>
  <c r="L80" i="10"/>
  <c r="L49" i="10"/>
  <c r="K118" i="10"/>
  <c r="L118" i="10"/>
  <c r="L70" i="10"/>
  <c r="K70" i="10"/>
  <c r="L79" i="10"/>
  <c r="K79" i="10"/>
  <c r="L113" i="10"/>
  <c r="K113" i="10"/>
  <c r="K85" i="10"/>
  <c r="L85" i="10"/>
  <c r="L114" i="10"/>
  <c r="K114" i="10"/>
  <c r="K78" i="10"/>
  <c r="L78" i="10"/>
  <c r="L109" i="10"/>
  <c r="K109" i="10"/>
  <c r="K98" i="10"/>
  <c r="L98" i="10"/>
  <c r="K96" i="10"/>
  <c r="L66" i="10"/>
  <c r="K66" i="10"/>
  <c r="K68" i="10"/>
  <c r="L68" i="10"/>
  <c r="L141" i="10"/>
  <c r="K141" i="10"/>
  <c r="K112" i="10"/>
  <c r="L121" i="10"/>
  <c r="L157" i="10"/>
  <c r="K157" i="10"/>
  <c r="L63" i="10"/>
  <c r="K63" i="10"/>
  <c r="K67" i="10"/>
  <c r="L67" i="10"/>
  <c r="L102" i="10"/>
  <c r="K102" i="10"/>
  <c r="L65" i="10"/>
  <c r="K65" i="10"/>
  <c r="K110" i="10"/>
  <c r="L110" i="10"/>
  <c r="K108" i="10"/>
  <c r="L105" i="10"/>
  <c r="K105" i="10"/>
  <c r="L74" i="10"/>
  <c r="K74" i="10"/>
  <c r="L62" i="10"/>
  <c r="L75" i="10" s="1"/>
  <c r="K62" i="10"/>
  <c r="L97" i="10"/>
  <c r="K97" i="10"/>
  <c r="L131" i="10"/>
  <c r="K131" i="10"/>
  <c r="L71" i="10"/>
  <c r="K71" i="10"/>
  <c r="K106" i="10"/>
  <c r="L106" i="10"/>
  <c r="K99" i="10"/>
  <c r="L99" i="10"/>
  <c r="K69" i="10"/>
  <c r="L69" i="10"/>
  <c r="D5" i="3"/>
  <c r="K83" i="10"/>
  <c r="C188" i="10"/>
  <c r="L94" i="10"/>
  <c r="K91" i="10"/>
  <c r="L61" i="10"/>
  <c r="L90" i="10"/>
  <c r="L139" i="10"/>
  <c r="L138" i="10"/>
  <c r="F140" i="10" s="1"/>
  <c r="C178" i="10" s="1"/>
  <c r="L142" i="10"/>
  <c r="L119" i="10"/>
  <c r="L104" i="10"/>
  <c r="K159" i="10"/>
  <c r="K120" i="10"/>
  <c r="K103" i="10"/>
  <c r="L92" i="10"/>
  <c r="L84" i="10"/>
  <c r="L82" i="10"/>
  <c r="K166" i="10"/>
  <c r="K64" i="10"/>
  <c r="E75" i="10" s="1"/>
  <c r="B174" i="10" s="1"/>
  <c r="L100" i="10"/>
  <c r="L72" i="10"/>
  <c r="K81" i="10"/>
  <c r="L73" i="10"/>
  <c r="K116" i="10"/>
  <c r="K117" i="10"/>
  <c r="K86" i="10"/>
  <c r="L130" i="10"/>
  <c r="L88" i="10"/>
  <c r="L144" i="10"/>
  <c r="K143" i="10"/>
  <c r="L152" i="10"/>
  <c r="K111" i="10"/>
  <c r="L115" i="10"/>
  <c r="B187" i="10"/>
  <c r="B193" i="10"/>
  <c r="B188" i="10"/>
  <c r="K139" i="10"/>
  <c r="E140" i="10"/>
  <c r="B178" i="10"/>
  <c r="B23" i="17" s="1"/>
  <c r="B192" i="10"/>
  <c r="I147" i="10" l="1"/>
  <c r="I162" i="10"/>
  <c r="I153" i="10"/>
  <c r="J153" i="10" s="1"/>
  <c r="I165" i="10"/>
  <c r="M165" i="10" s="1"/>
  <c r="I151" i="10"/>
  <c r="I161" i="10"/>
  <c r="J141" i="10"/>
  <c r="I146" i="10"/>
  <c r="I158" i="10"/>
  <c r="I145" i="10"/>
  <c r="I156" i="10"/>
  <c r="I164" i="10"/>
  <c r="I150" i="10"/>
  <c r="J150" i="10" s="1"/>
  <c r="I149" i="10"/>
  <c r="I154" i="10"/>
  <c r="I148" i="10"/>
  <c r="K155" i="10"/>
  <c r="J144" i="10"/>
  <c r="M153" i="10"/>
  <c r="K153" i="10"/>
  <c r="L153" i="10"/>
  <c r="M143" i="10"/>
  <c r="L155" i="10"/>
  <c r="L163" i="10"/>
  <c r="K163" i="10"/>
  <c r="J165" i="10"/>
  <c r="J163" i="10"/>
  <c r="G140" i="10"/>
  <c r="E178" i="10" s="1"/>
  <c r="J115" i="10"/>
  <c r="J80" i="10"/>
  <c r="I75" i="10"/>
  <c r="F173" i="10"/>
  <c r="I57" i="10"/>
  <c r="I59" i="10"/>
  <c r="I58" i="10"/>
  <c r="I43" i="10"/>
  <c r="J43" i="10" s="1"/>
  <c r="J33" i="10"/>
  <c r="I45" i="10"/>
  <c r="L55" i="10"/>
  <c r="J49" i="10"/>
  <c r="L53" i="10"/>
  <c r="K49" i="10"/>
  <c r="I51" i="10"/>
  <c r="I38" i="10"/>
  <c r="I50" i="10"/>
  <c r="I48" i="10"/>
  <c r="I37" i="10"/>
  <c r="I2" i="10"/>
  <c r="I10" i="10"/>
  <c r="I18" i="10"/>
  <c r="I26" i="10"/>
  <c r="I28" i="10"/>
  <c r="I29" i="10"/>
  <c r="I30" i="10"/>
  <c r="I3" i="10"/>
  <c r="I11" i="10"/>
  <c r="I19" i="10"/>
  <c r="I27" i="10"/>
  <c r="I5" i="10"/>
  <c r="I4" i="10"/>
  <c r="I12" i="10"/>
  <c r="I20" i="10"/>
  <c r="I6" i="10"/>
  <c r="I7" i="10"/>
  <c r="I15" i="10"/>
  <c r="I23" i="10"/>
  <c r="I31" i="10"/>
  <c r="I8" i="10"/>
  <c r="I16" i="10"/>
  <c r="I24" i="10"/>
  <c r="I13" i="10"/>
  <c r="I14" i="10"/>
  <c r="I9" i="10"/>
  <c r="I17" i="10"/>
  <c r="I25" i="10"/>
  <c r="I21" i="10"/>
  <c r="I22" i="10"/>
  <c r="G97" i="1"/>
  <c r="I97" i="1" s="1"/>
  <c r="H97" i="1" s="1"/>
  <c r="G118" i="1"/>
  <c r="I118" i="1" s="1"/>
  <c r="H118" i="1" s="1"/>
  <c r="G119" i="1"/>
  <c r="I119" i="1" s="1"/>
  <c r="H119" i="1" s="1"/>
  <c r="G125" i="1"/>
  <c r="I125" i="1" s="1"/>
  <c r="H125" i="1" s="1"/>
  <c r="G143" i="1"/>
  <c r="I143" i="1" s="1"/>
  <c r="H143" i="1" s="1"/>
  <c r="G94" i="1"/>
  <c r="I94" i="1" s="1"/>
  <c r="H94" i="1" s="1"/>
  <c r="G132" i="1"/>
  <c r="I132" i="1" s="1"/>
  <c r="H132" i="1" s="1"/>
  <c r="D79" i="3"/>
  <c r="G105" i="1"/>
  <c r="I105" i="1" s="1"/>
  <c r="H105" i="1" s="1"/>
  <c r="G98" i="1"/>
  <c r="I98" i="1" s="1"/>
  <c r="H98" i="1" s="1"/>
  <c r="G139" i="1"/>
  <c r="I139" i="1" s="1"/>
  <c r="H139" i="1" s="1"/>
  <c r="G88" i="1"/>
  <c r="I88" i="1" s="1"/>
  <c r="H88" i="1" s="1"/>
  <c r="I84" i="25"/>
  <c r="I83" i="25"/>
  <c r="D146" i="5"/>
  <c r="D54" i="5"/>
  <c r="D103" i="5"/>
  <c r="G109" i="1" s="1"/>
  <c r="D53" i="5"/>
  <c r="D64" i="5"/>
  <c r="D77" i="5"/>
  <c r="D69" i="5"/>
  <c r="D32" i="5"/>
  <c r="D117" i="5"/>
  <c r="G123" i="1" s="1"/>
  <c r="D9" i="5"/>
  <c r="D138" i="5"/>
  <c r="G144" i="1" s="1"/>
  <c r="D139" i="5"/>
  <c r="D121" i="5"/>
  <c r="G127" i="1" s="1"/>
  <c r="D63" i="5"/>
  <c r="D71" i="5"/>
  <c r="D44" i="5"/>
  <c r="D10" i="5"/>
  <c r="D33" i="5"/>
  <c r="D129" i="5"/>
  <c r="G135" i="1" s="1"/>
  <c r="D104" i="5"/>
  <c r="G110" i="1" s="1"/>
  <c r="D116" i="5"/>
  <c r="G122" i="1" s="1"/>
  <c r="D152" i="5"/>
  <c r="D72" i="5"/>
  <c r="D107" i="5"/>
  <c r="G113" i="1" s="1"/>
  <c r="D29" i="5"/>
  <c r="D123" i="5"/>
  <c r="G129" i="1" s="1"/>
  <c r="D28" i="5"/>
  <c r="D100" i="5"/>
  <c r="G106" i="1" s="1"/>
  <c r="D125" i="5"/>
  <c r="G131" i="1" s="1"/>
  <c r="D32" i="3"/>
  <c r="D34" i="5"/>
  <c r="C37" i="2"/>
  <c r="C43" i="1" s="1"/>
  <c r="D43" i="1" s="1"/>
  <c r="E37" i="3" s="1"/>
  <c r="B37" i="5"/>
  <c r="B37" i="2"/>
  <c r="B116" i="5"/>
  <c r="B96" i="5"/>
  <c r="B156" i="5"/>
  <c r="C71" i="1"/>
  <c r="B133" i="5"/>
  <c r="C156" i="3"/>
  <c r="C133" i="3"/>
  <c r="C65" i="3"/>
  <c r="C89" i="2"/>
  <c r="C89" i="3" s="1"/>
  <c r="B89" i="2"/>
  <c r="C87" i="3"/>
  <c r="C23" i="3"/>
  <c r="C149" i="3"/>
  <c r="B130" i="5"/>
  <c r="C145" i="1"/>
  <c r="C44" i="3"/>
  <c r="C50" i="1"/>
  <c r="C141" i="3"/>
  <c r="B120" i="5"/>
  <c r="C73" i="1"/>
  <c r="C47" i="3"/>
  <c r="C58" i="3"/>
  <c r="B13" i="5"/>
  <c r="B59" i="5"/>
  <c r="C21" i="3"/>
  <c r="C120" i="3"/>
  <c r="B73" i="5"/>
  <c r="B60" i="5"/>
  <c r="C53" i="1"/>
  <c r="C146" i="1"/>
  <c r="C13" i="3"/>
  <c r="C48" i="3"/>
  <c r="C131" i="3"/>
  <c r="C59" i="3"/>
  <c r="C103" i="3"/>
  <c r="C146" i="3"/>
  <c r="C61" i="1"/>
  <c r="C58" i="1"/>
  <c r="B43" i="5"/>
  <c r="C130" i="1"/>
  <c r="C27" i="1"/>
  <c r="B76" i="5"/>
  <c r="B123" i="5"/>
  <c r="C137" i="1"/>
  <c r="C109" i="1"/>
  <c r="C164" i="1"/>
  <c r="B11" i="5"/>
  <c r="C95" i="1"/>
  <c r="B158" i="5"/>
  <c r="C68" i="3"/>
  <c r="C124" i="3"/>
  <c r="B129" i="5"/>
  <c r="B12" i="5"/>
  <c r="C151" i="1"/>
  <c r="B117" i="5"/>
  <c r="B140" i="5"/>
  <c r="C122" i="1"/>
  <c r="C31" i="3"/>
  <c r="C79" i="1"/>
  <c r="C158" i="1"/>
  <c r="C152" i="3"/>
  <c r="C24" i="3"/>
  <c r="B24" i="5"/>
  <c r="C145" i="3"/>
  <c r="B141" i="5"/>
  <c r="C111" i="3"/>
  <c r="B100" i="5"/>
  <c r="C96" i="3"/>
  <c r="C97" i="1"/>
  <c r="C134" i="1"/>
  <c r="C78" i="1"/>
  <c r="C136" i="3"/>
  <c r="B111" i="5"/>
  <c r="C106" i="1"/>
  <c r="C8" i="2"/>
  <c r="C91" i="3"/>
  <c r="B72" i="5"/>
  <c r="C155" i="1"/>
  <c r="C20" i="3"/>
  <c r="B136" i="5"/>
  <c r="B102" i="5"/>
  <c r="B110" i="5"/>
  <c r="C80" i="3"/>
  <c r="B101" i="5"/>
  <c r="C16" i="1"/>
  <c r="B40" i="5"/>
  <c r="C82" i="3"/>
  <c r="B10" i="5"/>
  <c r="B82" i="5"/>
  <c r="C116" i="1"/>
  <c r="D49" i="3"/>
  <c r="D49" i="5"/>
  <c r="G100" i="1"/>
  <c r="I100" i="1" s="1"/>
  <c r="H100" i="1" s="1"/>
  <c r="G142" i="1"/>
  <c r="I142" i="1" s="1"/>
  <c r="H142" i="1" s="1"/>
  <c r="D131" i="5"/>
  <c r="G137" i="1" s="1"/>
  <c r="D131" i="3"/>
  <c r="B56" i="1"/>
  <c r="A50" i="23"/>
  <c r="B109" i="1"/>
  <c r="A102" i="23"/>
  <c r="A97" i="23"/>
  <c r="B104" i="1"/>
  <c r="G104" i="1"/>
  <c r="I104" i="1" s="1"/>
  <c r="H104" i="1" s="1"/>
  <c r="A153" i="23"/>
  <c r="B160" i="1"/>
  <c r="B27" i="5"/>
  <c r="C33" i="1"/>
  <c r="C56" i="3"/>
  <c r="B56" i="5"/>
  <c r="D13" i="3"/>
  <c r="D13" i="5"/>
  <c r="G87" i="1"/>
  <c r="I87" i="1" s="1"/>
  <c r="H87" i="1" s="1"/>
  <c r="A23" i="23"/>
  <c r="D48" i="3"/>
  <c r="D48" i="5"/>
  <c r="B145" i="1"/>
  <c r="A138" i="23"/>
  <c r="D5" i="5"/>
  <c r="C81" i="1"/>
  <c r="B75" i="5"/>
  <c r="C89" i="1"/>
  <c r="C83" i="3"/>
  <c r="D38" i="5"/>
  <c r="D38" i="3"/>
  <c r="G140" i="1"/>
  <c r="I140" i="1" s="1"/>
  <c r="H140" i="1" s="1"/>
  <c r="B84" i="5"/>
  <c r="C84" i="3"/>
  <c r="D17" i="3"/>
  <c r="D17" i="5"/>
  <c r="D57" i="5"/>
  <c r="D57" i="3"/>
  <c r="C161" i="1"/>
  <c r="C155" i="3"/>
  <c r="C38" i="1"/>
  <c r="C32" i="3"/>
  <c r="B95" i="5"/>
  <c r="C101" i="1"/>
  <c r="B104" i="5"/>
  <c r="C104" i="3"/>
  <c r="D111" i="5"/>
  <c r="G117" i="1" s="1"/>
  <c r="A129" i="23"/>
  <c r="B136" i="1"/>
  <c r="D109" i="5"/>
  <c r="G115" i="1" s="1"/>
  <c r="D63" i="3"/>
  <c r="D33" i="3"/>
  <c r="D110" i="5"/>
  <c r="G116" i="1" s="1"/>
  <c r="A110" i="23"/>
  <c r="A40" i="5"/>
  <c r="G26" i="1" s="1"/>
  <c r="I26" i="1" s="1"/>
  <c r="H26" i="1" s="1"/>
  <c r="A36" i="5"/>
  <c r="G42" i="1" s="1"/>
  <c r="I42" i="1" s="1"/>
  <c r="H42" i="1" s="1"/>
  <c r="A45" i="5"/>
  <c r="D45" i="5" s="1"/>
  <c r="A142" i="23"/>
  <c r="A43" i="5"/>
  <c r="G133" i="1"/>
  <c r="I133" i="1" s="1"/>
  <c r="H133" i="1" s="1"/>
  <c r="B151" i="5"/>
  <c r="A5" i="23"/>
  <c r="D118" i="5"/>
  <c r="G124" i="1" s="1"/>
  <c r="D90" i="5"/>
  <c r="G96" i="1" s="1"/>
  <c r="C41" i="3"/>
  <c r="A55" i="5"/>
  <c r="A46" i="1"/>
  <c r="A42" i="1"/>
  <c r="A39" i="5"/>
  <c r="A68" i="1"/>
  <c r="B68" i="1" s="1"/>
  <c r="A74" i="1"/>
  <c r="G79" i="1"/>
  <c r="I79" i="1" s="1"/>
  <c r="H79" i="1" s="1"/>
  <c r="A18" i="5"/>
  <c r="C4" i="2"/>
  <c r="C4" i="3" s="1"/>
  <c r="D66" i="5"/>
  <c r="D66" i="3"/>
  <c r="D157" i="3"/>
  <c r="D157" i="5"/>
  <c r="B55" i="1"/>
  <c r="A49" i="23"/>
  <c r="A152" i="23"/>
  <c r="B159" i="1"/>
  <c r="G102" i="1"/>
  <c r="I102" i="1" s="1"/>
  <c r="H102" i="1" s="1"/>
  <c r="A60" i="23"/>
  <c r="B66" i="1"/>
  <c r="D115" i="5"/>
  <c r="G121" i="1" s="1"/>
  <c r="D65" i="3"/>
  <c r="D65" i="5"/>
  <c r="A4" i="23"/>
  <c r="B10" i="1"/>
  <c r="D153" i="3"/>
  <c r="D122" i="5"/>
  <c r="G128" i="1" s="1"/>
  <c r="D147" i="5"/>
  <c r="D153" i="5"/>
  <c r="D74" i="5"/>
  <c r="D114" i="5"/>
  <c r="G120" i="1" s="1"/>
  <c r="D128" i="5"/>
  <c r="G134" i="1" s="1"/>
  <c r="D50" i="5"/>
  <c r="A65" i="23"/>
  <c r="B40" i="1"/>
  <c r="D78" i="3"/>
  <c r="D78" i="5"/>
  <c r="A73" i="23"/>
  <c r="B14" i="1"/>
  <c r="A8" i="23"/>
  <c r="D67" i="5"/>
  <c r="G73" i="1" s="1"/>
  <c r="A128" i="23"/>
  <c r="B135" i="1"/>
  <c r="D6" i="3"/>
  <c r="D6" i="5"/>
  <c r="D59" i="5"/>
  <c r="D158" i="5"/>
  <c r="G164" i="1" s="1"/>
  <c r="I164" i="1" s="1"/>
  <c r="H164" i="1" s="1"/>
  <c r="D24" i="5"/>
  <c r="D150" i="3"/>
  <c r="D150" i="5"/>
  <c r="A29" i="23"/>
  <c r="B35" i="1"/>
  <c r="A3" i="23"/>
  <c r="B9" i="1"/>
  <c r="A116" i="23"/>
  <c r="A45" i="23"/>
  <c r="B25" i="1"/>
  <c r="A19" i="23"/>
  <c r="G95" i="1"/>
  <c r="I95" i="1" s="1"/>
  <c r="H95" i="1" s="1"/>
  <c r="B95" i="1"/>
  <c r="D108" i="5"/>
  <c r="G114" i="1" s="1"/>
  <c r="D80" i="3"/>
  <c r="D80" i="5"/>
  <c r="G86" i="1" s="1"/>
  <c r="D154" i="5"/>
  <c r="D68" i="5"/>
  <c r="G74" i="1" s="1"/>
  <c r="D86" i="5"/>
  <c r="G92" i="1" s="1"/>
  <c r="A114" i="23"/>
  <c r="A34" i="23"/>
  <c r="D124" i="5"/>
  <c r="G130" i="1" s="1"/>
  <c r="G107" i="1"/>
  <c r="I107" i="1" s="1"/>
  <c r="H107" i="1" s="1"/>
  <c r="G108" i="1"/>
  <c r="I108" i="1" s="1"/>
  <c r="H108" i="1" s="1"/>
  <c r="G112" i="1"/>
  <c r="I112" i="1" s="1"/>
  <c r="H112" i="1" s="1"/>
  <c r="B13" i="1"/>
  <c r="A125" i="23"/>
  <c r="B132" i="1"/>
  <c r="D83" i="3"/>
  <c r="D83" i="5"/>
  <c r="B84" i="1"/>
  <c r="A78" i="23"/>
  <c r="D109" i="3"/>
  <c r="B121" i="1"/>
  <c r="A140" i="23"/>
  <c r="D143" i="5"/>
  <c r="B163" i="1"/>
  <c r="B20" i="1"/>
  <c r="C163" i="1"/>
  <c r="C157" i="3"/>
  <c r="B164" i="1"/>
  <c r="A157" i="23"/>
  <c r="A92" i="23"/>
  <c r="B99" i="1"/>
  <c r="G99" i="1"/>
  <c r="I99" i="1" s="1"/>
  <c r="H99" i="1" s="1"/>
  <c r="B53" i="1"/>
  <c r="A47" i="23"/>
  <c r="B103" i="1"/>
  <c r="G103" i="1"/>
  <c r="I103" i="1" s="1"/>
  <c r="H103" i="1" s="1"/>
  <c r="A96" i="23"/>
  <c r="D25" i="5"/>
  <c r="G93" i="1"/>
  <c r="I93" i="1" s="1"/>
  <c r="H93" i="1" s="1"/>
  <c r="A12" i="23"/>
  <c r="B93" i="1"/>
  <c r="A62" i="23"/>
  <c r="A27" i="23"/>
  <c r="D156" i="24"/>
  <c r="C156" i="24" s="1"/>
  <c r="C119" i="3"/>
  <c r="A83" i="3"/>
  <c r="I83" i="3" s="1"/>
  <c r="A89" i="1"/>
  <c r="D154" i="24"/>
  <c r="C154" i="24" s="1"/>
  <c r="A65" i="3"/>
  <c r="I65" i="3" s="1"/>
  <c r="A148" i="5"/>
  <c r="A148" i="3"/>
  <c r="I148" i="3" s="1"/>
  <c r="C30" i="2"/>
  <c r="B30" i="2"/>
  <c r="G136" i="1"/>
  <c r="I136" i="1" s="1"/>
  <c r="H136" i="1" s="1"/>
  <c r="B91" i="1"/>
  <c r="A76" i="23"/>
  <c r="A22" i="23"/>
  <c r="G141" i="1"/>
  <c r="I141" i="1" s="1"/>
  <c r="H141" i="1" s="1"/>
  <c r="B23" i="1"/>
  <c r="C47" i="1"/>
  <c r="C107" i="3"/>
  <c r="A90" i="1"/>
  <c r="B154" i="1"/>
  <c r="D47" i="5"/>
  <c r="D151" i="24"/>
  <c r="C151" i="24" s="1"/>
  <c r="D105" i="5"/>
  <c r="G111" i="1" s="1"/>
  <c r="D105" i="3"/>
  <c r="G91" i="1"/>
  <c r="I91" i="1" s="1"/>
  <c r="H91" i="1" s="1"/>
  <c r="A31" i="23"/>
  <c r="C77" i="1"/>
  <c r="C62" i="1"/>
  <c r="C82" i="1"/>
  <c r="A24" i="1"/>
  <c r="C150" i="24"/>
  <c r="D150" i="24"/>
  <c r="D3" i="24"/>
  <c r="C3" i="24" s="1"/>
  <c r="C99" i="2"/>
  <c r="B99" i="2"/>
  <c r="C26" i="2"/>
  <c r="B26" i="2"/>
  <c r="C66" i="3"/>
  <c r="C22" i="1"/>
  <c r="C100" i="1"/>
  <c r="B157" i="5"/>
  <c r="C94" i="3"/>
  <c r="B20" i="5"/>
  <c r="B80" i="5"/>
  <c r="B29" i="5"/>
  <c r="C154" i="3"/>
  <c r="C160" i="1"/>
  <c r="B154" i="5"/>
  <c r="C11" i="1"/>
  <c r="B5" i="5"/>
  <c r="C5" i="3"/>
  <c r="C20" i="1"/>
  <c r="B14" i="5"/>
  <c r="C14" i="3"/>
  <c r="C28" i="1"/>
  <c r="C22" i="3"/>
  <c r="B22" i="5"/>
  <c r="C75" i="1"/>
  <c r="B69" i="5"/>
  <c r="C69" i="3"/>
  <c r="C77" i="3"/>
  <c r="C83" i="1"/>
  <c r="B77" i="5"/>
  <c r="C91" i="1"/>
  <c r="C85" i="3"/>
  <c r="B85" i="5"/>
  <c r="C127" i="1"/>
  <c r="C121" i="3"/>
  <c r="B121" i="5"/>
  <c r="C6" i="3"/>
  <c r="B6" i="5"/>
  <c r="C12" i="1"/>
  <c r="C39" i="1"/>
  <c r="C33" i="3"/>
  <c r="B33" i="5"/>
  <c r="B45" i="5"/>
  <c r="C51" i="1"/>
  <c r="C45" i="3"/>
  <c r="C59" i="1"/>
  <c r="C53" i="3"/>
  <c r="B53" i="5"/>
  <c r="C61" i="3"/>
  <c r="C67" i="1"/>
  <c r="D67" i="1" s="1"/>
  <c r="B61" i="5"/>
  <c r="C70" i="3"/>
  <c r="C76" i="1"/>
  <c r="B70" i="5"/>
  <c r="B78" i="5"/>
  <c r="C84" i="1"/>
  <c r="C78" i="3"/>
  <c r="C86" i="3"/>
  <c r="B86" i="5"/>
  <c r="C92" i="1"/>
  <c r="B105" i="5"/>
  <c r="C111" i="1"/>
  <c r="C105" i="3"/>
  <c r="C113" i="3"/>
  <c r="C119" i="1"/>
  <c r="B113" i="5"/>
  <c r="C122" i="3"/>
  <c r="C128" i="1"/>
  <c r="B122" i="5"/>
  <c r="C40" i="1"/>
  <c r="C34" i="3"/>
  <c r="B34" i="5"/>
  <c r="C52" i="1"/>
  <c r="C46" i="3"/>
  <c r="B46" i="5"/>
  <c r="C60" i="1"/>
  <c r="B54" i="5"/>
  <c r="C54" i="3"/>
  <c r="C62" i="3"/>
  <c r="C68" i="1"/>
  <c r="B62" i="5"/>
  <c r="C97" i="3"/>
  <c r="B97" i="5"/>
  <c r="C103" i="1"/>
  <c r="C112" i="1"/>
  <c r="B106" i="5"/>
  <c r="C106" i="3"/>
  <c r="C120" i="1"/>
  <c r="B114" i="5"/>
  <c r="C114" i="3"/>
  <c r="C15" i="1"/>
  <c r="C9" i="3"/>
  <c r="B9" i="5"/>
  <c r="C23" i="1"/>
  <c r="C17" i="3"/>
  <c r="B17" i="5"/>
  <c r="B25" i="5"/>
  <c r="C25" i="3"/>
  <c r="C31" i="1"/>
  <c r="C38" i="3"/>
  <c r="C44" i="1"/>
  <c r="B38" i="5"/>
  <c r="C96" i="1"/>
  <c r="C90" i="3"/>
  <c r="B90" i="5"/>
  <c r="B98" i="5"/>
  <c r="C98" i="3"/>
  <c r="C104" i="1"/>
  <c r="D83" i="23"/>
  <c r="E84" i="3"/>
  <c r="C8" i="1"/>
  <c r="B2" i="5"/>
  <c r="C2" i="3"/>
  <c r="E156" i="3"/>
  <c r="D155" i="23"/>
  <c r="K15" i="26"/>
  <c r="K16" i="26" s="1"/>
  <c r="B3" i="26" s="1"/>
  <c r="B4" i="26" s="1"/>
  <c r="H31" i="3"/>
  <c r="F31" i="23"/>
  <c r="H100" i="3"/>
  <c r="F99" i="23"/>
  <c r="F93" i="23"/>
  <c r="H94" i="3"/>
  <c r="F97" i="23"/>
  <c r="H98" i="3"/>
  <c r="H149" i="3"/>
  <c r="F148" i="23"/>
  <c r="H71" i="3"/>
  <c r="F71" i="23"/>
  <c r="F64" i="23"/>
  <c r="H64" i="3"/>
  <c r="F76" i="23"/>
  <c r="H76" i="3"/>
  <c r="F62" i="23"/>
  <c r="H62" i="3"/>
  <c r="H47" i="3"/>
  <c r="F47" i="23"/>
  <c r="F8" i="23"/>
  <c r="H8" i="3"/>
  <c r="F92" i="23"/>
  <c r="H93" i="3"/>
  <c r="F45" i="23"/>
  <c r="H45" i="3"/>
  <c r="F95" i="23"/>
  <c r="H96" i="3"/>
  <c r="H66" i="3"/>
  <c r="F66" i="23"/>
  <c r="H39" i="3"/>
  <c r="F134" i="23"/>
  <c r="H63" i="3"/>
  <c r="H119" i="3"/>
  <c r="F49" i="23"/>
  <c r="F19" i="23"/>
  <c r="H91" i="3"/>
  <c r="H155" i="3"/>
  <c r="H16" i="3"/>
  <c r="H43" i="3"/>
  <c r="H107" i="3"/>
  <c r="H75" i="3"/>
  <c r="F33" i="23"/>
  <c r="H35" i="3"/>
  <c r="H79" i="3"/>
  <c r="F5" i="23"/>
  <c r="H5" i="3"/>
  <c r="F145" i="23"/>
  <c r="H146" i="3"/>
  <c r="F124" i="23"/>
  <c r="H125" i="3"/>
  <c r="H114" i="3"/>
  <c r="F113" i="23"/>
  <c r="F96" i="23"/>
  <c r="H97" i="3"/>
  <c r="F86" i="23"/>
  <c r="H87" i="3"/>
  <c r="H59" i="3"/>
  <c r="F59" i="23"/>
  <c r="F55" i="23"/>
  <c r="H55" i="3"/>
  <c r="H51" i="3"/>
  <c r="F51" i="23"/>
  <c r="F48" i="23"/>
  <c r="H48" i="3"/>
  <c r="F38" i="23"/>
  <c r="H38" i="3"/>
  <c r="F13" i="23"/>
  <c r="H13" i="3"/>
  <c r="H152" i="3"/>
  <c r="F151" i="23"/>
  <c r="H130" i="3"/>
  <c r="F129" i="23"/>
  <c r="F102" i="23"/>
  <c r="H103" i="3"/>
  <c r="H29" i="3"/>
  <c r="F29" i="23"/>
  <c r="F25" i="23"/>
  <c r="H25" i="3"/>
  <c r="H21" i="3"/>
  <c r="F21" i="23"/>
  <c r="F128" i="23"/>
  <c r="H129" i="3"/>
  <c r="H139" i="3"/>
  <c r="F138" i="23"/>
  <c r="H124" i="3"/>
  <c r="F123" i="23"/>
  <c r="H110" i="3"/>
  <c r="F109" i="23"/>
  <c r="H83" i="3"/>
  <c r="F82" i="23"/>
  <c r="H70" i="3"/>
  <c r="F70" i="23"/>
  <c r="F58" i="23"/>
  <c r="H58" i="3"/>
  <c r="H54" i="3"/>
  <c r="F54" i="23"/>
  <c r="F50" i="23"/>
  <c r="H50" i="3"/>
  <c r="F42" i="23"/>
  <c r="H42" i="3"/>
  <c r="F32" i="23"/>
  <c r="H32" i="3"/>
  <c r="H9" i="3"/>
  <c r="F9" i="23"/>
  <c r="F135" i="23"/>
  <c r="H136" i="3"/>
  <c r="H148" i="3"/>
  <c r="F147" i="23"/>
  <c r="F132" i="23"/>
  <c r="H133" i="3"/>
  <c r="H128" i="3"/>
  <c r="F127" i="23"/>
  <c r="H120" i="3"/>
  <c r="F119" i="23"/>
  <c r="H116" i="3"/>
  <c r="F115" i="23"/>
  <c r="F28" i="23"/>
  <c r="H28" i="3"/>
  <c r="H24" i="3"/>
  <c r="F24" i="23"/>
  <c r="F20" i="23"/>
  <c r="H20" i="3"/>
  <c r="F15" i="23"/>
  <c r="H15" i="3"/>
  <c r="F139" i="23"/>
  <c r="H140" i="3"/>
  <c r="F122" i="23"/>
  <c r="H123" i="3"/>
  <c r="H105" i="3"/>
  <c r="F104" i="23"/>
  <c r="F77" i="23"/>
  <c r="H77" i="3"/>
  <c r="H65" i="3"/>
  <c r="F65" i="23"/>
  <c r="H57" i="3"/>
  <c r="F57" i="23"/>
  <c r="H53" i="3"/>
  <c r="F53" i="23"/>
  <c r="F44" i="23"/>
  <c r="H44" i="3"/>
  <c r="H34" i="3"/>
  <c r="F34" i="23"/>
  <c r="F142" i="23"/>
  <c r="H143" i="3"/>
  <c r="H132" i="3"/>
  <c r="F131" i="23"/>
  <c r="F126" i="23"/>
  <c r="H127" i="3"/>
  <c r="F111" i="23"/>
  <c r="H112" i="3"/>
  <c r="H89" i="3"/>
  <c r="F88" i="23"/>
  <c r="H85" i="3"/>
  <c r="F84" i="23"/>
  <c r="H72" i="3"/>
  <c r="F72" i="23"/>
  <c r="H40" i="3"/>
  <c r="F40" i="23"/>
  <c r="F27" i="23"/>
  <c r="H27" i="3"/>
  <c r="H23" i="3"/>
  <c r="F23" i="23"/>
  <c r="H11" i="3"/>
  <c r="F11" i="23"/>
  <c r="F67" i="23"/>
  <c r="H67" i="3"/>
  <c r="H150" i="3"/>
  <c r="F149" i="23"/>
  <c r="F121" i="23"/>
  <c r="H122" i="3"/>
  <c r="H118" i="3"/>
  <c r="F117" i="23"/>
  <c r="H101" i="3"/>
  <c r="F100" i="23"/>
  <c r="H95" i="3"/>
  <c r="F94" i="23"/>
  <c r="H60" i="3"/>
  <c r="F60" i="23"/>
  <c r="F56" i="23"/>
  <c r="H56" i="3"/>
  <c r="F52" i="23"/>
  <c r="H52" i="3"/>
  <c r="H46" i="3"/>
  <c r="F46" i="23"/>
  <c r="H17" i="3"/>
  <c r="F17" i="23"/>
  <c r="F89" i="23"/>
  <c r="H90" i="3"/>
  <c r="F156" i="23"/>
  <c r="H157" i="3"/>
  <c r="F136" i="23"/>
  <c r="H137" i="3"/>
  <c r="F130" i="23"/>
  <c r="H131" i="3"/>
  <c r="H108" i="3"/>
  <c r="F107" i="23"/>
  <c r="F80" i="23"/>
  <c r="H80" i="3"/>
  <c r="H68" i="3"/>
  <c r="F68" i="23"/>
  <c r="H26" i="3"/>
  <c r="F26" i="23"/>
  <c r="F22" i="23"/>
  <c r="H22" i="3"/>
  <c r="H7" i="3"/>
  <c r="F7" i="23"/>
  <c r="F74" i="23"/>
  <c r="H74" i="3"/>
  <c r="F157" i="23"/>
  <c r="H158" i="3"/>
  <c r="H142" i="3"/>
  <c r="H117" i="3"/>
  <c r="F103" i="23"/>
  <c r="H147" i="3"/>
  <c r="H73" i="3"/>
  <c r="F69" i="23"/>
  <c r="H109" i="3"/>
  <c r="H138" i="3"/>
  <c r="H84" i="3"/>
  <c r="F152" i="23"/>
  <c r="F110" i="23"/>
  <c r="H12" i="3"/>
  <c r="F144" i="23"/>
  <c r="H115" i="3"/>
  <c r="F101" i="23"/>
  <c r="H113" i="3"/>
  <c r="H14" i="3"/>
  <c r="F10" i="23"/>
  <c r="H6" i="3"/>
  <c r="F120" i="23"/>
  <c r="F85" i="23"/>
  <c r="F78" i="23"/>
  <c r="H81" i="3"/>
  <c r="J160" i="10"/>
  <c r="K160" i="10"/>
  <c r="I167" i="10"/>
  <c r="M160" i="10"/>
  <c r="L160" i="10"/>
  <c r="J157" i="10"/>
  <c r="J155" i="10"/>
  <c r="M152" i="10"/>
  <c r="M149" i="10"/>
  <c r="M159" i="10"/>
  <c r="J161" i="10"/>
  <c r="J138" i="10"/>
  <c r="D140" i="10" s="1"/>
  <c r="D178" i="10" s="1"/>
  <c r="J133" i="10"/>
  <c r="M130" i="10"/>
  <c r="M131" i="10"/>
  <c r="M124" i="10"/>
  <c r="J124" i="10"/>
  <c r="L124" i="10"/>
  <c r="K124" i="10"/>
  <c r="I136" i="10"/>
  <c r="I127" i="10"/>
  <c r="I128" i="10"/>
  <c r="I135" i="10"/>
  <c r="I132" i="10"/>
  <c r="I129" i="10"/>
  <c r="I134" i="10"/>
  <c r="I126" i="10"/>
  <c r="L133" i="10"/>
  <c r="I125" i="10"/>
  <c r="J107" i="10"/>
  <c r="J108" i="10"/>
  <c r="M108" i="10"/>
  <c r="K119" i="10"/>
  <c r="J119" i="10"/>
  <c r="J122" i="10"/>
  <c r="D123" i="10" s="1"/>
  <c r="D176" i="10" s="1"/>
  <c r="K122" i="10"/>
  <c r="L122" i="10"/>
  <c r="F123" i="10" s="1"/>
  <c r="C176" i="10" s="1"/>
  <c r="I123" i="10"/>
  <c r="M122" i="10"/>
  <c r="M87" i="10"/>
  <c r="J87" i="10"/>
  <c r="M77" i="10"/>
  <c r="K77" i="10"/>
  <c r="E95" i="10" s="1"/>
  <c r="B175" i="10" s="1"/>
  <c r="B186" i="10" s="1"/>
  <c r="C186" i="10" s="1"/>
  <c r="I95" i="10"/>
  <c r="M89" i="10"/>
  <c r="J89" i="10"/>
  <c r="K89" i="10"/>
  <c r="L89" i="10"/>
  <c r="F95" i="10" s="1"/>
  <c r="C175" i="10" s="1"/>
  <c r="M65" i="10"/>
  <c r="F75" i="10"/>
  <c r="C174" i="10" s="1"/>
  <c r="B22" i="17" s="1"/>
  <c r="J74" i="10"/>
  <c r="D75" i="10" s="1"/>
  <c r="D174" i="10" s="1"/>
  <c r="M68" i="10"/>
  <c r="M62" i="10"/>
  <c r="L43" i="10"/>
  <c r="L33" i="10"/>
  <c r="J55" i="10"/>
  <c r="L51" i="10"/>
  <c r="K33" i="10"/>
  <c r="K43" i="10"/>
  <c r="K53" i="10"/>
  <c r="J51" i="10"/>
  <c r="K55" i="10"/>
  <c r="M45" i="10"/>
  <c r="I52" i="10"/>
  <c r="I42" i="10"/>
  <c r="I44" i="10"/>
  <c r="I36" i="10"/>
  <c r="F172" i="10"/>
  <c r="I34" i="10"/>
  <c r="I39" i="10"/>
  <c r="J38" i="10"/>
  <c r="J53" i="10"/>
  <c r="M43" i="10"/>
  <c r="I47" i="10"/>
  <c r="I46" i="10"/>
  <c r="I41" i="10"/>
  <c r="I40" i="10"/>
  <c r="I54" i="10"/>
  <c r="I35" i="10"/>
  <c r="F171" i="10"/>
  <c r="M148" i="10" l="1"/>
  <c r="K148" i="10"/>
  <c r="J148" i="10"/>
  <c r="L148" i="10"/>
  <c r="J146" i="10"/>
  <c r="L146" i="10"/>
  <c r="K146" i="10"/>
  <c r="E167" i="10" s="1"/>
  <c r="M146" i="10"/>
  <c r="J154" i="10"/>
  <c r="M154" i="10"/>
  <c r="L154" i="10"/>
  <c r="K154" i="10"/>
  <c r="J149" i="10"/>
  <c r="L149" i="10"/>
  <c r="K149" i="10"/>
  <c r="M161" i="10"/>
  <c r="L161" i="10"/>
  <c r="K161" i="10"/>
  <c r="J151" i="10"/>
  <c r="K151" i="10"/>
  <c r="M151" i="10"/>
  <c r="L151" i="10"/>
  <c r="L164" i="10"/>
  <c r="K164" i="10"/>
  <c r="M164" i="10"/>
  <c r="J164" i="10"/>
  <c r="L165" i="10"/>
  <c r="J156" i="10"/>
  <c r="M156" i="10"/>
  <c r="K156" i="10"/>
  <c r="L156" i="10"/>
  <c r="M150" i="10"/>
  <c r="K150" i="10"/>
  <c r="L150" i="10"/>
  <c r="J145" i="10"/>
  <c r="K145" i="10"/>
  <c r="M145" i="10"/>
  <c r="L145" i="10"/>
  <c r="F167" i="10" s="1"/>
  <c r="C179" i="10" s="1"/>
  <c r="M162" i="10"/>
  <c r="J162" i="10"/>
  <c r="K162" i="10"/>
  <c r="L162" i="10"/>
  <c r="K165" i="10"/>
  <c r="M158" i="10"/>
  <c r="L158" i="10"/>
  <c r="J158" i="10"/>
  <c r="D167" i="10" s="1"/>
  <c r="K158" i="10"/>
  <c r="L147" i="10"/>
  <c r="M147" i="10"/>
  <c r="J147" i="10"/>
  <c r="K147" i="10"/>
  <c r="G167" i="10"/>
  <c r="E179" i="10" s="1"/>
  <c r="D189" i="10" s="1"/>
  <c r="E123" i="10"/>
  <c r="B176" i="10" s="1"/>
  <c r="D95" i="10"/>
  <c r="D175" i="10" s="1"/>
  <c r="G95" i="10"/>
  <c r="E175" i="10" s="1"/>
  <c r="G75" i="10"/>
  <c r="E174" i="10" s="1"/>
  <c r="J59" i="10"/>
  <c r="K59" i="10"/>
  <c r="L59" i="10"/>
  <c r="M59" i="10"/>
  <c r="K57" i="10"/>
  <c r="J57" i="10"/>
  <c r="D60" i="10" s="1"/>
  <c r="D173" i="10" s="1"/>
  <c r="C185" i="10" s="1"/>
  <c r="I60" i="10"/>
  <c r="M57" i="10"/>
  <c r="L57" i="10"/>
  <c r="M58" i="10"/>
  <c r="J58" i="10"/>
  <c r="K58" i="10"/>
  <c r="L58" i="10"/>
  <c r="J45" i="10"/>
  <c r="K45" i="10"/>
  <c r="L45" i="10"/>
  <c r="J37" i="10"/>
  <c r="L37" i="10"/>
  <c r="K37" i="10"/>
  <c r="M37" i="10"/>
  <c r="J48" i="10"/>
  <c r="M48" i="10"/>
  <c r="L48" i="10"/>
  <c r="K48" i="10"/>
  <c r="L50" i="10"/>
  <c r="J50" i="10"/>
  <c r="M50" i="10"/>
  <c r="K50" i="10"/>
  <c r="M38" i="10"/>
  <c r="L38" i="10"/>
  <c r="K38" i="10"/>
  <c r="M51" i="10"/>
  <c r="K51" i="10"/>
  <c r="C37" i="3"/>
  <c r="B6" i="17"/>
  <c r="B7" i="17" s="1"/>
  <c r="G51" i="1"/>
  <c r="G15" i="1"/>
  <c r="I15" i="1" s="1"/>
  <c r="H15" i="1" s="1"/>
  <c r="G20" i="1"/>
  <c r="I20" i="1" s="1"/>
  <c r="H20" i="1" s="1"/>
  <c r="G27" i="1"/>
  <c r="I27" i="1" s="1"/>
  <c r="H27" i="1" s="1"/>
  <c r="G21" i="1"/>
  <c r="I21" i="1" s="1"/>
  <c r="H21" i="1" s="1"/>
  <c r="G17" i="1"/>
  <c r="I17" i="1" s="1"/>
  <c r="H17" i="1" s="1"/>
  <c r="G18" i="1"/>
  <c r="I18" i="1" s="1"/>
  <c r="H18" i="1" s="1"/>
  <c r="G67" i="1"/>
  <c r="I67" i="1" s="1"/>
  <c r="H67" i="1" s="1"/>
  <c r="G30" i="1"/>
  <c r="G37" i="1"/>
  <c r="I37" i="1" s="1"/>
  <c r="H37" i="1" s="1"/>
  <c r="G31" i="1"/>
  <c r="I31" i="1" s="1"/>
  <c r="H31" i="1" s="1"/>
  <c r="G84" i="1"/>
  <c r="I84" i="1" s="1"/>
  <c r="H84" i="1" s="1"/>
  <c r="G50" i="1"/>
  <c r="I50" i="1" s="1"/>
  <c r="H50" i="1" s="1"/>
  <c r="G66" i="1"/>
  <c r="I66" i="1" s="1"/>
  <c r="H66" i="1" s="1"/>
  <c r="G40" i="1"/>
  <c r="I40" i="1" s="1"/>
  <c r="H40" i="1" s="1"/>
  <c r="G55" i="1"/>
  <c r="G14" i="1"/>
  <c r="I14" i="1" s="1"/>
  <c r="H14" i="1" s="1"/>
  <c r="G62" i="1"/>
  <c r="I62" i="1" s="1"/>
  <c r="H62" i="1" s="1"/>
  <c r="B14" i="17" s="1"/>
  <c r="G77" i="1"/>
  <c r="I77" i="1" s="1"/>
  <c r="H77" i="1" s="1"/>
  <c r="G38" i="1"/>
  <c r="I38" i="1" s="1"/>
  <c r="H38" i="1" s="1"/>
  <c r="G65" i="1"/>
  <c r="G56" i="1"/>
  <c r="I56" i="1" s="1"/>
  <c r="H56" i="1" s="1"/>
  <c r="G10" i="1"/>
  <c r="I10" i="1" s="1"/>
  <c r="H10" i="1" s="1"/>
  <c r="G58" i="1"/>
  <c r="I58" i="1" s="1"/>
  <c r="H58" i="1" s="1"/>
  <c r="G12" i="1"/>
  <c r="I12" i="1" s="1"/>
  <c r="H12" i="1" s="1"/>
  <c r="G28" i="1"/>
  <c r="I28" i="1" s="1"/>
  <c r="H28" i="1" s="1"/>
  <c r="G23" i="1"/>
  <c r="I23" i="1" s="1"/>
  <c r="H23" i="1" s="1"/>
  <c r="D79" i="5"/>
  <c r="G85" i="1" s="1"/>
  <c r="I85" i="1" s="1"/>
  <c r="H85" i="1" s="1"/>
  <c r="G53" i="1"/>
  <c r="I53" i="1" s="1"/>
  <c r="H53" i="1" s="1"/>
  <c r="G82" i="1"/>
  <c r="I82" i="1" s="1"/>
  <c r="H82" i="1" s="1"/>
  <c r="G33" i="1"/>
  <c r="I33" i="1" s="1"/>
  <c r="H33" i="1" s="1"/>
  <c r="G72" i="1"/>
  <c r="I72" i="1" s="1"/>
  <c r="H72" i="1" s="1"/>
  <c r="G64" i="1"/>
  <c r="I64" i="1" s="1"/>
  <c r="H64" i="1" s="1"/>
  <c r="G68" i="1"/>
  <c r="I68" i="1" s="1"/>
  <c r="H68" i="1" s="1"/>
  <c r="G13" i="1"/>
  <c r="I13" i="1" s="1"/>
  <c r="H13" i="1" s="1"/>
  <c r="G9" i="1"/>
  <c r="I9" i="1" s="1"/>
  <c r="H9" i="1" s="1"/>
  <c r="G80" i="1"/>
  <c r="I80" i="1" s="1"/>
  <c r="H80" i="1" s="1"/>
  <c r="G71" i="1"/>
  <c r="C21" i="25"/>
  <c r="C13" i="25"/>
  <c r="C5" i="25"/>
  <c r="C2" i="25"/>
  <c r="C16" i="25"/>
  <c r="C14" i="25"/>
  <c r="C20" i="25"/>
  <c r="C12" i="25"/>
  <c r="C4" i="25"/>
  <c r="C10" i="25"/>
  <c r="C8" i="25"/>
  <c r="C6" i="25"/>
  <c r="C19" i="25"/>
  <c r="C11" i="25"/>
  <c r="C3" i="25"/>
  <c r="C18" i="25"/>
  <c r="C9" i="25"/>
  <c r="C15" i="25"/>
  <c r="C17" i="25"/>
  <c r="C7" i="25"/>
  <c r="D45" i="3"/>
  <c r="G34" i="1"/>
  <c r="I34" i="1" s="1"/>
  <c r="H34" i="1" s="1"/>
  <c r="G156" i="1"/>
  <c r="I156" i="1" s="1"/>
  <c r="H156" i="1" s="1"/>
  <c r="D37" i="23"/>
  <c r="B89" i="5"/>
  <c r="C10" i="1"/>
  <c r="B4" i="5"/>
  <c r="B8" i="5"/>
  <c r="C14" i="1"/>
  <c r="C8" i="3"/>
  <c r="H154" i="3"/>
  <c r="F153" i="23"/>
  <c r="D43" i="3"/>
  <c r="D43" i="5"/>
  <c r="G49" i="1" s="1"/>
  <c r="I49" i="1" s="1"/>
  <c r="H49" i="1" s="1"/>
  <c r="G150" i="1"/>
  <c r="I150" i="1" s="1"/>
  <c r="H150" i="1" s="1"/>
  <c r="B74" i="1"/>
  <c r="A68" i="23"/>
  <c r="G25" i="1"/>
  <c r="I25" i="1" s="1"/>
  <c r="H25" i="1" s="1"/>
  <c r="G48" i="1"/>
  <c r="I48" i="1" s="1"/>
  <c r="H48" i="1" s="1"/>
  <c r="G81" i="1"/>
  <c r="I81" i="1" s="1"/>
  <c r="H81" i="1" s="1"/>
  <c r="G16" i="1"/>
  <c r="I16" i="1" s="1"/>
  <c r="H16" i="1" s="1"/>
  <c r="G39" i="1"/>
  <c r="I39" i="1" s="1"/>
  <c r="H39" i="1" s="1"/>
  <c r="G61" i="1"/>
  <c r="I61" i="1" s="1"/>
  <c r="H61" i="1" s="1"/>
  <c r="G70" i="1"/>
  <c r="G54" i="1"/>
  <c r="I54" i="1" s="1"/>
  <c r="H54" i="1" s="1"/>
  <c r="G19" i="1"/>
  <c r="I19" i="1" s="1"/>
  <c r="H19" i="1" s="1"/>
  <c r="G75" i="1"/>
  <c r="I75" i="1" s="1"/>
  <c r="H75" i="1" s="1"/>
  <c r="G76" i="1"/>
  <c r="I76" i="1" s="1"/>
  <c r="H76" i="1" s="1"/>
  <c r="G69" i="1"/>
  <c r="I69" i="1" s="1"/>
  <c r="H69" i="1" s="1"/>
  <c r="G57" i="1"/>
  <c r="I57" i="1" s="1"/>
  <c r="H57" i="1" s="1"/>
  <c r="G52" i="1"/>
  <c r="I52" i="1" s="1"/>
  <c r="H52" i="1" s="1"/>
  <c r="G45" i="1"/>
  <c r="I45" i="1" s="1"/>
  <c r="H45" i="1" s="1"/>
  <c r="G43" i="1"/>
  <c r="I43" i="1" s="1"/>
  <c r="H43" i="1" s="1"/>
  <c r="G32" i="1"/>
  <c r="I32" i="1" s="1"/>
  <c r="H32" i="1" s="1"/>
  <c r="G29" i="1"/>
  <c r="I29" i="1" s="1"/>
  <c r="H29" i="1" s="1"/>
  <c r="G47" i="1"/>
  <c r="I47" i="1" s="1"/>
  <c r="H47" i="1" s="1"/>
  <c r="G22" i="1"/>
  <c r="I22" i="1" s="1"/>
  <c r="H22" i="1" s="1"/>
  <c r="G78" i="1"/>
  <c r="I78" i="1" s="1"/>
  <c r="H78" i="1" s="1"/>
  <c r="G36" i="1"/>
  <c r="I36" i="1" s="1"/>
  <c r="H36" i="1" s="1"/>
  <c r="G83" i="1"/>
  <c r="I83" i="1" s="1"/>
  <c r="H83" i="1" s="1"/>
  <c r="G11" i="1"/>
  <c r="I11" i="1" s="1"/>
  <c r="H11" i="1" s="1"/>
  <c r="G63" i="1"/>
  <c r="I63" i="1" s="1"/>
  <c r="H63" i="1" s="1"/>
  <c r="G44" i="1"/>
  <c r="G35" i="1"/>
  <c r="I35" i="1" s="1"/>
  <c r="H35" i="1" s="1"/>
  <c r="G59" i="1"/>
  <c r="I59" i="1" s="1"/>
  <c r="H59" i="1" s="1"/>
  <c r="D40" i="5"/>
  <c r="G46" i="1" s="1"/>
  <c r="A36" i="23"/>
  <c r="B42" i="1"/>
  <c r="G41" i="1"/>
  <c r="I41" i="1" s="1"/>
  <c r="H41" i="1" s="1"/>
  <c r="G60" i="1"/>
  <c r="I60" i="1" s="1"/>
  <c r="H60" i="1" s="1"/>
  <c r="A40" i="23"/>
  <c r="B46" i="1"/>
  <c r="F155" i="23"/>
  <c r="H156" i="3"/>
  <c r="F3" i="23"/>
  <c r="H3" i="3"/>
  <c r="H151" i="3"/>
  <c r="F150" i="23"/>
  <c r="D120" i="3"/>
  <c r="D120" i="5"/>
  <c r="G126" i="1" s="1"/>
  <c r="I126" i="1" s="1"/>
  <c r="H126" i="1" s="1"/>
  <c r="G24" i="1"/>
  <c r="I24" i="1" s="1"/>
  <c r="H24" i="1" s="1"/>
  <c r="A18" i="23"/>
  <c r="B24" i="1"/>
  <c r="B89" i="1"/>
  <c r="G89" i="1"/>
  <c r="I89" i="1" s="1"/>
  <c r="H89" i="1" s="1"/>
  <c r="A82" i="23"/>
  <c r="D132" i="5"/>
  <c r="G138" i="1" s="1"/>
  <c r="I138" i="1" s="1"/>
  <c r="H138" i="1" s="1"/>
  <c r="D132" i="3"/>
  <c r="C36" i="1"/>
  <c r="C30" i="3"/>
  <c r="B30" i="5"/>
  <c r="G90" i="1"/>
  <c r="I90" i="1" s="1"/>
  <c r="H90" i="1" s="1"/>
  <c r="A83" i="23"/>
  <c r="B90" i="1"/>
  <c r="D2" i="3"/>
  <c r="D2" i="5"/>
  <c r="G8" i="1" s="1"/>
  <c r="I8" i="1" s="1"/>
  <c r="H8" i="1" s="1"/>
  <c r="G153" i="1"/>
  <c r="G157" i="1"/>
  <c r="I157" i="1" s="1"/>
  <c r="H157" i="1" s="1"/>
  <c r="G154" i="1"/>
  <c r="I154" i="1" s="1"/>
  <c r="H154" i="1" s="1"/>
  <c r="G147" i="1"/>
  <c r="I147" i="1" s="1"/>
  <c r="H147" i="1" s="1"/>
  <c r="G152" i="1"/>
  <c r="I152" i="1" s="1"/>
  <c r="H152" i="1" s="1"/>
  <c r="G149" i="1"/>
  <c r="G151" i="1"/>
  <c r="I151" i="1" s="1"/>
  <c r="H151" i="1" s="1"/>
  <c r="G155" i="1"/>
  <c r="I155" i="1" s="1"/>
  <c r="H155" i="1" s="1"/>
  <c r="G160" i="1"/>
  <c r="I160" i="1" s="1"/>
  <c r="H160" i="1" s="1"/>
  <c r="G145" i="1"/>
  <c r="I145" i="1" s="1"/>
  <c r="H145" i="1" s="1"/>
  <c r="G158" i="1"/>
  <c r="I158" i="1" s="1"/>
  <c r="H158" i="1" s="1"/>
  <c r="G146" i="1"/>
  <c r="I146" i="1" s="1"/>
  <c r="H146" i="1" s="1"/>
  <c r="G148" i="1"/>
  <c r="I148" i="1" s="1"/>
  <c r="H148" i="1" s="1"/>
  <c r="G161" i="1"/>
  <c r="I161" i="1" s="1"/>
  <c r="H161" i="1" s="1"/>
  <c r="G162" i="1"/>
  <c r="I162" i="1" s="1"/>
  <c r="H162" i="1" s="1"/>
  <c r="D95" i="5"/>
  <c r="G101" i="1" s="1"/>
  <c r="D95" i="3"/>
  <c r="G159" i="1"/>
  <c r="I159" i="1" s="1"/>
  <c r="H159" i="1" s="1"/>
  <c r="G163" i="1"/>
  <c r="I163" i="1" s="1"/>
  <c r="H163" i="1" s="1"/>
  <c r="C105" i="1"/>
  <c r="B99" i="5"/>
  <c r="C99" i="3"/>
  <c r="C26" i="3"/>
  <c r="B26" i="5"/>
  <c r="C32" i="1"/>
  <c r="E61" i="3"/>
  <c r="D61" i="23"/>
  <c r="K3" i="23"/>
  <c r="E5" i="1"/>
  <c r="E177" i="23"/>
  <c r="E178" i="23"/>
  <c r="E176" i="23"/>
  <c r="E179" i="23"/>
  <c r="I128" i="1"/>
  <c r="H128" i="1" s="1"/>
  <c r="I134" i="1"/>
  <c r="H134" i="1" s="1"/>
  <c r="I121" i="1"/>
  <c r="H121" i="1" s="1"/>
  <c r="I135" i="1"/>
  <c r="H135" i="1" s="1"/>
  <c r="I86" i="1"/>
  <c r="H86" i="1" s="1"/>
  <c r="I30" i="1"/>
  <c r="H30" i="1" s="1"/>
  <c r="I120" i="1"/>
  <c r="H120" i="1" s="1"/>
  <c r="I116" i="1"/>
  <c r="H116" i="1" s="1"/>
  <c r="I144" i="1"/>
  <c r="H144" i="1" s="1"/>
  <c r="F90" i="1"/>
  <c r="I129" i="1"/>
  <c r="H129" i="1" s="1"/>
  <c r="I123" i="1"/>
  <c r="H123" i="1" s="1"/>
  <c r="I96" i="1"/>
  <c r="H96" i="1" s="1"/>
  <c r="I106" i="1"/>
  <c r="H106" i="1" s="1"/>
  <c r="I111" i="1"/>
  <c r="H111" i="1" s="1"/>
  <c r="I109" i="1"/>
  <c r="H109" i="1" s="1"/>
  <c r="I131" i="1"/>
  <c r="H131" i="1" s="1"/>
  <c r="I74" i="1"/>
  <c r="H74" i="1" s="1"/>
  <c r="I73" i="1"/>
  <c r="H73" i="1" s="1"/>
  <c r="I137" i="1"/>
  <c r="H137" i="1" s="1"/>
  <c r="F67" i="1"/>
  <c r="I130" i="1"/>
  <c r="H130" i="1" s="1"/>
  <c r="F162" i="1"/>
  <c r="I92" i="1"/>
  <c r="H92" i="1" s="1"/>
  <c r="I124" i="1"/>
  <c r="H124" i="1" s="1"/>
  <c r="F43" i="1"/>
  <c r="I127" i="1"/>
  <c r="H127" i="1" s="1"/>
  <c r="I122" i="1"/>
  <c r="H122" i="1" s="1"/>
  <c r="I51" i="1"/>
  <c r="H51" i="1" s="1"/>
  <c r="I113" i="1"/>
  <c r="H113" i="1" s="1"/>
  <c r="I115" i="1"/>
  <c r="H115" i="1" s="1"/>
  <c r="I110" i="1"/>
  <c r="H110" i="1" s="1"/>
  <c r="J128" i="10"/>
  <c r="K128" i="10"/>
  <c r="L128" i="10"/>
  <c r="M128" i="10"/>
  <c r="M125" i="10"/>
  <c r="K125" i="10"/>
  <c r="J125" i="10"/>
  <c r="L125" i="10"/>
  <c r="L127" i="10"/>
  <c r="J127" i="10"/>
  <c r="M127" i="10"/>
  <c r="K127" i="10"/>
  <c r="K126" i="10"/>
  <c r="J126" i="10"/>
  <c r="L126" i="10"/>
  <c r="M126" i="10"/>
  <c r="K136" i="10"/>
  <c r="M136" i="10"/>
  <c r="L136" i="10"/>
  <c r="J136" i="10"/>
  <c r="J134" i="10"/>
  <c r="M134" i="10"/>
  <c r="K134" i="10"/>
  <c r="L134" i="10"/>
  <c r="I137" i="10"/>
  <c r="K129" i="10"/>
  <c r="L129" i="10"/>
  <c r="M129" i="10"/>
  <c r="J129" i="10"/>
  <c r="K132" i="10"/>
  <c r="M132" i="10"/>
  <c r="J132" i="10"/>
  <c r="L132" i="10"/>
  <c r="M135" i="10"/>
  <c r="L135" i="10"/>
  <c r="J135" i="10"/>
  <c r="K135" i="10"/>
  <c r="G123" i="10"/>
  <c r="E176" i="10" s="1"/>
  <c r="D186" i="10"/>
  <c r="K41" i="10"/>
  <c r="J41" i="10"/>
  <c r="L41" i="10"/>
  <c r="M41" i="10"/>
  <c r="K47" i="10"/>
  <c r="L47" i="10"/>
  <c r="J47" i="10"/>
  <c r="M47" i="10"/>
  <c r="L46" i="10"/>
  <c r="J46" i="10"/>
  <c r="M46" i="10"/>
  <c r="K46" i="10"/>
  <c r="J44" i="10"/>
  <c r="M44" i="10"/>
  <c r="K44" i="10"/>
  <c r="L44" i="10"/>
  <c r="J39" i="10"/>
  <c r="K39" i="10"/>
  <c r="L39" i="10"/>
  <c r="M39" i="10"/>
  <c r="J36" i="10"/>
  <c r="L36" i="10"/>
  <c r="K36" i="10"/>
  <c r="M36" i="10"/>
  <c r="L42" i="10"/>
  <c r="K42" i="10"/>
  <c r="J42" i="10"/>
  <c r="M42" i="10"/>
  <c r="L52" i="10"/>
  <c r="K52" i="10"/>
  <c r="M52" i="10"/>
  <c r="J52" i="10"/>
  <c r="M35" i="10"/>
  <c r="K35" i="10"/>
  <c r="L35" i="10"/>
  <c r="J35" i="10"/>
  <c r="F180" i="10"/>
  <c r="G171" i="10" s="1"/>
  <c r="L54" i="10"/>
  <c r="M54" i="10"/>
  <c r="J54" i="10"/>
  <c r="K54" i="10"/>
  <c r="L40" i="10"/>
  <c r="J40" i="10"/>
  <c r="M40" i="10"/>
  <c r="K40" i="10"/>
  <c r="J34" i="10"/>
  <c r="K34" i="10"/>
  <c r="L34" i="10"/>
  <c r="M34" i="10"/>
  <c r="I56" i="10"/>
  <c r="K29" i="10"/>
  <c r="M29" i="10"/>
  <c r="J29" i="10"/>
  <c r="L29" i="10"/>
  <c r="M12" i="10"/>
  <c r="K12" i="10"/>
  <c r="J12" i="10"/>
  <c r="L12" i="10"/>
  <c r="M6" i="10"/>
  <c r="K6" i="10"/>
  <c r="J6" i="10"/>
  <c r="L6" i="10"/>
  <c r="J16" i="10"/>
  <c r="K16" i="10"/>
  <c r="M16" i="10"/>
  <c r="L16" i="10"/>
  <c r="J31" i="10"/>
  <c r="L31" i="10"/>
  <c r="M31" i="10"/>
  <c r="K31" i="10"/>
  <c r="L23" i="10"/>
  <c r="M23" i="10"/>
  <c r="J23" i="10"/>
  <c r="K23" i="10"/>
  <c r="M21" i="10"/>
  <c r="J21" i="10"/>
  <c r="L21" i="10"/>
  <c r="K21" i="10"/>
  <c r="M26" i="10"/>
  <c r="J26" i="10"/>
  <c r="L26" i="10"/>
  <c r="K26" i="10"/>
  <c r="J15" i="10"/>
  <c r="L15" i="10"/>
  <c r="M15" i="10"/>
  <c r="K15" i="10"/>
  <c r="L30" i="10"/>
  <c r="K30" i="10"/>
  <c r="J30" i="10"/>
  <c r="M30" i="10"/>
  <c r="K17" i="10"/>
  <c r="L17" i="10"/>
  <c r="M17" i="10"/>
  <c r="J17" i="10"/>
  <c r="J11" i="10"/>
  <c r="K11" i="10"/>
  <c r="M11" i="10"/>
  <c r="L11" i="10"/>
  <c r="K10" i="10"/>
  <c r="M10" i="10"/>
  <c r="L10" i="10"/>
  <c r="J10" i="10"/>
  <c r="J8" i="10"/>
  <c r="M8" i="10"/>
  <c r="L8" i="10"/>
  <c r="K8" i="10"/>
  <c r="M20" i="10"/>
  <c r="J20" i="10"/>
  <c r="L20" i="10"/>
  <c r="K20" i="10"/>
  <c r="M27" i="10"/>
  <c r="J27" i="10"/>
  <c r="L27" i="10"/>
  <c r="K27" i="10"/>
  <c r="K19" i="10"/>
  <c r="L19" i="10"/>
  <c r="J19" i="10"/>
  <c r="M19" i="10"/>
  <c r="K22" i="10"/>
  <c r="L22" i="10"/>
  <c r="M22" i="10"/>
  <c r="J22" i="10"/>
  <c r="M4" i="10"/>
  <c r="J4" i="10"/>
  <c r="K4" i="10"/>
  <c r="L4" i="10"/>
  <c r="M3" i="10"/>
  <c r="J3" i="10"/>
  <c r="K3" i="10"/>
  <c r="L3" i="10"/>
  <c r="I32" i="10"/>
  <c r="J2" i="10"/>
  <c r="L2" i="10"/>
  <c r="M2" i="10"/>
  <c r="K2" i="10"/>
  <c r="L28" i="10"/>
  <c r="M28" i="10"/>
  <c r="J28" i="10"/>
  <c r="K28" i="10"/>
  <c r="L7" i="10"/>
  <c r="J7" i="10"/>
  <c r="M7" i="10"/>
  <c r="K7" i="10"/>
  <c r="L24" i="10"/>
  <c r="M24" i="10"/>
  <c r="K24" i="10"/>
  <c r="J24" i="10"/>
  <c r="L13" i="10"/>
  <c r="M13" i="10"/>
  <c r="J13" i="10"/>
  <c r="K13" i="10"/>
  <c r="J5" i="10"/>
  <c r="K5" i="10"/>
  <c r="L5" i="10"/>
  <c r="M5" i="10"/>
  <c r="M18" i="10"/>
  <c r="K18" i="10"/>
  <c r="J18" i="10"/>
  <c r="L18" i="10"/>
  <c r="L14" i="10"/>
  <c r="J14" i="10"/>
  <c r="M14" i="10"/>
  <c r="K14" i="10"/>
  <c r="M9" i="10"/>
  <c r="K9" i="10"/>
  <c r="L9" i="10"/>
  <c r="J9" i="10"/>
  <c r="M25" i="10"/>
  <c r="K25" i="10"/>
  <c r="L25" i="10"/>
  <c r="J25" i="10"/>
  <c r="B179" i="10" l="1"/>
  <c r="B189" i="10"/>
  <c r="C189" i="10"/>
  <c r="D179" i="10"/>
  <c r="G60" i="10"/>
  <c r="E173" i="10" s="1"/>
  <c r="D185" i="10" s="1"/>
  <c r="E60" i="10"/>
  <c r="B173" i="10" s="1"/>
  <c r="B185" i="10" s="1"/>
  <c r="F60" i="10"/>
  <c r="C173" i="10" s="1"/>
  <c r="B13" i="17"/>
  <c r="C199" i="1"/>
  <c r="K19" i="1" s="1"/>
  <c r="J31" i="23"/>
  <c r="C202" i="1"/>
  <c r="K22" i="1" s="1"/>
  <c r="J28" i="23"/>
  <c r="L14" i="23" s="1"/>
  <c r="K14" i="23" s="1"/>
  <c r="C208" i="1"/>
  <c r="K28" i="1" s="1"/>
  <c r="J38" i="23"/>
  <c r="L6" i="23" s="1"/>
  <c r="K6" i="23" s="1"/>
  <c r="C195" i="1"/>
  <c r="K15" i="1" s="1"/>
  <c r="J21" i="23"/>
  <c r="L18" i="23" s="1"/>
  <c r="J22" i="23"/>
  <c r="L17" i="23" s="1"/>
  <c r="K17" i="23" s="1"/>
  <c r="C192" i="1"/>
  <c r="K12" i="1" s="1"/>
  <c r="C203" i="1"/>
  <c r="K23" i="1" s="1"/>
  <c r="D14" i="1" s="1"/>
  <c r="J29" i="23"/>
  <c r="L13" i="23" s="1"/>
  <c r="K13" i="23" s="1"/>
  <c r="D10" i="1"/>
  <c r="F10" i="1" s="1"/>
  <c r="E10" i="1" s="1"/>
  <c r="C200" i="1"/>
  <c r="K20" i="1" s="1"/>
  <c r="J32" i="23"/>
  <c r="L12" i="23" s="1"/>
  <c r="K12" i="23" s="1"/>
  <c r="C196" i="1"/>
  <c r="K16" i="1" s="1"/>
  <c r="J34" i="23"/>
  <c r="L10" i="23" s="1"/>
  <c r="K10" i="23" s="1"/>
  <c r="E166" i="23" s="1"/>
  <c r="C172" i="1" s="1"/>
  <c r="J26" i="23"/>
  <c r="L15" i="23" s="1"/>
  <c r="K15" i="23" s="1"/>
  <c r="C190" i="1"/>
  <c r="K10" i="1" s="1"/>
  <c r="J39" i="23"/>
  <c r="L5" i="23" s="1"/>
  <c r="K5" i="23" s="1"/>
  <c r="C209" i="1"/>
  <c r="K29" i="1" s="1"/>
  <c r="J30" i="23"/>
  <c r="C204" i="1"/>
  <c r="K24" i="1" s="1"/>
  <c r="D105" i="1" s="1"/>
  <c r="E99" i="3" s="1"/>
  <c r="C198" i="1"/>
  <c r="K18" i="1" s="1"/>
  <c r="D36" i="1" s="1"/>
  <c r="F36" i="1" s="1"/>
  <c r="E36" i="1" s="1"/>
  <c r="J36" i="23"/>
  <c r="L8" i="23" s="1"/>
  <c r="K8" i="23" s="1"/>
  <c r="J23" i="23"/>
  <c r="C193" i="1"/>
  <c r="K13" i="1" s="1"/>
  <c r="J25" i="23"/>
  <c r="C189" i="1"/>
  <c r="K9" i="1" s="1"/>
  <c r="C207" i="1"/>
  <c r="K27" i="1" s="1"/>
  <c r="J37" i="23"/>
  <c r="L7" i="23" s="1"/>
  <c r="K7" i="23" s="1"/>
  <c r="E161" i="23" s="1"/>
  <c r="G161" i="23" s="1"/>
  <c r="J33" i="23"/>
  <c r="L11" i="23" s="1"/>
  <c r="K11" i="23" s="1"/>
  <c r="C201" i="1"/>
  <c r="K21" i="1" s="1"/>
  <c r="C197" i="1"/>
  <c r="K17" i="1" s="1"/>
  <c r="D32" i="1" s="1"/>
  <c r="J35" i="23"/>
  <c r="L9" i="23" s="1"/>
  <c r="K9" i="23" s="1"/>
  <c r="E168" i="23" s="1"/>
  <c r="C174" i="1" s="1"/>
  <c r="C191" i="1"/>
  <c r="K11" i="1" s="1"/>
  <c r="J27" i="23"/>
  <c r="J24" i="23"/>
  <c r="L16" i="23" s="1"/>
  <c r="K16" i="23" s="1"/>
  <c r="E162" i="23" s="1"/>
  <c r="G162" i="23" s="1"/>
  <c r="C194" i="1"/>
  <c r="K14" i="1" s="1"/>
  <c r="C206" i="1"/>
  <c r="K26" i="1" s="1"/>
  <c r="J40" i="23"/>
  <c r="L4" i="23" s="1"/>
  <c r="K4" i="23" s="1"/>
  <c r="E174" i="23" s="1"/>
  <c r="G174" i="23" s="1"/>
  <c r="D40" i="3"/>
  <c r="I101" i="1"/>
  <c r="H101" i="1" s="1"/>
  <c r="I55" i="1"/>
  <c r="H55" i="1" s="1"/>
  <c r="I149" i="1"/>
  <c r="H149" i="1" s="1"/>
  <c r="I117" i="1"/>
  <c r="H117" i="1" s="1"/>
  <c r="I70" i="1"/>
  <c r="H70" i="1" s="1"/>
  <c r="I114" i="1"/>
  <c r="H114" i="1" s="1"/>
  <c r="I46" i="1"/>
  <c r="H46" i="1" s="1"/>
  <c r="I153" i="1"/>
  <c r="H153" i="1" s="1"/>
  <c r="I65" i="1"/>
  <c r="H65" i="1" s="1"/>
  <c r="I71" i="1"/>
  <c r="H71" i="1" s="1"/>
  <c r="I44" i="1"/>
  <c r="H44" i="1" s="1"/>
  <c r="G166" i="23"/>
  <c r="D166" i="23" s="1"/>
  <c r="E172" i="1" s="1"/>
  <c r="E165" i="23"/>
  <c r="G165" i="23" s="1"/>
  <c r="E67" i="1"/>
  <c r="G61" i="3"/>
  <c r="G177" i="23"/>
  <c r="C183" i="1"/>
  <c r="C185" i="1"/>
  <c r="G179" i="23"/>
  <c r="G176" i="23"/>
  <c r="C182" i="1"/>
  <c r="C184" i="1"/>
  <c r="G178" i="23"/>
  <c r="E43" i="1"/>
  <c r="G37" i="3"/>
  <c r="G156" i="3"/>
  <c r="E162" i="1"/>
  <c r="E90" i="1"/>
  <c r="G84" i="3"/>
  <c r="D137" i="10"/>
  <c r="D177" i="10" s="1"/>
  <c r="F137" i="10"/>
  <c r="C177" i="10" s="1"/>
  <c r="E137" i="10"/>
  <c r="B177" i="10" s="1"/>
  <c r="G137" i="10"/>
  <c r="E177" i="10" s="1"/>
  <c r="G172" i="10"/>
  <c r="G179" i="10"/>
  <c r="J179" i="10" s="1"/>
  <c r="G174" i="10"/>
  <c r="H174" i="10" s="1"/>
  <c r="E56" i="10"/>
  <c r="B172" i="10" s="1"/>
  <c r="B191" i="10" s="1"/>
  <c r="C191" i="10" s="1"/>
  <c r="G176" i="10"/>
  <c r="K176" i="10" s="1"/>
  <c r="G177" i="10"/>
  <c r="F56" i="10"/>
  <c r="C172" i="10" s="1"/>
  <c r="D56" i="10"/>
  <c r="D172" i="10" s="1"/>
  <c r="G178" i="10"/>
  <c r="K178" i="10" s="1"/>
  <c r="G173" i="10"/>
  <c r="G175" i="10"/>
  <c r="K175" i="10" s="1"/>
  <c r="G56" i="10"/>
  <c r="E172" i="10" s="1"/>
  <c r="G32" i="10"/>
  <c r="E171" i="10" s="1"/>
  <c r="F32" i="10"/>
  <c r="C171" i="10" s="1"/>
  <c r="I171" i="10" s="1"/>
  <c r="D32" i="10"/>
  <c r="D171" i="10" s="1"/>
  <c r="E32" i="10"/>
  <c r="B171" i="10" s="1"/>
  <c r="I177" i="10" l="1"/>
  <c r="I173" i="10"/>
  <c r="H172" i="10"/>
  <c r="H179" i="10"/>
  <c r="K179" i="10"/>
  <c r="C167" i="1"/>
  <c r="F14" i="1"/>
  <c r="D8" i="23"/>
  <c r="E8" i="3"/>
  <c r="G30" i="3"/>
  <c r="E170" i="23"/>
  <c r="D172" i="1"/>
  <c r="E30" i="3"/>
  <c r="C168" i="1"/>
  <c r="D98" i="23"/>
  <c r="G168" i="23"/>
  <c r="D174" i="1" s="1"/>
  <c r="E171" i="23"/>
  <c r="D30" i="23"/>
  <c r="C180" i="1"/>
  <c r="D26" i="23"/>
  <c r="E26" i="3"/>
  <c r="F32" i="1"/>
  <c r="G26" i="3" s="1"/>
  <c r="F105" i="1"/>
  <c r="G99" i="3" s="1"/>
  <c r="D4" i="23"/>
  <c r="D125" i="1"/>
  <c r="D135" i="1"/>
  <c r="D29" i="1"/>
  <c r="D89" i="1"/>
  <c r="D96" i="1"/>
  <c r="D132" i="1"/>
  <c r="D72" i="1"/>
  <c r="D126" i="1"/>
  <c r="D127" i="1"/>
  <c r="D78" i="1"/>
  <c r="E4" i="3"/>
  <c r="D80" i="1"/>
  <c r="D129" i="1"/>
  <c r="D86" i="1"/>
  <c r="D56" i="1"/>
  <c r="D77" i="1"/>
  <c r="D39" i="1"/>
  <c r="D38" i="1"/>
  <c r="D140" i="1"/>
  <c r="D30" i="1"/>
  <c r="D131" i="1"/>
  <c r="D17" i="1"/>
  <c r="D62" i="1"/>
  <c r="D137" i="1"/>
  <c r="D151" i="1"/>
  <c r="D114" i="1"/>
  <c r="D144" i="1"/>
  <c r="D93" i="1"/>
  <c r="D110" i="1"/>
  <c r="D159" i="1"/>
  <c r="D63" i="1"/>
  <c r="D35" i="1"/>
  <c r="D133" i="1"/>
  <c r="D15" i="1"/>
  <c r="D109" i="1"/>
  <c r="D145" i="1"/>
  <c r="D81" i="1"/>
  <c r="D91" i="1"/>
  <c r="D51" i="1"/>
  <c r="D148" i="1"/>
  <c r="D153" i="1"/>
  <c r="D87" i="1"/>
  <c r="D113" i="1"/>
  <c r="D118" i="1"/>
  <c r="D34" i="1"/>
  <c r="D19" i="1"/>
  <c r="D54" i="1"/>
  <c r="D128" i="1"/>
  <c r="D44" i="1"/>
  <c r="D79" i="1"/>
  <c r="D27" i="1"/>
  <c r="D84" i="1"/>
  <c r="D155" i="1"/>
  <c r="D33" i="1"/>
  <c r="D142" i="1"/>
  <c r="D24" i="1"/>
  <c r="D53" i="1"/>
  <c r="E167" i="23"/>
  <c r="E164" i="23"/>
  <c r="E173" i="23"/>
  <c r="E175" i="23"/>
  <c r="D42" i="1"/>
  <c r="D57" i="1"/>
  <c r="D88" i="1"/>
  <c r="D139" i="1"/>
  <c r="D107" i="1"/>
  <c r="D45" i="1"/>
  <c r="D18" i="1"/>
  <c r="D108" i="1"/>
  <c r="D115" i="1"/>
  <c r="D65" i="1"/>
  <c r="D13" i="1"/>
  <c r="D95" i="1"/>
  <c r="D52" i="1"/>
  <c r="D130" i="1"/>
  <c r="D163" i="1"/>
  <c r="D20" i="1"/>
  <c r="E169" i="23"/>
  <c r="D164" i="1"/>
  <c r="D47" i="1"/>
  <c r="D12" i="1"/>
  <c r="D99" i="1"/>
  <c r="D26" i="1"/>
  <c r="D75" i="1"/>
  <c r="D122" i="1"/>
  <c r="D92" i="1"/>
  <c r="D134" i="1"/>
  <c r="D71" i="1"/>
  <c r="C171" i="1"/>
  <c r="G4" i="3"/>
  <c r="E180" i="23"/>
  <c r="C186" i="1" s="1"/>
  <c r="D94" i="1"/>
  <c r="D37" i="1"/>
  <c r="D124" i="1"/>
  <c r="D69" i="1"/>
  <c r="D76" i="1"/>
  <c r="D23" i="1"/>
  <c r="D146" i="1"/>
  <c r="D50" i="1"/>
  <c r="D158" i="1"/>
  <c r="E172" i="23"/>
  <c r="E163" i="23"/>
  <c r="D121" i="1"/>
  <c r="D48" i="1"/>
  <c r="D70" i="1"/>
  <c r="D123" i="1"/>
  <c r="D117" i="1"/>
  <c r="D40" i="1"/>
  <c r="D83" i="1"/>
  <c r="D160" i="1"/>
  <c r="D73" i="1"/>
  <c r="D100" i="1"/>
  <c r="D154" i="1"/>
  <c r="D138" i="1"/>
  <c r="D149" i="1"/>
  <c r="D31" i="1"/>
  <c r="D120" i="1"/>
  <c r="D101" i="1"/>
  <c r="D41" i="1"/>
  <c r="D74" i="1"/>
  <c r="D152" i="1"/>
  <c r="D98" i="1"/>
  <c r="D55" i="1"/>
  <c r="D21" i="1"/>
  <c r="D136" i="1"/>
  <c r="D97" i="1"/>
  <c r="D61" i="1"/>
  <c r="D141" i="1"/>
  <c r="D156" i="1"/>
  <c r="D147" i="1"/>
  <c r="D102" i="1"/>
  <c r="D150" i="1"/>
  <c r="D64" i="1"/>
  <c r="D143" i="1"/>
  <c r="D103" i="1"/>
  <c r="D112" i="1"/>
  <c r="D28" i="1"/>
  <c r="D116" i="1"/>
  <c r="D11" i="1"/>
  <c r="D111" i="1"/>
  <c r="D22" i="1"/>
  <c r="D59" i="1"/>
  <c r="D16" i="1"/>
  <c r="D85" i="1"/>
  <c r="D157" i="1"/>
  <c r="D60" i="1"/>
  <c r="D8" i="1"/>
  <c r="D25" i="1"/>
  <c r="D9" i="1"/>
  <c r="D58" i="1"/>
  <c r="D82" i="1"/>
  <c r="D161" i="1"/>
  <c r="D68" i="1"/>
  <c r="D104" i="1"/>
  <c r="D46" i="1"/>
  <c r="D49" i="1"/>
  <c r="D66" i="1"/>
  <c r="D106" i="1"/>
  <c r="D119" i="1"/>
  <c r="E105" i="1"/>
  <c r="F99" i="3" s="1"/>
  <c r="D162" i="23"/>
  <c r="E168" i="1" s="1"/>
  <c r="D168" i="1"/>
  <c r="F156" i="3"/>
  <c r="C155" i="23"/>
  <c r="E155" i="23" s="1"/>
  <c r="G155" i="23" s="1"/>
  <c r="F30" i="3"/>
  <c r="C30" i="23"/>
  <c r="E30" i="23" s="1"/>
  <c r="G30" i="23" s="1"/>
  <c r="D177" i="23"/>
  <c r="E183" i="1" s="1"/>
  <c r="D183" i="1"/>
  <c r="C61" i="23"/>
  <c r="E61" i="23" s="1"/>
  <c r="G61" i="23" s="1"/>
  <c r="F61" i="3"/>
  <c r="D174" i="23"/>
  <c r="E180" i="1" s="1"/>
  <c r="D180" i="1"/>
  <c r="D171" i="1"/>
  <c r="D165" i="23"/>
  <c r="E171" i="1" s="1"/>
  <c r="F4" i="3"/>
  <c r="C4" i="23"/>
  <c r="E4" i="23" s="1"/>
  <c r="G4" i="23" s="1"/>
  <c r="D167" i="1"/>
  <c r="D161" i="23"/>
  <c r="E167" i="1" s="1"/>
  <c r="D185" i="1"/>
  <c r="D179" i="23"/>
  <c r="E185" i="1" s="1"/>
  <c r="D168" i="23"/>
  <c r="E174" i="1" s="1"/>
  <c r="C83" i="23"/>
  <c r="E83" i="23" s="1"/>
  <c r="G83" i="23" s="1"/>
  <c r="F84" i="3"/>
  <c r="C37" i="23"/>
  <c r="E37" i="23" s="1"/>
  <c r="G37" i="23" s="1"/>
  <c r="F37" i="3"/>
  <c r="D178" i="23"/>
  <c r="E184" i="1" s="1"/>
  <c r="D184" i="1"/>
  <c r="D182" i="1"/>
  <c r="D176" i="23"/>
  <c r="E182" i="1" s="1"/>
  <c r="J172" i="10"/>
  <c r="K174" i="10"/>
  <c r="I172" i="10"/>
  <c r="J174" i="10"/>
  <c r="I179" i="10"/>
  <c r="I174" i="10"/>
  <c r="I176" i="10"/>
  <c r="K172" i="10"/>
  <c r="H176" i="10"/>
  <c r="J176" i="10"/>
  <c r="H177" i="10"/>
  <c r="K177" i="10"/>
  <c r="J173" i="10"/>
  <c r="I178" i="10"/>
  <c r="J177" i="10"/>
  <c r="K173" i="10"/>
  <c r="J178" i="10"/>
  <c r="H173" i="10"/>
  <c r="H175" i="10"/>
  <c r="H178" i="10"/>
  <c r="D190" i="10"/>
  <c r="J175" i="10"/>
  <c r="I175" i="10"/>
  <c r="B184" i="10"/>
  <c r="B190" i="10"/>
  <c r="C190" i="10" s="1"/>
  <c r="H171" i="10"/>
  <c r="C184" i="10"/>
  <c r="J171" i="10"/>
  <c r="D184" i="10"/>
  <c r="K171" i="10"/>
  <c r="G170" i="23" l="1"/>
  <c r="C176" i="1"/>
  <c r="E32" i="1"/>
  <c r="C26" i="23" s="1"/>
  <c r="E26" i="23" s="1"/>
  <c r="G26" i="23" s="1"/>
  <c r="E14" i="1"/>
  <c r="G8" i="3"/>
  <c r="C177" i="1"/>
  <c r="G171" i="23"/>
  <c r="E40" i="3"/>
  <c r="D40" i="23"/>
  <c r="F46" i="1"/>
  <c r="E2" i="3"/>
  <c r="D2" i="23"/>
  <c r="F8" i="1"/>
  <c r="F11" i="1"/>
  <c r="D5" i="23"/>
  <c r="E5" i="3"/>
  <c r="E96" i="3"/>
  <c r="D95" i="23"/>
  <c r="F102" i="1"/>
  <c r="D49" i="23"/>
  <c r="E49" i="3"/>
  <c r="F55" i="1"/>
  <c r="D142" i="23"/>
  <c r="E143" i="3"/>
  <c r="F149" i="1"/>
  <c r="E111" i="3"/>
  <c r="D110" i="23"/>
  <c r="F117" i="1"/>
  <c r="E44" i="3"/>
  <c r="D44" i="23"/>
  <c r="F50" i="1"/>
  <c r="G180" i="23"/>
  <c r="D186" i="1" s="1"/>
  <c r="E20" i="3"/>
  <c r="D20" i="23"/>
  <c r="F26" i="1"/>
  <c r="E124" i="3"/>
  <c r="D123" i="23"/>
  <c r="F130" i="1"/>
  <c r="E39" i="3"/>
  <c r="D39" i="23"/>
  <c r="F45" i="1"/>
  <c r="C170" i="1"/>
  <c r="G164" i="23"/>
  <c r="D21" i="23"/>
  <c r="E21" i="3"/>
  <c r="F27" i="1"/>
  <c r="D106" i="23"/>
  <c r="E107" i="3"/>
  <c r="F113" i="1"/>
  <c r="E103" i="3"/>
  <c r="D102" i="23"/>
  <c r="F109" i="1"/>
  <c r="E138" i="3"/>
  <c r="D137" i="23"/>
  <c r="F144" i="1"/>
  <c r="D133" i="23"/>
  <c r="E134" i="3"/>
  <c r="F140" i="1"/>
  <c r="D23" i="23"/>
  <c r="E23" i="3"/>
  <c r="F29" i="1"/>
  <c r="E98" i="3"/>
  <c r="F104" i="1"/>
  <c r="D97" i="23"/>
  <c r="D54" i="23"/>
  <c r="F60" i="1"/>
  <c r="E54" i="3"/>
  <c r="E110" i="3"/>
  <c r="D109" i="23"/>
  <c r="F116" i="1"/>
  <c r="D140" i="23"/>
  <c r="E141" i="3"/>
  <c r="F147" i="1"/>
  <c r="D91" i="23"/>
  <c r="E92" i="3"/>
  <c r="F98" i="1"/>
  <c r="E132" i="3"/>
  <c r="D131" i="23"/>
  <c r="F138" i="1"/>
  <c r="D116" i="23"/>
  <c r="E117" i="3"/>
  <c r="F123" i="1"/>
  <c r="E140" i="3"/>
  <c r="D139" i="23"/>
  <c r="F146" i="1"/>
  <c r="E93" i="3"/>
  <c r="D92" i="23"/>
  <c r="F99" i="1"/>
  <c r="F52" i="1"/>
  <c r="D46" i="23"/>
  <c r="E46" i="3"/>
  <c r="E101" i="3"/>
  <c r="D100" i="23"/>
  <c r="F107" i="1"/>
  <c r="C173" i="1"/>
  <c r="G167" i="23"/>
  <c r="D73" i="23"/>
  <c r="F79" i="1"/>
  <c r="E73" i="3"/>
  <c r="E81" i="3"/>
  <c r="D81" i="23"/>
  <c r="F87" i="1"/>
  <c r="F15" i="1"/>
  <c r="D9" i="23"/>
  <c r="E9" i="3"/>
  <c r="D107" i="23"/>
  <c r="E108" i="3"/>
  <c r="F114" i="1"/>
  <c r="F38" i="1"/>
  <c r="D32" i="23"/>
  <c r="E32" i="3"/>
  <c r="D72" i="23"/>
  <c r="F78" i="1"/>
  <c r="E72" i="3"/>
  <c r="D128" i="23"/>
  <c r="E129" i="3"/>
  <c r="F135" i="1"/>
  <c r="D62" i="23"/>
  <c r="F68" i="1"/>
  <c r="E62" i="3"/>
  <c r="D150" i="23"/>
  <c r="E151" i="3"/>
  <c r="F157" i="1"/>
  <c r="E22" i="3"/>
  <c r="D22" i="23"/>
  <c r="F28" i="1"/>
  <c r="D149" i="23"/>
  <c r="E150" i="3"/>
  <c r="F156" i="1"/>
  <c r="D145" i="23"/>
  <c r="E146" i="3"/>
  <c r="F152" i="1"/>
  <c r="E148" i="3"/>
  <c r="D147" i="23"/>
  <c r="F154" i="1"/>
  <c r="D64" i="23"/>
  <c r="E64" i="3"/>
  <c r="F70" i="1"/>
  <c r="F23" i="1"/>
  <c r="D17" i="23"/>
  <c r="E17" i="3"/>
  <c r="F12" i="1"/>
  <c r="D6" i="23"/>
  <c r="E6" i="3"/>
  <c r="D88" i="23"/>
  <c r="E89" i="3"/>
  <c r="F95" i="1"/>
  <c r="E133" i="3"/>
  <c r="D132" i="23"/>
  <c r="F139" i="1"/>
  <c r="D47" i="23"/>
  <c r="E47" i="3"/>
  <c r="F53" i="1"/>
  <c r="D38" i="23"/>
  <c r="F44" i="1"/>
  <c r="E38" i="3"/>
  <c r="D146" i="23"/>
  <c r="E147" i="3"/>
  <c r="F153" i="1"/>
  <c r="D126" i="23"/>
  <c r="E127" i="3"/>
  <c r="F133" i="1"/>
  <c r="D144" i="23"/>
  <c r="E145" i="3"/>
  <c r="F151" i="1"/>
  <c r="E33" i="3"/>
  <c r="D33" i="23"/>
  <c r="F39" i="1"/>
  <c r="F127" i="1"/>
  <c r="D120" i="23"/>
  <c r="E121" i="3"/>
  <c r="E119" i="3"/>
  <c r="D118" i="23"/>
  <c r="F125" i="1"/>
  <c r="D154" i="23"/>
  <c r="E155" i="3"/>
  <c r="F161" i="1"/>
  <c r="D79" i="23"/>
  <c r="E79" i="3"/>
  <c r="F85" i="1"/>
  <c r="D105" i="23"/>
  <c r="E106" i="3"/>
  <c r="F112" i="1"/>
  <c r="E135" i="3"/>
  <c r="D134" i="23"/>
  <c r="F141" i="1"/>
  <c r="D68" i="23"/>
  <c r="E68" i="3"/>
  <c r="F74" i="1"/>
  <c r="E94" i="3"/>
  <c r="D93" i="23"/>
  <c r="F100" i="1"/>
  <c r="E42" i="3"/>
  <c r="D42" i="23"/>
  <c r="F48" i="1"/>
  <c r="D70" i="23"/>
  <c r="E70" i="3"/>
  <c r="F76" i="1"/>
  <c r="E65" i="3"/>
  <c r="D65" i="23"/>
  <c r="F71" i="1"/>
  <c r="D41" i="23"/>
  <c r="E41" i="3"/>
  <c r="F47" i="1"/>
  <c r="D7" i="23"/>
  <c r="E7" i="3"/>
  <c r="F13" i="1"/>
  <c r="E82" i="3"/>
  <c r="F88" i="1"/>
  <c r="E18" i="3"/>
  <c r="D18" i="23"/>
  <c r="F24" i="1"/>
  <c r="F128" i="1"/>
  <c r="E122" i="3"/>
  <c r="D121" i="23"/>
  <c r="D141" i="23"/>
  <c r="E142" i="3"/>
  <c r="F148" i="1"/>
  <c r="D29" i="23"/>
  <c r="E29" i="3"/>
  <c r="F35" i="1"/>
  <c r="E131" i="3"/>
  <c r="D130" i="23"/>
  <c r="F137" i="1"/>
  <c r="F77" i="1"/>
  <c r="E71" i="3"/>
  <c r="D71" i="23"/>
  <c r="E120" i="3"/>
  <c r="D119" i="23"/>
  <c r="F126" i="1"/>
  <c r="F82" i="1"/>
  <c r="D76" i="23"/>
  <c r="E76" i="3"/>
  <c r="E55" i="3"/>
  <c r="D55" i="23"/>
  <c r="F61" i="1"/>
  <c r="E67" i="3"/>
  <c r="D67" i="23"/>
  <c r="F73" i="1"/>
  <c r="E115" i="3"/>
  <c r="D114" i="23"/>
  <c r="F121" i="1"/>
  <c r="D63" i="23"/>
  <c r="E63" i="3"/>
  <c r="F69" i="1"/>
  <c r="E128" i="3"/>
  <c r="F134" i="1"/>
  <c r="D127" i="23"/>
  <c r="D157" i="23"/>
  <c r="E158" i="3"/>
  <c r="F164" i="1"/>
  <c r="E59" i="3"/>
  <c r="D59" i="23"/>
  <c r="F65" i="1"/>
  <c r="D51" i="23"/>
  <c r="E51" i="3"/>
  <c r="F57" i="1"/>
  <c r="D135" i="23"/>
  <c r="E136" i="3"/>
  <c r="F142" i="1"/>
  <c r="D48" i="23"/>
  <c r="E48" i="3"/>
  <c r="F54" i="1"/>
  <c r="F51" i="1"/>
  <c r="D45" i="23"/>
  <c r="E45" i="3"/>
  <c r="E57" i="3"/>
  <c r="D57" i="23"/>
  <c r="F63" i="1"/>
  <c r="F62" i="1"/>
  <c r="B9" i="17"/>
  <c r="E56" i="3"/>
  <c r="D56" i="23"/>
  <c r="D50" i="23"/>
  <c r="E50" i="3"/>
  <c r="F56" i="1"/>
  <c r="D66" i="23"/>
  <c r="E66" i="3"/>
  <c r="F72" i="1"/>
  <c r="D112" i="23"/>
  <c r="E113" i="3"/>
  <c r="F119" i="1"/>
  <c r="D10" i="23"/>
  <c r="E10" i="3"/>
  <c r="F16" i="1"/>
  <c r="D99" i="23"/>
  <c r="E100" i="3"/>
  <c r="F106" i="1"/>
  <c r="E52" i="3"/>
  <c r="D52" i="23"/>
  <c r="F58" i="1"/>
  <c r="F59" i="1"/>
  <c r="D53" i="23"/>
  <c r="E53" i="3"/>
  <c r="E137" i="3"/>
  <c r="D136" i="23"/>
  <c r="F143" i="1"/>
  <c r="D90" i="23"/>
  <c r="E91" i="3"/>
  <c r="F97" i="1"/>
  <c r="D94" i="23"/>
  <c r="E95" i="3"/>
  <c r="F101" i="1"/>
  <c r="F160" i="1"/>
  <c r="E154" i="3"/>
  <c r="D153" i="23"/>
  <c r="C169" i="1"/>
  <c r="G163" i="23"/>
  <c r="E118" i="3"/>
  <c r="D117" i="23"/>
  <c r="F124" i="1"/>
  <c r="F92" i="1"/>
  <c r="D85" i="23"/>
  <c r="E86" i="3"/>
  <c r="B31" i="17"/>
  <c r="G169" i="23"/>
  <c r="C175" i="1"/>
  <c r="D108" i="23"/>
  <c r="E109" i="3"/>
  <c r="F115" i="1"/>
  <c r="E36" i="3"/>
  <c r="D36" i="23"/>
  <c r="F42" i="1"/>
  <c r="E27" i="3"/>
  <c r="F33" i="1"/>
  <c r="D27" i="23"/>
  <c r="D13" i="23"/>
  <c r="E13" i="3"/>
  <c r="F19" i="1"/>
  <c r="F91" i="1"/>
  <c r="E85" i="3"/>
  <c r="D84" i="23"/>
  <c r="D152" i="23"/>
  <c r="E153" i="3"/>
  <c r="F159" i="1"/>
  <c r="E11" i="3"/>
  <c r="D11" i="23"/>
  <c r="F17" i="1"/>
  <c r="E80" i="3"/>
  <c r="D80" i="23"/>
  <c r="F86" i="1"/>
  <c r="E126" i="3"/>
  <c r="D125" i="23"/>
  <c r="F132" i="1"/>
  <c r="F103" i="1"/>
  <c r="E97" i="3"/>
  <c r="D96" i="23"/>
  <c r="D60" i="23"/>
  <c r="E60" i="3"/>
  <c r="F66" i="1"/>
  <c r="E3" i="3"/>
  <c r="D3" i="23"/>
  <c r="F9" i="1"/>
  <c r="F22" i="1"/>
  <c r="D16" i="23"/>
  <c r="E16" i="3"/>
  <c r="E58" i="3"/>
  <c r="D58" i="23"/>
  <c r="F64" i="1"/>
  <c r="D129" i="23"/>
  <c r="E130" i="3"/>
  <c r="F136" i="1"/>
  <c r="D113" i="23"/>
  <c r="E114" i="3"/>
  <c r="F120" i="1"/>
  <c r="E77" i="3"/>
  <c r="D77" i="23"/>
  <c r="F83" i="1"/>
  <c r="C178" i="1"/>
  <c r="G172" i="23"/>
  <c r="E31" i="3"/>
  <c r="D31" i="23"/>
  <c r="F37" i="1"/>
  <c r="D115" i="23"/>
  <c r="E116" i="3"/>
  <c r="F122" i="1"/>
  <c r="E14" i="3"/>
  <c r="F20" i="1"/>
  <c r="D14" i="23"/>
  <c r="D101" i="23"/>
  <c r="E102" i="3"/>
  <c r="F108" i="1"/>
  <c r="G175" i="23"/>
  <c r="C181" i="1"/>
  <c r="D148" i="23"/>
  <c r="E149" i="3"/>
  <c r="F155" i="1"/>
  <c r="E28" i="3"/>
  <c r="D28" i="23"/>
  <c r="F34" i="1"/>
  <c r="D75" i="23"/>
  <c r="E75" i="3"/>
  <c r="F81" i="1"/>
  <c r="D103" i="23"/>
  <c r="E104" i="3"/>
  <c r="F110" i="1"/>
  <c r="E125" i="3"/>
  <c r="D124" i="23"/>
  <c r="F131" i="1"/>
  <c r="E123" i="3"/>
  <c r="D122" i="23"/>
  <c r="F129" i="1"/>
  <c r="D89" i="23"/>
  <c r="F96" i="1"/>
  <c r="E90" i="3"/>
  <c r="E35" i="3"/>
  <c r="D35" i="23"/>
  <c r="F41" i="1"/>
  <c r="E43" i="3"/>
  <c r="D43" i="23"/>
  <c r="F49" i="1"/>
  <c r="D19" i="23"/>
  <c r="E19" i="3"/>
  <c r="F25" i="1"/>
  <c r="E105" i="3"/>
  <c r="D104" i="23"/>
  <c r="F111" i="1"/>
  <c r="E144" i="3"/>
  <c r="D143" i="23"/>
  <c r="F150" i="1"/>
  <c r="E15" i="3"/>
  <c r="D15" i="23"/>
  <c r="F21" i="1"/>
  <c r="D25" i="23"/>
  <c r="F31" i="1"/>
  <c r="E25" i="3"/>
  <c r="E34" i="3"/>
  <c r="D34" i="23"/>
  <c r="F40" i="1"/>
  <c r="D151" i="23"/>
  <c r="E152" i="3"/>
  <c r="F158" i="1"/>
  <c r="E88" i="3"/>
  <c r="D87" i="23"/>
  <c r="F94" i="1"/>
  <c r="D69" i="23"/>
  <c r="E69" i="3"/>
  <c r="F75" i="1"/>
  <c r="D156" i="23"/>
  <c r="F163" i="1"/>
  <c r="E157" i="3"/>
  <c r="D12" i="23"/>
  <c r="E12" i="3"/>
  <c r="F18" i="1"/>
  <c r="G173" i="23"/>
  <c r="C179" i="1"/>
  <c r="F84" i="1"/>
  <c r="E78" i="3"/>
  <c r="D78" i="23"/>
  <c r="D111" i="23"/>
  <c r="E112" i="3"/>
  <c r="F118" i="1"/>
  <c r="D138" i="23"/>
  <c r="E139" i="3"/>
  <c r="F145" i="1"/>
  <c r="D86" i="23"/>
  <c r="E87" i="3"/>
  <c r="F93" i="1"/>
  <c r="D24" i="23"/>
  <c r="E24" i="3"/>
  <c r="F30" i="1"/>
  <c r="E74" i="3"/>
  <c r="D74" i="23"/>
  <c r="F80" i="1"/>
  <c r="D82" i="23"/>
  <c r="E83" i="3"/>
  <c r="F89" i="1"/>
  <c r="C98" i="23"/>
  <c r="E98" i="23" s="1"/>
  <c r="G98" i="23" s="1"/>
  <c r="F26" i="3"/>
  <c r="D180" i="23"/>
  <c r="E186" i="1" s="1"/>
  <c r="C180" i="10"/>
  <c r="E180" i="10"/>
  <c r="D194" i="10" s="1"/>
  <c r="D180" i="10"/>
  <c r="C194" i="10" s="1"/>
  <c r="B180" i="10"/>
  <c r="B194" i="10" s="1"/>
  <c r="C8" i="23" l="1"/>
  <c r="E8" i="23" s="1"/>
  <c r="G8" i="23" s="1"/>
  <c r="F8" i="3"/>
  <c r="D176" i="1"/>
  <c r="D170" i="23"/>
  <c r="E176" i="1" s="1"/>
  <c r="D171" i="23"/>
  <c r="E177" i="1" s="1"/>
  <c r="D177" i="1"/>
  <c r="G34" i="3"/>
  <c r="E40" i="1"/>
  <c r="G114" i="3"/>
  <c r="E120" i="1"/>
  <c r="E69" i="1"/>
  <c r="G63" i="3"/>
  <c r="E145" i="1"/>
  <c r="G139" i="3"/>
  <c r="E84" i="1"/>
  <c r="G78" i="3"/>
  <c r="E21" i="1"/>
  <c r="G15" i="3"/>
  <c r="E131" i="1"/>
  <c r="G125" i="3"/>
  <c r="D175" i="23"/>
  <c r="E181" i="1" s="1"/>
  <c r="D181" i="1"/>
  <c r="G58" i="3"/>
  <c r="E64" i="1"/>
  <c r="E159" i="1"/>
  <c r="G153" i="3"/>
  <c r="G118" i="3"/>
  <c r="E124" i="1"/>
  <c r="G95" i="3"/>
  <c r="E101" i="1"/>
  <c r="E72" i="1"/>
  <c r="G66" i="3"/>
  <c r="G48" i="3"/>
  <c r="E54" i="1"/>
  <c r="E134" i="1"/>
  <c r="G128" i="3"/>
  <c r="E73" i="1"/>
  <c r="G67" i="3"/>
  <c r="G76" i="3"/>
  <c r="E82" i="1"/>
  <c r="G7" i="3"/>
  <c r="E13" i="1"/>
  <c r="G106" i="3"/>
  <c r="E112" i="1"/>
  <c r="E153" i="1"/>
  <c r="G147" i="3"/>
  <c r="E154" i="1"/>
  <c r="G148" i="3"/>
  <c r="G62" i="3"/>
  <c r="E68" i="1"/>
  <c r="E15" i="1"/>
  <c r="G9" i="3"/>
  <c r="G132" i="3"/>
  <c r="E138" i="1"/>
  <c r="G98" i="3"/>
  <c r="E104" i="1"/>
  <c r="G138" i="3"/>
  <c r="E144" i="1"/>
  <c r="G44" i="3"/>
  <c r="E50" i="1"/>
  <c r="G69" i="3"/>
  <c r="E75" i="1"/>
  <c r="G19" i="3"/>
  <c r="E25" i="1"/>
  <c r="E34" i="1"/>
  <c r="G28" i="3"/>
  <c r="E108" i="1"/>
  <c r="G102" i="3"/>
  <c r="G60" i="3"/>
  <c r="E66" i="1"/>
  <c r="G56" i="3"/>
  <c r="B10" i="17"/>
  <c r="E62" i="1"/>
  <c r="G59" i="3"/>
  <c r="E65" i="1"/>
  <c r="G120" i="3"/>
  <c r="E126" i="1"/>
  <c r="G70" i="3"/>
  <c r="E76" i="1"/>
  <c r="G119" i="3"/>
  <c r="E125" i="1"/>
  <c r="E139" i="1"/>
  <c r="G133" i="3"/>
  <c r="G6" i="3"/>
  <c r="E12" i="1"/>
  <c r="G22" i="3"/>
  <c r="E28" i="1"/>
  <c r="E87" i="1"/>
  <c r="G81" i="3"/>
  <c r="E107" i="1"/>
  <c r="G101" i="3"/>
  <c r="E116" i="1"/>
  <c r="G110" i="3"/>
  <c r="G21" i="3"/>
  <c r="E27" i="1"/>
  <c r="G124" i="3"/>
  <c r="E130" i="1"/>
  <c r="E55" i="1"/>
  <c r="G49" i="3"/>
  <c r="E11" i="1"/>
  <c r="G5" i="3"/>
  <c r="G158" i="3"/>
  <c r="E164" i="1"/>
  <c r="E102" i="1"/>
  <c r="G96" i="3"/>
  <c r="D179" i="1"/>
  <c r="D173" i="23"/>
  <c r="E179" i="1" s="1"/>
  <c r="E37" i="1"/>
  <c r="G31" i="3"/>
  <c r="G80" i="3"/>
  <c r="E86" i="1"/>
  <c r="E16" i="1"/>
  <c r="G10" i="3"/>
  <c r="G29" i="3"/>
  <c r="E35" i="1"/>
  <c r="E74" i="1"/>
  <c r="G68" i="3"/>
  <c r="G145" i="3"/>
  <c r="E151" i="1"/>
  <c r="E18" i="1"/>
  <c r="G12" i="3"/>
  <c r="E150" i="1"/>
  <c r="G144" i="3"/>
  <c r="E110" i="1"/>
  <c r="G104" i="3"/>
  <c r="E97" i="1"/>
  <c r="G91" i="3"/>
  <c r="E56" i="1"/>
  <c r="G50" i="3"/>
  <c r="E61" i="1"/>
  <c r="G55" i="3"/>
  <c r="E24" i="1"/>
  <c r="G18" i="3"/>
  <c r="E152" i="1"/>
  <c r="G146" i="3"/>
  <c r="G92" i="3"/>
  <c r="E98" i="1"/>
  <c r="E49" i="1"/>
  <c r="G43" i="3"/>
  <c r="E155" i="1"/>
  <c r="G149" i="3"/>
  <c r="G42" i="3"/>
  <c r="E48" i="1"/>
  <c r="E95" i="1"/>
  <c r="G89" i="3"/>
  <c r="G151" i="3"/>
  <c r="E157" i="1"/>
  <c r="E26" i="1"/>
  <c r="G20" i="3"/>
  <c r="E20" i="1"/>
  <c r="G14" i="3"/>
  <c r="D178" i="1"/>
  <c r="D172" i="23"/>
  <c r="E178" i="1" s="1"/>
  <c r="E136" i="1"/>
  <c r="G130" i="3"/>
  <c r="E22" i="1"/>
  <c r="G16" i="3"/>
  <c r="E17" i="1"/>
  <c r="G11" i="3"/>
  <c r="E91" i="1"/>
  <c r="G85" i="3"/>
  <c r="E119" i="1"/>
  <c r="G113" i="3"/>
  <c r="G115" i="3"/>
  <c r="E121" i="1"/>
  <c r="G142" i="3"/>
  <c r="E148" i="1"/>
  <c r="G135" i="3"/>
  <c r="E141" i="1"/>
  <c r="G127" i="3"/>
  <c r="E133" i="1"/>
  <c r="E70" i="1"/>
  <c r="G64" i="3"/>
  <c r="E79" i="1"/>
  <c r="G73" i="3"/>
  <c r="G117" i="3"/>
  <c r="E123" i="1"/>
  <c r="G54" i="3"/>
  <c r="E60" i="1"/>
  <c r="E140" i="1"/>
  <c r="G134" i="3"/>
  <c r="E46" i="1"/>
  <c r="G40" i="3"/>
  <c r="G24" i="3"/>
  <c r="E30" i="1"/>
  <c r="G122" i="3"/>
  <c r="E128" i="1"/>
  <c r="E38" i="1"/>
  <c r="G32" i="3"/>
  <c r="G2" i="3"/>
  <c r="E8" i="1"/>
  <c r="D175" i="1"/>
  <c r="D169" i="23"/>
  <c r="E175" i="1" s="1"/>
  <c r="G53" i="3"/>
  <c r="E59" i="1"/>
  <c r="E85" i="1"/>
  <c r="G79" i="3"/>
  <c r="E109" i="1"/>
  <c r="G103" i="3"/>
  <c r="E117" i="1"/>
  <c r="G111" i="3"/>
  <c r="G38" i="3"/>
  <c r="E44" i="1"/>
  <c r="D164" i="23"/>
  <c r="E170" i="1" s="1"/>
  <c r="D170" i="1"/>
  <c r="E57" i="1"/>
  <c r="G51" i="3"/>
  <c r="E77" i="1"/>
  <c r="G71" i="3"/>
  <c r="E88" i="1"/>
  <c r="F82" i="3" s="1"/>
  <c r="G82" i="3"/>
  <c r="E71" i="1"/>
  <c r="G65" i="3"/>
  <c r="E161" i="1"/>
  <c r="G155" i="3"/>
  <c r="G121" i="3"/>
  <c r="E127" i="1"/>
  <c r="G47" i="3"/>
  <c r="E53" i="1"/>
  <c r="G150" i="3"/>
  <c r="E156" i="1"/>
  <c r="E78" i="1"/>
  <c r="G72" i="3"/>
  <c r="G46" i="3"/>
  <c r="E52" i="1"/>
  <c r="G141" i="3"/>
  <c r="E147" i="1"/>
  <c r="E113" i="1"/>
  <c r="G107" i="3"/>
  <c r="E45" i="1"/>
  <c r="G39" i="3"/>
  <c r="E149" i="1"/>
  <c r="G143" i="3"/>
  <c r="E33" i="1"/>
  <c r="G27" i="3"/>
  <c r="G57" i="3"/>
  <c r="E63" i="1"/>
  <c r="E135" i="1"/>
  <c r="G129" i="3"/>
  <c r="G140" i="3"/>
  <c r="E146" i="1"/>
  <c r="G23" i="3"/>
  <c r="E29" i="1"/>
  <c r="G112" i="3"/>
  <c r="E118" i="1"/>
  <c r="E96" i="1"/>
  <c r="G90" i="3"/>
  <c r="D169" i="1"/>
  <c r="D163" i="23"/>
  <c r="E169" i="1" s="1"/>
  <c r="E142" i="1"/>
  <c r="G136" i="3"/>
  <c r="G41" i="3"/>
  <c r="E47" i="1"/>
  <c r="G108" i="3"/>
  <c r="E114" i="1"/>
  <c r="G83" i="3"/>
  <c r="E89" i="1"/>
  <c r="E94" i="1"/>
  <c r="G88" i="3"/>
  <c r="G36" i="3"/>
  <c r="E42" i="1"/>
  <c r="E58" i="1"/>
  <c r="G52" i="3"/>
  <c r="E23" i="1"/>
  <c r="G17" i="3"/>
  <c r="G87" i="3"/>
  <c r="E93" i="1"/>
  <c r="E129" i="1"/>
  <c r="G123" i="3"/>
  <c r="E31" i="1"/>
  <c r="G25" i="3"/>
  <c r="E111" i="1"/>
  <c r="G105" i="3"/>
  <c r="G75" i="3"/>
  <c r="E81" i="1"/>
  <c r="G3" i="3"/>
  <c r="E9" i="1"/>
  <c r="G97" i="3"/>
  <c r="E103" i="1"/>
  <c r="G13" i="3"/>
  <c r="E19" i="1"/>
  <c r="G137" i="3"/>
  <c r="E143" i="1"/>
  <c r="G74" i="3"/>
  <c r="E80" i="1"/>
  <c r="E163" i="1"/>
  <c r="G157" i="3"/>
  <c r="E158" i="1"/>
  <c r="G152" i="3"/>
  <c r="E41" i="1"/>
  <c r="G35" i="3"/>
  <c r="G116" i="3"/>
  <c r="E122" i="1"/>
  <c r="G77" i="3"/>
  <c r="E83" i="1"/>
  <c r="E132" i="1"/>
  <c r="G126" i="3"/>
  <c r="E115" i="1"/>
  <c r="G109" i="3"/>
  <c r="E92" i="1"/>
  <c r="G86" i="3"/>
  <c r="G154" i="3"/>
  <c r="E160" i="1"/>
  <c r="E106" i="1"/>
  <c r="G100" i="3"/>
  <c r="E51" i="1"/>
  <c r="G45" i="3"/>
  <c r="G131" i="3"/>
  <c r="E137" i="1"/>
  <c r="E100" i="1"/>
  <c r="G94" i="3"/>
  <c r="G33" i="3"/>
  <c r="E39" i="1"/>
  <c r="D167" i="23"/>
  <c r="E173" i="1" s="1"/>
  <c r="D173" i="1"/>
  <c r="E99" i="1"/>
  <c r="G93" i="3"/>
  <c r="F116" i="3" l="1"/>
  <c r="C115" i="23"/>
  <c r="E115" i="23" s="1"/>
  <c r="G115" i="23" s="1"/>
  <c r="F112" i="3"/>
  <c r="C111" i="23"/>
  <c r="E111" i="23" s="1"/>
  <c r="G111" i="23" s="1"/>
  <c r="F139" i="3"/>
  <c r="C138" i="23"/>
  <c r="E138" i="23" s="1"/>
  <c r="G138" i="23" s="1"/>
  <c r="F86" i="3"/>
  <c r="C85" i="23"/>
  <c r="E85" i="23" s="1"/>
  <c r="G85" i="23" s="1"/>
  <c r="F107" i="3"/>
  <c r="C106" i="23"/>
  <c r="E106" i="23" s="1"/>
  <c r="G106" i="23" s="1"/>
  <c r="F32" i="3"/>
  <c r="C32" i="23"/>
  <c r="E32" i="23" s="1"/>
  <c r="G32" i="23" s="1"/>
  <c r="C148" i="23"/>
  <c r="E148" i="23" s="1"/>
  <c r="G148" i="23" s="1"/>
  <c r="F149" i="3"/>
  <c r="F5" i="3"/>
  <c r="C5" i="23"/>
  <c r="E5" i="23" s="1"/>
  <c r="G5" i="23" s="1"/>
  <c r="F44" i="3"/>
  <c r="C44" i="23"/>
  <c r="E44" i="23" s="1"/>
  <c r="G44" i="23" s="1"/>
  <c r="C140" i="23"/>
  <c r="E140" i="23" s="1"/>
  <c r="G140" i="23" s="1"/>
  <c r="F141" i="3"/>
  <c r="F54" i="3"/>
  <c r="C54" i="23"/>
  <c r="E54" i="23" s="1"/>
  <c r="G54" i="23" s="1"/>
  <c r="C27" i="23"/>
  <c r="E27" i="23" s="1"/>
  <c r="G27" i="23" s="1"/>
  <c r="F27" i="3"/>
  <c r="F43" i="3"/>
  <c r="C43" i="23"/>
  <c r="E43" i="23" s="1"/>
  <c r="G43" i="23" s="1"/>
  <c r="C49" i="23"/>
  <c r="E49" i="23" s="1"/>
  <c r="G49" i="23" s="1"/>
  <c r="F49" i="3"/>
  <c r="F138" i="3"/>
  <c r="C137" i="23"/>
  <c r="E137" i="23" s="1"/>
  <c r="G137" i="23" s="1"/>
  <c r="F7" i="3"/>
  <c r="C7" i="23"/>
  <c r="E7" i="23" s="1"/>
  <c r="G7" i="23" s="1"/>
  <c r="F48" i="3"/>
  <c r="C48" i="23"/>
  <c r="E48" i="23" s="1"/>
  <c r="G48" i="23" s="1"/>
  <c r="C93" i="23"/>
  <c r="E93" i="23" s="1"/>
  <c r="G93" i="23" s="1"/>
  <c r="F94" i="3"/>
  <c r="F157" i="3"/>
  <c r="C156" i="23"/>
  <c r="E156" i="23" s="1"/>
  <c r="G156" i="23" s="1"/>
  <c r="F25" i="3"/>
  <c r="C25" i="23"/>
  <c r="E25" i="23" s="1"/>
  <c r="G25" i="23" s="1"/>
  <c r="F52" i="3"/>
  <c r="C52" i="23"/>
  <c r="E52" i="23" s="1"/>
  <c r="G52" i="23" s="1"/>
  <c r="F90" i="3"/>
  <c r="C89" i="23"/>
  <c r="E89" i="23" s="1"/>
  <c r="G89" i="23" s="1"/>
  <c r="C128" i="23"/>
  <c r="E128" i="23" s="1"/>
  <c r="G128" i="23" s="1"/>
  <c r="F129" i="3"/>
  <c r="C39" i="23"/>
  <c r="E39" i="23" s="1"/>
  <c r="G39" i="23" s="1"/>
  <c r="F39" i="3"/>
  <c r="F72" i="3"/>
  <c r="C72" i="23"/>
  <c r="E72" i="23" s="1"/>
  <c r="G72" i="23" s="1"/>
  <c r="C154" i="23"/>
  <c r="E154" i="23" s="1"/>
  <c r="G154" i="23" s="1"/>
  <c r="F155" i="3"/>
  <c r="F51" i="3"/>
  <c r="C51" i="23"/>
  <c r="E51" i="23" s="1"/>
  <c r="G51" i="23" s="1"/>
  <c r="F103" i="3"/>
  <c r="C102" i="23"/>
  <c r="E102" i="23" s="1"/>
  <c r="G102" i="23" s="1"/>
  <c r="F40" i="3"/>
  <c r="C40" i="23"/>
  <c r="E40" i="23" s="1"/>
  <c r="G40" i="23" s="1"/>
  <c r="C73" i="23"/>
  <c r="E73" i="23" s="1"/>
  <c r="G73" i="23" s="1"/>
  <c r="F73" i="3"/>
  <c r="F11" i="3"/>
  <c r="C11" i="23"/>
  <c r="E11" i="23" s="1"/>
  <c r="G11" i="23" s="1"/>
  <c r="F14" i="3"/>
  <c r="C14" i="23"/>
  <c r="E14" i="23" s="1"/>
  <c r="G14" i="23" s="1"/>
  <c r="F146" i="3"/>
  <c r="C145" i="23"/>
  <c r="E145" i="23" s="1"/>
  <c r="G145" i="23" s="1"/>
  <c r="F91" i="3"/>
  <c r="C90" i="23"/>
  <c r="E90" i="23" s="1"/>
  <c r="G90" i="23" s="1"/>
  <c r="C60" i="23"/>
  <c r="E60" i="23" s="1"/>
  <c r="G60" i="23" s="1"/>
  <c r="F60" i="3"/>
  <c r="C69" i="23"/>
  <c r="E69" i="23" s="1"/>
  <c r="G69" i="23" s="1"/>
  <c r="F69" i="3"/>
  <c r="F132" i="3"/>
  <c r="C131" i="23"/>
  <c r="E131" i="23" s="1"/>
  <c r="G131" i="23" s="1"/>
  <c r="F95" i="3"/>
  <c r="C94" i="23"/>
  <c r="E94" i="23" s="1"/>
  <c r="G94" i="23" s="1"/>
  <c r="C146" i="23"/>
  <c r="E146" i="23" s="1"/>
  <c r="G146" i="23" s="1"/>
  <c r="F147" i="3"/>
  <c r="C122" i="23"/>
  <c r="E122" i="23" s="1"/>
  <c r="G122" i="23" s="1"/>
  <c r="F123" i="3"/>
  <c r="C59" i="23"/>
  <c r="E59" i="23" s="1"/>
  <c r="G59" i="23" s="1"/>
  <c r="F59" i="3"/>
  <c r="C101" i="23"/>
  <c r="E101" i="23" s="1"/>
  <c r="G101" i="23" s="1"/>
  <c r="F102" i="3"/>
  <c r="F9" i="3"/>
  <c r="C9" i="23"/>
  <c r="E9" i="23" s="1"/>
  <c r="G9" i="23" s="1"/>
  <c r="F128" i="3"/>
  <c r="C127" i="23"/>
  <c r="E127" i="23" s="1"/>
  <c r="G127" i="23" s="1"/>
  <c r="C124" i="23"/>
  <c r="E124" i="23" s="1"/>
  <c r="G124" i="23" s="1"/>
  <c r="F125" i="3"/>
  <c r="F63" i="3"/>
  <c r="C63" i="23"/>
  <c r="E63" i="23" s="1"/>
  <c r="G63" i="23" s="1"/>
  <c r="F133" i="3"/>
  <c r="C132" i="23"/>
  <c r="E132" i="23" s="1"/>
  <c r="G132" i="23" s="1"/>
  <c r="C130" i="23"/>
  <c r="E130" i="23" s="1"/>
  <c r="G130" i="23" s="1"/>
  <c r="F131" i="3"/>
  <c r="F74" i="3"/>
  <c r="C74" i="23"/>
  <c r="E74" i="23" s="1"/>
  <c r="G74" i="23" s="1"/>
  <c r="F41" i="3"/>
  <c r="C41" i="23"/>
  <c r="E41" i="23" s="1"/>
  <c r="G41" i="23" s="1"/>
  <c r="C149" i="23"/>
  <c r="E149" i="23" s="1"/>
  <c r="G149" i="23" s="1"/>
  <c r="F150" i="3"/>
  <c r="F67" i="3"/>
  <c r="C67" i="23"/>
  <c r="E67" i="23" s="1"/>
  <c r="G67" i="23" s="1"/>
  <c r="C65" i="23"/>
  <c r="E65" i="23" s="1"/>
  <c r="G65" i="23" s="1"/>
  <c r="F65" i="3"/>
  <c r="F79" i="3"/>
  <c r="C79" i="23"/>
  <c r="E79" i="23" s="1"/>
  <c r="G79" i="23" s="1"/>
  <c r="F104" i="3"/>
  <c r="C103" i="23"/>
  <c r="E103" i="23" s="1"/>
  <c r="G103" i="23" s="1"/>
  <c r="C109" i="23"/>
  <c r="E109" i="23" s="1"/>
  <c r="G109" i="23" s="1"/>
  <c r="F110" i="3"/>
  <c r="C117" i="23"/>
  <c r="E117" i="23" s="1"/>
  <c r="G117" i="23" s="1"/>
  <c r="F118" i="3"/>
  <c r="F87" i="3"/>
  <c r="C86" i="23"/>
  <c r="E86" i="23" s="1"/>
  <c r="G86" i="23" s="1"/>
  <c r="C38" i="23"/>
  <c r="E38" i="23" s="1"/>
  <c r="G38" i="23" s="1"/>
  <c r="F38" i="3"/>
  <c r="C126" i="23"/>
  <c r="E126" i="23" s="1"/>
  <c r="G126" i="23" s="1"/>
  <c r="F127" i="3"/>
  <c r="C108" i="23"/>
  <c r="E108" i="23" s="1"/>
  <c r="G108" i="23" s="1"/>
  <c r="F109" i="3"/>
  <c r="C87" i="23"/>
  <c r="E87" i="23" s="1"/>
  <c r="G87" i="23" s="1"/>
  <c r="F88" i="3"/>
  <c r="F33" i="3"/>
  <c r="C33" i="23"/>
  <c r="E33" i="23" s="1"/>
  <c r="G33" i="23" s="1"/>
  <c r="C13" i="23"/>
  <c r="E13" i="23" s="1"/>
  <c r="G13" i="23" s="1"/>
  <c r="F13" i="3"/>
  <c r="C82" i="23"/>
  <c r="E82" i="23" s="1"/>
  <c r="G82" i="23" s="1"/>
  <c r="F83" i="3"/>
  <c r="C139" i="23"/>
  <c r="E139" i="23" s="1"/>
  <c r="G139" i="23" s="1"/>
  <c r="F140" i="3"/>
  <c r="F46" i="3"/>
  <c r="C46" i="23"/>
  <c r="E46" i="23" s="1"/>
  <c r="G46" i="23" s="1"/>
  <c r="C120" i="23"/>
  <c r="E120" i="23" s="1"/>
  <c r="G120" i="23" s="1"/>
  <c r="F121" i="3"/>
  <c r="F24" i="3"/>
  <c r="C24" i="23"/>
  <c r="E24" i="23" s="1"/>
  <c r="G24" i="23" s="1"/>
  <c r="F117" i="3"/>
  <c r="C116" i="23"/>
  <c r="E116" i="23" s="1"/>
  <c r="G116" i="23" s="1"/>
  <c r="C134" i="23"/>
  <c r="E134" i="23" s="1"/>
  <c r="G134" i="23" s="1"/>
  <c r="F135" i="3"/>
  <c r="F92" i="3"/>
  <c r="C91" i="23"/>
  <c r="E91" i="23" s="1"/>
  <c r="G91" i="23" s="1"/>
  <c r="C123" i="23"/>
  <c r="E123" i="23" s="1"/>
  <c r="G123" i="23" s="1"/>
  <c r="F124" i="3"/>
  <c r="C118" i="23"/>
  <c r="E118" i="23" s="1"/>
  <c r="G118" i="23" s="1"/>
  <c r="F119" i="3"/>
  <c r="F56" i="3"/>
  <c r="B11" i="17"/>
  <c r="C56" i="23"/>
  <c r="E56" i="23" s="1"/>
  <c r="G56" i="23" s="1"/>
  <c r="F28" i="3"/>
  <c r="C28" i="23"/>
  <c r="E28" i="23" s="1"/>
  <c r="G28" i="23" s="1"/>
  <c r="F153" i="3"/>
  <c r="C152" i="23"/>
  <c r="E152" i="23" s="1"/>
  <c r="G152" i="23" s="1"/>
  <c r="F15" i="3"/>
  <c r="C15" i="23"/>
  <c r="E15" i="23" s="1"/>
  <c r="G15" i="23" s="1"/>
  <c r="C57" i="23"/>
  <c r="E57" i="23" s="1"/>
  <c r="G57" i="23" s="1"/>
  <c r="F57" i="3"/>
  <c r="C114" i="23"/>
  <c r="E114" i="23" s="1"/>
  <c r="G114" i="23" s="1"/>
  <c r="F115" i="3"/>
  <c r="F120" i="3"/>
  <c r="C119" i="23"/>
  <c r="E119" i="23" s="1"/>
  <c r="G119" i="23" s="1"/>
  <c r="C133" i="23"/>
  <c r="E133" i="23" s="1"/>
  <c r="G133" i="23" s="1"/>
  <c r="F134" i="3"/>
  <c r="C20" i="23"/>
  <c r="E20" i="23" s="1"/>
  <c r="G20" i="23" s="1"/>
  <c r="F20" i="3"/>
  <c r="C31" i="23"/>
  <c r="E31" i="23" s="1"/>
  <c r="G31" i="23" s="1"/>
  <c r="F31" i="3"/>
  <c r="C136" i="23"/>
  <c r="E136" i="23" s="1"/>
  <c r="G136" i="23" s="1"/>
  <c r="F137" i="3"/>
  <c r="F47" i="3"/>
  <c r="C47" i="23"/>
  <c r="E47" i="23" s="1"/>
  <c r="G47" i="23" s="1"/>
  <c r="F122" i="3"/>
  <c r="C121" i="23"/>
  <c r="E121" i="23" s="1"/>
  <c r="G121" i="23" s="1"/>
  <c r="F151" i="3"/>
  <c r="C150" i="23"/>
  <c r="E150" i="23" s="1"/>
  <c r="G150" i="23" s="1"/>
  <c r="F29" i="3"/>
  <c r="C29" i="23"/>
  <c r="E29" i="23" s="1"/>
  <c r="G29" i="23" s="1"/>
  <c r="F35" i="3"/>
  <c r="C35" i="23"/>
  <c r="E35" i="23" s="1"/>
  <c r="G35" i="23" s="1"/>
  <c r="F136" i="3"/>
  <c r="C135" i="23"/>
  <c r="E135" i="23" s="1"/>
  <c r="G135" i="23" s="1"/>
  <c r="F130" i="3"/>
  <c r="C129" i="23"/>
  <c r="E129" i="23" s="1"/>
  <c r="G129" i="23" s="1"/>
  <c r="C143" i="23"/>
  <c r="E143" i="23" s="1"/>
  <c r="G143" i="23" s="1"/>
  <c r="F144" i="3"/>
  <c r="C62" i="23"/>
  <c r="E62" i="23" s="1"/>
  <c r="G62" i="23" s="1"/>
  <c r="F62" i="3"/>
  <c r="F111" i="3"/>
  <c r="C110" i="23"/>
  <c r="E110" i="23" s="1"/>
  <c r="G110" i="23" s="1"/>
  <c r="F85" i="3"/>
  <c r="C84" i="23"/>
  <c r="E84" i="23" s="1"/>
  <c r="G84" i="23" s="1"/>
  <c r="F89" i="3"/>
  <c r="C88" i="23"/>
  <c r="E88" i="23" s="1"/>
  <c r="G88" i="23" s="1"/>
  <c r="C50" i="23"/>
  <c r="E50" i="23" s="1"/>
  <c r="G50" i="23" s="1"/>
  <c r="F50" i="3"/>
  <c r="F10" i="3"/>
  <c r="C10" i="23"/>
  <c r="E10" i="23" s="1"/>
  <c r="G10" i="23" s="1"/>
  <c r="C95" i="23"/>
  <c r="E95" i="23" s="1"/>
  <c r="G95" i="23" s="1"/>
  <c r="F96" i="3"/>
  <c r="C81" i="23"/>
  <c r="E81" i="23" s="1"/>
  <c r="G81" i="23" s="1"/>
  <c r="F81" i="3"/>
  <c r="F19" i="3"/>
  <c r="C19" i="23"/>
  <c r="E19" i="23" s="1"/>
  <c r="G19" i="23" s="1"/>
  <c r="F98" i="3"/>
  <c r="C97" i="23"/>
  <c r="E97" i="23" s="1"/>
  <c r="G97" i="23" s="1"/>
  <c r="F76" i="3"/>
  <c r="C76" i="23"/>
  <c r="E76" i="23" s="1"/>
  <c r="G76" i="23" s="1"/>
  <c r="C58" i="23"/>
  <c r="E58" i="23" s="1"/>
  <c r="G58" i="23" s="1"/>
  <c r="F58" i="3"/>
  <c r="F34" i="3"/>
  <c r="C34" i="23"/>
  <c r="E34" i="23" s="1"/>
  <c r="G34" i="23" s="1"/>
  <c r="C3" i="23"/>
  <c r="E3" i="23" s="1"/>
  <c r="G3" i="23" s="1"/>
  <c r="F3" i="3"/>
  <c r="F36" i="3"/>
  <c r="C36" i="23"/>
  <c r="E36" i="23" s="1"/>
  <c r="G36" i="23" s="1"/>
  <c r="C6" i="23"/>
  <c r="E6" i="23" s="1"/>
  <c r="G6" i="23" s="1"/>
  <c r="F6" i="3"/>
  <c r="F93" i="3"/>
  <c r="C92" i="23"/>
  <c r="E92" i="23" s="1"/>
  <c r="G92" i="23" s="1"/>
  <c r="C64" i="23"/>
  <c r="E64" i="23" s="1"/>
  <c r="G64" i="23" s="1"/>
  <c r="F64" i="3"/>
  <c r="C16" i="23"/>
  <c r="E16" i="23" s="1"/>
  <c r="G16" i="23" s="1"/>
  <c r="F16" i="3"/>
  <c r="F18" i="3"/>
  <c r="C18" i="23"/>
  <c r="E18" i="23" s="1"/>
  <c r="G18" i="23" s="1"/>
  <c r="C68" i="23"/>
  <c r="E68" i="23" s="1"/>
  <c r="G68" i="23" s="1"/>
  <c r="F68" i="3"/>
  <c r="C105" i="23"/>
  <c r="E105" i="23" s="1"/>
  <c r="G105" i="23" s="1"/>
  <c r="F106" i="3"/>
  <c r="F75" i="3"/>
  <c r="C75" i="23"/>
  <c r="E75" i="23" s="1"/>
  <c r="G75" i="23" s="1"/>
  <c r="C23" i="23"/>
  <c r="E23" i="23" s="1"/>
  <c r="G23" i="23" s="1"/>
  <c r="F23" i="3"/>
  <c r="F53" i="3"/>
  <c r="C53" i="23"/>
  <c r="E53" i="23" s="1"/>
  <c r="G53" i="23" s="1"/>
  <c r="F45" i="3"/>
  <c r="C45" i="23"/>
  <c r="E45" i="23" s="1"/>
  <c r="G45" i="23" s="1"/>
  <c r="F113" i="3"/>
  <c r="C112" i="23"/>
  <c r="E112" i="23" s="1"/>
  <c r="G112" i="23" s="1"/>
  <c r="F55" i="3"/>
  <c r="C55" i="23"/>
  <c r="E55" i="23" s="1"/>
  <c r="G55" i="23" s="1"/>
  <c r="F101" i="3"/>
  <c r="C100" i="23"/>
  <c r="E100" i="23" s="1"/>
  <c r="G100" i="23" s="1"/>
  <c r="C113" i="23"/>
  <c r="E113" i="23" s="1"/>
  <c r="G113" i="23" s="1"/>
  <c r="F114" i="3"/>
  <c r="F100" i="3"/>
  <c r="C99" i="23"/>
  <c r="E99" i="23" s="1"/>
  <c r="G99" i="23" s="1"/>
  <c r="C125" i="23"/>
  <c r="E125" i="23" s="1"/>
  <c r="G125" i="23" s="1"/>
  <c r="F126" i="3"/>
  <c r="C151" i="23"/>
  <c r="E151" i="23" s="1"/>
  <c r="G151" i="23" s="1"/>
  <c r="F152" i="3"/>
  <c r="F105" i="3"/>
  <c r="C104" i="23"/>
  <c r="E104" i="23" s="1"/>
  <c r="G104" i="23" s="1"/>
  <c r="C17" i="23"/>
  <c r="E17" i="23" s="1"/>
  <c r="G17" i="23" s="1"/>
  <c r="F17" i="3"/>
  <c r="F143" i="3"/>
  <c r="C142" i="23"/>
  <c r="E142" i="23" s="1"/>
  <c r="G142" i="23" s="1"/>
  <c r="C71" i="23"/>
  <c r="E71" i="23" s="1"/>
  <c r="G71" i="23" s="1"/>
  <c r="F71" i="3"/>
  <c r="C12" i="23"/>
  <c r="E12" i="23" s="1"/>
  <c r="G12" i="23" s="1"/>
  <c r="F12" i="3"/>
  <c r="C153" i="23"/>
  <c r="E153" i="23" s="1"/>
  <c r="G153" i="23" s="1"/>
  <c r="F154" i="3"/>
  <c r="C77" i="23"/>
  <c r="E77" i="23" s="1"/>
  <c r="G77" i="23" s="1"/>
  <c r="F77" i="3"/>
  <c r="C96" i="23"/>
  <c r="E96" i="23" s="1"/>
  <c r="G96" i="23" s="1"/>
  <c r="F97" i="3"/>
  <c r="F108" i="3"/>
  <c r="C107" i="23"/>
  <c r="E107" i="23" s="1"/>
  <c r="G107" i="23" s="1"/>
  <c r="F2" i="3"/>
  <c r="C2" i="23"/>
  <c r="E2" i="23" s="1"/>
  <c r="G2" i="23" s="1"/>
  <c r="F142" i="3"/>
  <c r="C141" i="23"/>
  <c r="E141" i="23" s="1"/>
  <c r="G141" i="23" s="1"/>
  <c r="C42" i="23"/>
  <c r="E42" i="23" s="1"/>
  <c r="G42" i="23" s="1"/>
  <c r="F42" i="3"/>
  <c r="F145" i="3"/>
  <c r="C144" i="23"/>
  <c r="E144" i="23" s="1"/>
  <c r="G144" i="23" s="1"/>
  <c r="F80" i="3"/>
  <c r="C80" i="23"/>
  <c r="E80" i="23" s="1"/>
  <c r="G80" i="23" s="1"/>
  <c r="F158" i="3"/>
  <c r="C157" i="23"/>
  <c r="E157" i="23" s="1"/>
  <c r="G157" i="23" s="1"/>
  <c r="C21" i="23"/>
  <c r="E21" i="23" s="1"/>
  <c r="G21" i="23" s="1"/>
  <c r="F21" i="3"/>
  <c r="C22" i="23"/>
  <c r="E22" i="23" s="1"/>
  <c r="G22" i="23" s="1"/>
  <c r="F22" i="3"/>
  <c r="F70" i="3"/>
  <c r="C70" i="23"/>
  <c r="E70" i="23" s="1"/>
  <c r="G70" i="23" s="1"/>
  <c r="F148" i="3"/>
  <c r="C147" i="23"/>
  <c r="E147" i="23" s="1"/>
  <c r="G147" i="23" s="1"/>
  <c r="C66" i="23"/>
  <c r="E66" i="23" s="1"/>
  <c r="G66" i="23" s="1"/>
  <c r="F66" i="3"/>
  <c r="C78" i="23"/>
  <c r="E78" i="23" s="1"/>
  <c r="G78" i="23" s="1"/>
  <c r="F7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<sst xmlns="http://schemas.openxmlformats.org/spreadsheetml/2006/main" count="3754" uniqueCount="588">
  <si>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</si>
  <si>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</si>
  <si>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</si>
  <si>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</si>
  <si>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</si>
  <si>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</si>
  <si>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</si>
  <si>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</si>
  <si>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</si>
  <si>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</si>
  <si>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</si>
  <si>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</si>
  <si>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</si>
  <si>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</si>
  <si>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</si>
  <si>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</si>
  <si>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</si>
  <si>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</si>
  <si>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</si>
  <si>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</si>
  <si>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</si>
  <si>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</si>
  <si>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</si>
  <si>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</si>
  <si>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</si>
  <si>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</si>
  <si>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</si>
  <si>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</si>
  <si>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</si>
  <si>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</si>
  <si>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</si>
  <si>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</si>
  <si>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</si>
  <si>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</si>
  <si>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</si>
  <si>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</si>
  <si>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</si>
  <si>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</si>
  <si>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</si>
  <si>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</si>
  <si>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</si>
  <si>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</si>
  <si>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</si>
  <si>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</si>
  <si>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</si>
  <si>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</si>
  <si>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</si>
  <si>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</si>
  <si>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</si>
  <si>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</si>
  <si>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</si>
  <si>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</si>
  <si>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</si>
  <si>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</si>
  <si>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</si>
  <si>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</si>
  <si>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</si>
  <si>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</si>
  <si>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</si>
  <si>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</si>
  <si>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</si>
  <si>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</si>
  <si>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</si>
  <si>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</si>
  <si>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</si>
  <si>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</si>
  <si>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</si>
  <si>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</si>
  <si>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</si>
  <si>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</si>
  <si>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</si>
  <si>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</si>
  <si>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</si>
  <si>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</si>
  <si>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</si>
  <si>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</si>
  <si>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</si>
  <si>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</si>
  <si>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</si>
  <si>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</si>
  <si>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</si>
  <si>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</si>
  <si>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</si>
  <si>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</si>
  <si>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</si>
  <si>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</si>
  <si>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</si>
  <si>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</si>
  <si>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</si>
  <si>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</si>
  <si>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</si>
  <si>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</si>
  <si>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</si>
  <si>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</si>
  <si>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</si>
  <si>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</si>
  <si>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</si>
  <si>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</si>
  <si>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</si>
  <si>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</si>
  <si>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</si>
  <si>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</si>
  <si>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</si>
  <si>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</si>
  <si>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</si>
  <si>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</si>
  <si>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</si>
  <si>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</si>
  <si>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</si>
  <si>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</si>
  <si>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</si>
  <si>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</si>
  <si>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</si>
  <si>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</si>
  <si>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</si>
  <si>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</si>
  <si>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</si>
  <si>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</si>
  <si>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</si>
  <si>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</si>
  <si>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</si>
  <si>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</si>
  <si>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</si>
  <si>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</si>
  <si>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</si>
  <si>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</si>
  <si>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</si>
  <si>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</si>
  <si>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</si>
  <si>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</si>
  <si>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</si>
  <si>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</si>
  <si>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</si>
  <si>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</si>
  <si>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</si>
  <si>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</si>
  <si>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</si>
  <si>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</si>
  <si>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</si>
  <si>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</si>
  <si>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</si>
  <si>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</si>
  <si>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</si>
  <si>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</si>
  <si>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</si>
  <si>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</si>
  <si>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</si>
  <si>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</si>
  <si>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</si>
  <si>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</si>
  <si>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</si>
  <si>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</si>
  <si>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</si>
  <si>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</si>
  <si>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</si>
  <si>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</si>
  <si>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</si>
  <si>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</si>
  <si>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</si>
  <si>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</si>
  <si>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</si>
  <si>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</si>
  <si>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</si>
  <si>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</si>
  <si>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</si>
  <si>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</si>
  <si>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</si>
  <si>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</si>
  <si>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</si>
  <si>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</si>
  <si>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</si>
  <si>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</si>
  <si>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</si>
  <si>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</si>
  <si>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</si>
  <si>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</si>
  <si>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</si>
  <si>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</si>
  <si>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</si>
  <si>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</si>
  <si>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</si>
  <si>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</si>
  <si>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</si>
  <si>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</si>
  <si>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</si>
  <si>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</si>
  <si>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</si>
  <si>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</si>
  <si>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</si>
  <si>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</si>
  <si>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</si>
  <si>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</si>
  <si>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</si>
  <si>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</si>
  <si>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</si>
  <si>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</si>
  <si>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</si>
  <si>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</si>
  <si>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</si>
  <si>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</si>
  <si>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</si>
  <si>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</si>
  <si>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</si>
  <si>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</si>
  <si>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</si>
  <si>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</si>
  <si>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</si>
  <si>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</si>
  <si>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</si>
  <si>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</si>
  <si>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</si>
  <si>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</si>
  <si>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</si>
  <si>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</si>
  <si>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</si>
  <si>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</si>
  <si>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</si>
  <si>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</si>
  <si>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</si>
  <si>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</si>
  <si>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</si>
  <si>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</si>
  <si>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</si>
  <si>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</si>
  <si>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</si>
  <si>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</si>
  <si>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</si>
  <si>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</si>
  <si>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</si>
  <si>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</si>
  <si>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</si>
  <si>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</si>
  <si>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</si>
  <si>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</si>
  <si>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</si>
  <si>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</si>
  <si>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</si>
  <si>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</si>
  <si>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</si>
  <si>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</si>
  <si>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</si>
  <si>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</si>
  <si>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</si>
  <si>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</si>
  <si>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</si>
  <si>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</si>
  <si>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</si>
  <si>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</si>
  <si>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</si>
  <si>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</si>
  <si>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</si>
  <si>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</si>
  <si>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</si>
  <si>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</si>
  <si>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</si>
  <si>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</si>
  <si>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</si>
  <si>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</si>
  <si>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</si>
  <si>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</si>
  <si>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</si>
  <si>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</si>
  <si>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</si>
  <si>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</si>
  <si>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</si>
  <si>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</si>
  <si>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</si>
  <si>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</si>
  <si>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</si>
  <si>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</si>
  <si>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</si>
  <si>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</si>
  <si>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</si>
  <si>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</si>
  <si>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</si>
  <si>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</si>
  <si>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</si>
  <si>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</si>
  <si>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</si>
  <si>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</si>
  <si>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</si>
  <si>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</si>
  <si>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</si>
  <si>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</si>
  <si>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</si>
  <si>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</si>
  <si>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</si>
  <si>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</si>
  <si>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</si>
  <si>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</si>
  <si>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</si>
  <si>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</si>
  <si>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</si>
  <si>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</si>
  <si>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</si>
  <si>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</si>
  <si>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</si>
  <si>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</si>
  <si>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</si>
  <si>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</si>
  <si>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</si>
  <si>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</si>
  <si>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</si>
  <si>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</si>
  <si>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</si>
  <si>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</si>
  <si>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</si>
  <si>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</si>
  <si>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</si>
  <si>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</si>
  <si>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</si>
  <si>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</si>
  <si>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</si>
  <si>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</si>
  <si>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</si>
  <si>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</si>
  <si>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</si>
  <si>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</si>
  <si>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</si>
  <si>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</si>
  <si>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</si>
  <si>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</si>
  <si>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</si>
  <si>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</si>
  <si>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</si>
  <si>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</si>
  <si>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</si>
  <si>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</si>
  <si>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</si>
  <si>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</si>
  <si>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</si>
  <si>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</si>
  <si>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</si>
  <si>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</si>
  <si>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</si>
  <si>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</si>
  <si>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</si>
  <si>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</si>
  <si>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</si>
  <si>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</si>
  <si>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</si>
  <si>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</si>
  <si>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</si>
  <si>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</si>
  <si>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</si>
  <si>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</si>
  <si>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</si>
  <si>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</si>
  <si>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</si>
  <si>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</si>
  <si>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</si>
  <si>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</si>
  <si>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</si>
  <si>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</si>
  <si>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</si>
  <si>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</si>
  <si>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</si>
  <si>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</si>
  <si>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</si>
  <si>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</si>
  <si>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</si>
  <si>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</si>
  <si>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</si>
  <si>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</si>
  <si>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</si>
  <si>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</si>
  <si>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</si>
  <si>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</si>
  <si>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</si>
  <si>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</si>
  <si>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</si>
  <si>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</si>
  <si>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</si>
  <si>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</si>
  <si>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</si>
  <si>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</si>
  <si>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</si>
  <si>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</si>
  <si>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</si>
  <si>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</si>
  <si>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</si>
  <si>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</si>
  <si>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</si>
  <si>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</si>
  <si>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</si>
  <si>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</si>
  <si>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</si>
  <si>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</si>
  <si>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</si>
  <si>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</si>
  <si>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</si>
  <si>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</si>
  <si>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</si>
  <si>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</si>
  <si>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</si>
  <si>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</si>
  <si>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</si>
  <si>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CDS</t>
  </si>
  <si>
    <t>Sovereign CDS, net of US</t>
  </si>
  <si>
    <t>Std deviation in Equities (weekly)</t>
  </si>
  <si>
    <t>Iran, Islamic Rep.</t>
  </si>
  <si>
    <t>Puerto Rico</t>
  </si>
  <si>
    <t>Uzbekistan</t>
  </si>
  <si>
    <t>Yemen, Rep.</t>
  </si>
  <si>
    <t>Nepal</t>
  </si>
  <si>
    <t>Afghanistan</t>
  </si>
  <si>
    <t>Brunei Darussalam</t>
  </si>
  <si>
    <t>West Bank and Gaza</t>
  </si>
  <si>
    <t>Equatorial Guinea</t>
  </si>
  <si>
    <t>Chad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</si>
  <si>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</si>
  <si>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</si>
  <si>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</si>
  <si>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</si>
  <si>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</si>
  <si>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</si>
  <si>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</si>
  <si>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</si>
  <si>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</si>
  <si>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</si>
  <si>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</si>
  <si>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</si>
  <si>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</si>
  <si>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</si>
  <si>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</si>
  <si>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</si>
  <si>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</si>
  <si>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</si>
  <si>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</si>
  <si>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</si>
  <si>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</si>
  <si>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</si>
  <si>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</si>
  <si>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</si>
  <si>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</si>
  <si>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</si>
  <si>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</si>
  <si>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</si>
  <si>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</si>
  <si>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</si>
  <si>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Tuvalu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</si>
  <si>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</si>
  <si>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</si>
  <si>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</si>
  <si>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</si>
  <si>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</si>
  <si>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</si>
  <si>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</si>
  <si>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</si>
  <si>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</si>
  <si>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Europe average</t>
  </si>
  <si>
    <t>Oceania average</t>
  </si>
  <si>
    <t>North America average</t>
  </si>
  <si>
    <t>Latin America average</t>
  </si>
  <si>
    <t>OECD average</t>
  </si>
  <si>
    <t>Global average</t>
  </si>
  <si>
    <t>Total Equity Risk Premium2</t>
  </si>
  <si>
    <t>Country Risk Premium3</t>
  </si>
  <si>
    <t>CDS % Change</t>
  </si>
  <si>
    <t xml:space="preserve">Ca </t>
  </si>
  <si>
    <t>Below Ca</t>
  </si>
  <si>
    <t>American Samoa</t>
  </si>
  <si>
    <t>Guam</t>
  </si>
  <si>
    <t>Monaco</t>
  </si>
  <si>
    <t>Northern Mariana Islands</t>
  </si>
  <si>
    <t>San Marino</t>
  </si>
  <si>
    <t>Venezuela, RB</t>
  </si>
  <si>
    <t>Virgin Islands (U.S.)</t>
  </si>
  <si>
    <t>Jersey (Channel Islands)</t>
  </si>
  <si>
    <t>Sint Maarten</t>
  </si>
  <si>
    <t>Dubai</t>
  </si>
  <si>
    <t>CDS Spread net of US</t>
  </si>
  <si>
    <t>Equity Risk Premium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</si>
  <si>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</si>
  <si>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</si>
  <si>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</si>
  <si>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</si>
  <si>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</si>
  <si>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</si>
  <si>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</si>
  <si>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</si>
  <si>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</si>
  <si>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Guatamela</t>
  </si>
  <si>
    <t>Average of Equity Risk Premium</t>
  </si>
  <si>
    <t>Eswatini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</si>
  <si>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</si>
  <si>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</si>
  <si>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</si>
  <si>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</si>
  <si>
    <t>Guernsey (Channel Islands)</t>
  </si>
  <si>
    <t>Country and Equity Risk Premiums</t>
  </si>
  <si>
    <t>Date of update:</t>
  </si>
  <si>
    <t>My paper on country risk premiums:</t>
  </si>
  <si>
    <t>For simplicity (and since it does not make a big difference), I assume that any country that has a CDS spread lower than the US will have a zero country risk premium and end up with a total equity risk premium equal to the US.</t>
  </si>
  <si>
    <t>North Macedonia</t>
  </si>
  <si>
    <t>Korea, Republic</t>
  </si>
  <si>
    <t>Trinidad &amp; Tobago</t>
  </si>
  <si>
    <t>China, Peoples' Rep.</t>
  </si>
  <si>
    <t xml:space="preserve">Serbia </t>
  </si>
  <si>
    <t>Congo, Republic</t>
  </si>
  <si>
    <t>Congo, Dem. Republic</t>
  </si>
  <si>
    <t>Updated: January 2020</t>
  </si>
  <si>
    <t>Sovereign CDS</t>
  </si>
  <si>
    <t>CV(CDS)</t>
  </si>
  <si>
    <t>Date:</t>
  </si>
  <si>
    <t>Updating Sequence</t>
  </si>
  <si>
    <t>1. Relative Risk Worksheet</t>
  </si>
  <si>
    <t>2. Sovereign Ratings</t>
  </si>
  <si>
    <t>3. CDS Worksheet</t>
  </si>
  <si>
    <t>4. Default Spreads</t>
  </si>
  <si>
    <t>5. PRS Worksheet</t>
  </si>
  <si>
    <t>6. Country GDP</t>
  </si>
  <si>
    <t>7. Country tax rates</t>
  </si>
  <si>
    <t>8. Regional Weighted averages</t>
  </si>
  <si>
    <t>-</t>
  </si>
  <si>
    <t>eSwatini</t>
  </si>
  <si>
    <t>Weighted Average: ERP</t>
  </si>
  <si>
    <t>Congo</t>
  </si>
  <si>
    <t>Looked up for 2020</t>
  </si>
  <si>
    <t>..</t>
  </si>
  <si>
    <t>S&amp;P Emerging BMI (USD)</t>
  </si>
  <si>
    <t>FC</t>
  </si>
  <si>
    <t>LC</t>
  </si>
  <si>
    <t>Bahamas-Offshore Banks</t>
  </si>
  <si>
    <t>Bahrain-Offshore Banks [1]</t>
  </si>
  <si>
    <t>Cayman Islands-Offshore Banks</t>
  </si>
  <si>
    <t>Democratic Republic of the Congo</t>
  </si>
  <si>
    <t>Hong Kong SAR, China</t>
  </si>
  <si>
    <t>Macao SAR, China</t>
  </si>
  <si>
    <t>Panama-Offshore Banks</t>
  </si>
  <si>
    <t>Taiwan, China</t>
  </si>
  <si>
    <t>B+ </t>
  </si>
  <si>
    <t>B </t>
  </si>
  <si>
    <t>BBB+ </t>
  </si>
  <si>
    <t>N/A</t>
  </si>
  <si>
    <t>B- </t>
  </si>
  <si>
    <t>European Union</t>
  </si>
  <si>
    <t>BB </t>
  </si>
  <si>
    <t>SD </t>
  </si>
  <si>
    <t>BBB </t>
  </si>
  <si>
    <t>AA- </t>
  </si>
  <si>
    <t>D</t>
  </si>
  <si>
    <t>A- </t>
  </si>
  <si>
    <t>Norway </t>
  </si>
  <si>
    <t>D </t>
  </si>
  <si>
    <t>Singapore </t>
  </si>
  <si>
    <t>South Korea</t>
  </si>
  <si>
    <t>A </t>
  </si>
  <si>
    <t>St Vincent and the Grenadines</t>
  </si>
  <si>
    <t>AA </t>
  </si>
  <si>
    <t>Turkey </t>
  </si>
  <si>
    <t>CDS Spread 7/1/2021</t>
  </si>
  <si>
    <t>Updated Default Spread (7/1/21)</t>
  </si>
  <si>
    <r>
      <t>s</t>
    </r>
    <r>
      <rPr>
        <i/>
        <vertAlign val="subscript"/>
        <sz val="12"/>
        <color rgb="FF000000"/>
        <rFont val="Calibri"/>
        <family val="2"/>
      </rPr>
      <t>Bond</t>
    </r>
  </si>
  <si>
    <r>
      <t>s</t>
    </r>
    <r>
      <rPr>
        <i/>
        <vertAlign val="subscript"/>
        <sz val="12"/>
        <color rgb="FF000000"/>
        <rFont val="Calibri"/>
        <family val="2"/>
      </rPr>
      <t xml:space="preserve">Equity/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</rPr>
      <t>Bond</t>
    </r>
  </si>
  <si>
    <r>
      <t>s</t>
    </r>
    <r>
      <rPr>
        <i/>
        <sz val="12"/>
        <color rgb="FF000000"/>
        <rFont val="Calibri"/>
        <family val="2"/>
      </rPr>
      <t xml:space="preserve"> (CDS)</t>
    </r>
  </si>
  <si>
    <r>
      <t>s</t>
    </r>
    <r>
      <rPr>
        <i/>
        <vertAlign val="subscript"/>
        <sz val="12"/>
        <color rgb="FF000000"/>
        <rFont val="Symbol"/>
        <charset val="2"/>
      </rPr>
      <t>E</t>
    </r>
    <r>
      <rPr>
        <i/>
        <vertAlign val="subscript"/>
        <sz val="12"/>
        <color rgb="FF000000"/>
        <rFont val="Calibri"/>
        <family val="2"/>
      </rPr>
      <t>quity/</t>
    </r>
    <r>
      <rPr>
        <i/>
        <vertAlign val="subscript"/>
        <sz val="12"/>
        <color rgb="FF000000"/>
        <rFont val="Symbol"/>
        <charset val="2"/>
      </rPr>
      <t xml:space="preserve"> </t>
    </r>
    <r>
      <rPr>
        <i/>
        <sz val="12"/>
        <color rgb="FF000000"/>
        <rFont val="Symbol"/>
        <charset val="2"/>
      </rPr>
      <t>s</t>
    </r>
    <r>
      <rPr>
        <i/>
        <vertAlign val="subscript"/>
        <sz val="12"/>
        <color rgb="FF000000"/>
        <rFont val="Calibri"/>
        <family val="2"/>
      </rPr>
      <t>CDS</t>
    </r>
  </si>
  <si>
    <t>Guatemela</t>
  </si>
  <si>
    <t>https://privpapers.ssrn.com/sol3/papers.cfm?abstract_id=3825823</t>
  </si>
  <si>
    <t>https://papers.ssrn.com/sol3/papers.cfm?abstract_id=3879109</t>
  </si>
  <si>
    <t>Average Tax Rate</t>
  </si>
  <si>
    <t>Updated January 1, 2022</t>
  </si>
  <si>
    <t>Two years</t>
  </si>
  <si>
    <t>CCC+ </t>
  </si>
  <si>
    <t>BBB- </t>
  </si>
  <si>
    <t>CCC </t>
  </si>
  <si>
    <t>A+ </t>
  </si>
  <si>
    <t>Peru </t>
  </si>
  <si>
    <t>United States </t>
  </si>
  <si>
    <t xml:space="preserve"> Default Spread (7/1/21)</t>
  </si>
  <si>
    <t>Updated Default Spread (1/1/22)</t>
  </si>
  <si>
    <t>CDS Spread (1/1/22)</t>
  </si>
  <si>
    <t>GDP in billions</t>
  </si>
  <si>
    <t>Bahamas, The</t>
  </si>
  <si>
    <t>Cabo Verde</t>
  </si>
  <si>
    <t>Congo, Dem. Rep.</t>
  </si>
  <si>
    <t>Congo, Rep.</t>
  </si>
  <si>
    <t>Curaçao</t>
  </si>
  <si>
    <t>Egypt, Arab Rep.</t>
  </si>
  <si>
    <t>Korea, Rep.</t>
  </si>
  <si>
    <t>Lao PDR</t>
  </si>
  <si>
    <t>Nauru</t>
  </si>
  <si>
    <t>Russian Federation</t>
  </si>
  <si>
    <t>São Tomé and Principe</t>
  </si>
  <si>
    <t>Slovak Republic</t>
  </si>
  <si>
    <t>GDP (in billions) in 2020</t>
  </si>
  <si>
    <t>Composite Risk Rating 1/22</t>
  </si>
  <si>
    <t>GDP (in 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</si>
</sst>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mmmm\ d\,\ yyyy;@"/>
    <numFmt numFmtId="165" formatCode="0.0"/>
    <numFmt numFmtId="166" formatCode="0.0000%"/>
    <numFmt numFmtId="167" formatCode="0.000"/>
    <numFmt numFmtId="168" formatCode="yyyy\-mm\-dd"/>
    <numFmt numFmtId="169" formatCode="[$-409]d\-mmm\-yy;@"/>
  </numFmts>
  <fonts count="73">
    <font>
      <sz val="9"/>
      <name val="Genev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sz val="10"/>
      <color theme="1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B050"/>
      <name val="Calibri"/>
      <family val="2"/>
      <scheme val="minor"/>
    </font>
    <font>
      <u/>
      <sz val="10"/>
      <color indexed="12"/>
      <name val="Calibri"/>
      <family val="2"/>
      <scheme val="minor"/>
    </font>
    <font>
      <i/>
      <sz val="12"/>
      <color rgb="FF000000"/>
      <name val="Symbol"/>
      <charset val="2"/>
    </font>
    <font>
      <i/>
      <vertAlign val="subscript"/>
      <sz val="12"/>
      <color rgb="FF000000"/>
      <name val="Symbol"/>
      <charset val="2"/>
    </font>
    <font>
      <sz val="14"/>
      <color theme="1"/>
      <name val="Calibri"/>
      <family val="2"/>
      <scheme val="minor"/>
    </font>
    <font>
      <b/>
      <sz val="9"/>
      <name val="Geneva"/>
      <family val="2"/>
    </font>
    <font>
      <sz val="14"/>
      <name val="Genev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color rgb="FF46A7F1"/>
      <name val="Calibri"/>
      <family val="2"/>
      <scheme val="minor"/>
    </font>
    <font>
      <b/>
      <sz val="11"/>
      <name val="Arial"/>
      <family val="2"/>
    </font>
    <font>
      <b/>
      <sz val="14"/>
      <color rgb="FF333333"/>
      <name val="Helvetica Neue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Arial"/>
      <family val="2"/>
    </font>
    <font>
      <b/>
      <sz val="14"/>
      <color rgb="FF000000"/>
      <name val="Helvetica Neue"/>
      <family val="2"/>
    </font>
    <font>
      <b/>
      <sz val="14"/>
      <color rgb="FF8B0000"/>
      <name val="Helvetica Neue"/>
      <family val="2"/>
    </font>
    <font>
      <b/>
      <sz val="14"/>
      <color rgb="FF006400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9" fillId="4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6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Border="1"/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11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0" fontId="8" fillId="0" borderId="1" xfId="4" applyNumberFormat="1" applyFont="1" applyBorder="1"/>
    <xf numFmtId="10" fontId="8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0" fillId="0" borderId="1" xfId="0" applyBorder="1"/>
    <xf numFmtId="0" fontId="16" fillId="0" borderId="0" xfId="0" applyFont="1"/>
    <xf numFmtId="0" fontId="4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7" fillId="0" borderId="0" xfId="0" applyFont="1"/>
    <xf numFmtId="10" fontId="8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8" fillId="0" borderId="0" xfId="4" applyNumberFormat="1" applyFont="1" applyBorder="1"/>
    <xf numFmtId="10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1" xfId="0" applyFont="1" applyBorder="1"/>
    <xf numFmtId="0" fontId="35" fillId="0" borderId="1" xfId="0" applyFont="1" applyBorder="1"/>
    <xf numFmtId="0" fontId="36" fillId="0" borderId="1" xfId="0" applyFont="1" applyBorder="1"/>
    <xf numFmtId="0" fontId="20" fillId="0" borderId="0" xfId="0" applyFont="1" applyBorder="1"/>
    <xf numFmtId="0" fontId="37" fillId="0" borderId="0" xfId="0" applyFont="1"/>
    <xf numFmtId="0" fontId="0" fillId="0" borderId="0" xfId="0" applyAlignment="1"/>
    <xf numFmtId="0" fontId="33" fillId="0" borderId="1" xfId="3" applyFont="1" applyFill="1" applyBorder="1"/>
    <xf numFmtId="0" fontId="33" fillId="0" borderId="1" xfId="3" applyFont="1" applyFill="1" applyBorder="1" applyAlignment="1">
      <alignment horizontal="left"/>
    </xf>
    <xf numFmtId="0" fontId="38" fillId="0" borderId="0" xfId="0" applyFont="1"/>
    <xf numFmtId="0" fontId="18" fillId="0" borderId="1" xfId="3" applyFont="1" applyFill="1" applyBorder="1" applyAlignment="1">
      <alignment horizontal="left"/>
    </xf>
    <xf numFmtId="0" fontId="8" fillId="0" borderId="1" xfId="0" applyFont="1" applyFill="1" applyBorder="1"/>
    <xf numFmtId="0" fontId="40" fillId="0" borderId="0" xfId="0" applyFont="1"/>
    <xf numFmtId="0" fontId="33" fillId="0" borderId="0" xfId="0" applyFont="1"/>
    <xf numFmtId="0" fontId="33" fillId="6" borderId="1" xfId="0" applyFont="1" applyFill="1" applyBorder="1"/>
    <xf numFmtId="0" fontId="33" fillId="0" borderId="0" xfId="0" applyFont="1" applyAlignment="1">
      <alignment horizontal="center"/>
    </xf>
    <xf numFmtId="0" fontId="33" fillId="7" borderId="1" xfId="0" applyFont="1" applyFill="1" applyBorder="1" applyAlignment="1">
      <alignment horizontal="center"/>
    </xf>
    <xf numFmtId="10" fontId="33" fillId="7" borderId="1" xfId="4" applyNumberFormat="1" applyFont="1" applyFill="1" applyBorder="1" applyAlignment="1">
      <alignment horizontal="center"/>
    </xf>
    <xf numFmtId="0" fontId="0" fillId="6" borderId="1" xfId="0" applyFill="1" applyBorder="1"/>
    <xf numFmtId="10" fontId="6" fillId="7" borderId="1" xfId="4" applyNumberFormat="1" applyFont="1" applyFill="1" applyBorder="1"/>
    <xf numFmtId="0" fontId="33" fillId="0" borderId="3" xfId="0" applyFont="1" applyBorder="1"/>
    <xf numFmtId="0" fontId="33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21" fillId="8" borderId="0" xfId="0" applyFont="1" applyFill="1" applyAlignment="1">
      <alignment horizontal="left" vertical="center" wrapText="1"/>
    </xf>
    <xf numFmtId="0" fontId="19" fillId="0" borderId="3" xfId="0" applyFont="1" applyBorder="1"/>
    <xf numFmtId="0" fontId="22" fillId="0" borderId="1" xfId="0" applyFont="1" applyBorder="1"/>
    <xf numFmtId="0" fontId="0" fillId="0" borderId="0" xfId="0" applyFont="1"/>
    <xf numFmtId="0" fontId="22" fillId="0" borderId="2" xfId="0" applyFont="1" applyBorder="1" applyAlignment="1">
      <alignment horizontal="center"/>
    </xf>
    <xf numFmtId="0" fontId="22" fillId="0" borderId="1" xfId="0" applyFont="1" applyFill="1" applyBorder="1"/>
    <xf numFmtId="0" fontId="37" fillId="0" borderId="1" xfId="0" applyFont="1" applyBorder="1" applyAlignment="1">
      <alignment horizontal="center"/>
    </xf>
    <xf numFmtId="10" fontId="37" fillId="0" borderId="1" xfId="4" applyNumberFormat="1" applyFont="1" applyBorder="1" applyAlignment="1">
      <alignment horizontal="center"/>
    </xf>
    <xf numFmtId="10" fontId="37" fillId="0" borderId="2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0" fontId="33" fillId="0" borderId="1" xfId="4" applyNumberFormat="1" applyFont="1" applyBorder="1" applyAlignment="1">
      <alignment horizontal="center"/>
    </xf>
    <xf numFmtId="0" fontId="37" fillId="0" borderId="1" xfId="0" applyFont="1" applyBorder="1"/>
    <xf numFmtId="0" fontId="39" fillId="0" borderId="0" xfId="0" applyFont="1"/>
    <xf numFmtId="10" fontId="33" fillId="0" borderId="0" xfId="4" applyNumberFormat="1" applyFont="1"/>
    <xf numFmtId="10" fontId="37" fillId="0" borderId="0" xfId="0" applyNumberFormat="1" applyFont="1"/>
    <xf numFmtId="10" fontId="37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1" xfId="0" applyFont="1" applyBorder="1"/>
    <xf numFmtId="10" fontId="0" fillId="0" borderId="1" xfId="0" applyNumberFormat="1" applyBorder="1" applyAlignment="1">
      <alignment horizontal="center"/>
    </xf>
    <xf numFmtId="0" fontId="37" fillId="8" borderId="1" xfId="0" applyFont="1" applyFill="1" applyBorder="1" applyAlignment="1">
      <alignment horizontal="left" vertical="center" wrapText="1"/>
    </xf>
    <xf numFmtId="0" fontId="37" fillId="8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41" fillId="0" borderId="0" xfId="0" applyFont="1"/>
    <xf numFmtId="0" fontId="42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6" fillId="0" borderId="0" xfId="0" applyFont="1"/>
    <xf numFmtId="0" fontId="43" fillId="0" borderId="0" xfId="0" applyFont="1"/>
    <xf numFmtId="165" fontId="25" fillId="0" borderId="0" xfId="0" applyNumberFormat="1" applyFont="1" applyAlignment="1">
      <alignment horizontal="center"/>
    </xf>
    <xf numFmtId="10" fontId="33" fillId="7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27" fillId="0" borderId="0" xfId="0" applyFont="1"/>
    <xf numFmtId="14" fontId="27" fillId="0" borderId="0" xfId="0" applyNumberFormat="1" applyFont="1" applyAlignment="1">
      <alignment wrapText="1"/>
    </xf>
    <xf numFmtId="0" fontId="27" fillId="0" borderId="0" xfId="0" applyFont="1" applyAlignment="1">
      <alignment wrapText="1"/>
    </xf>
    <xf numFmtId="10" fontId="30" fillId="0" borderId="1" xfId="4" applyNumberFormat="1" applyFont="1" applyBorder="1" applyAlignment="1">
      <alignment wrapText="1"/>
    </xf>
    <xf numFmtId="10" fontId="30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3" fillId="0" borderId="0" xfId="0" applyFont="1" applyAlignment="1">
      <alignment horizontal="left"/>
    </xf>
    <xf numFmtId="2" fontId="6" fillId="7" borderId="1" xfId="4" applyNumberFormat="1" applyFont="1" applyFill="1" applyBorder="1" applyAlignment="1">
      <alignment horizontal="center"/>
    </xf>
    <xf numFmtId="10" fontId="6" fillId="7" borderId="1" xfId="4" applyNumberFormat="1" applyFont="1" applyFill="1" applyBorder="1" applyAlignment="1">
      <alignment horizontal="center"/>
    </xf>
    <xf numFmtId="0" fontId="28" fillId="0" borderId="0" xfId="0" applyFont="1"/>
    <xf numFmtId="0" fontId="19" fillId="0" borderId="0" xfId="0" applyFont="1"/>
    <xf numFmtId="0" fontId="8" fillId="0" borderId="5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10" fontId="8" fillId="0" borderId="6" xfId="0" applyNumberFormat="1" applyFont="1" applyBorder="1" applyAlignment="1">
      <alignment horizontal="center"/>
    </xf>
    <xf numFmtId="10" fontId="30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4" fillId="5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1" fillId="0" borderId="1" xfId="0" applyFont="1" applyBorder="1"/>
    <xf numFmtId="10" fontId="33" fillId="0" borderId="1" xfId="0" applyNumberFormat="1" applyFont="1" applyBorder="1"/>
    <xf numFmtId="167" fontId="0" fillId="0" borderId="1" xfId="0" applyNumberFormat="1" applyBorder="1"/>
    <xf numFmtId="10" fontId="22" fillId="0" borderId="0" xfId="0" applyNumberFormat="1" applyFont="1" applyBorder="1" applyAlignment="1">
      <alignment horizontal="center"/>
    </xf>
    <xf numFmtId="0" fontId="9" fillId="0" borderId="0" xfId="2" applyAlignment="1" applyProtection="1"/>
    <xf numFmtId="0" fontId="44" fillId="3" borderId="9" xfId="3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left"/>
    </xf>
    <xf numFmtId="165" fontId="19" fillId="0" borderId="6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10" fontId="8" fillId="0" borderId="5" xfId="4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10" fontId="8" fillId="0" borderId="12" xfId="0" applyNumberFormat="1" applyFont="1" applyBorder="1" applyAlignment="1">
      <alignment horizontal="center"/>
    </xf>
    <xf numFmtId="0" fontId="31" fillId="0" borderId="1" xfId="0" applyFont="1" applyBorder="1"/>
    <xf numFmtId="10" fontId="31" fillId="0" borderId="1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 wrapText="1"/>
    </xf>
    <xf numFmtId="10" fontId="33" fillId="0" borderId="1" xfId="4" applyNumberFormat="1" applyFont="1" applyFill="1" applyBorder="1" applyAlignment="1">
      <alignment horizontal="center"/>
    </xf>
    <xf numFmtId="0" fontId="20" fillId="0" borderId="0" xfId="0" applyFont="1" applyFill="1" applyBorder="1"/>
    <xf numFmtId="0" fontId="37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6" fillId="0" borderId="1" xfId="0" applyFont="1" applyBorder="1"/>
    <xf numFmtId="0" fontId="47" fillId="0" borderId="3" xfId="0" applyFont="1" applyBorder="1"/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4" applyNumberFormat="1" applyFont="1" applyFill="1" applyBorder="1" applyAlignment="1">
      <alignment horizontal="center"/>
    </xf>
    <xf numFmtId="168" fontId="0" fillId="0" borderId="0" xfId="0" applyNumberFormat="1"/>
    <xf numFmtId="2" fontId="41" fillId="0" borderId="1" xfId="0" applyNumberFormat="1" applyFont="1" applyBorder="1"/>
    <xf numFmtId="2" fontId="33" fillId="0" borderId="1" xfId="0" applyNumberFormat="1" applyFont="1" applyBorder="1" applyAlignment="1">
      <alignment horizontal="center" wrapText="1"/>
    </xf>
    <xf numFmtId="2" fontId="18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45" fillId="10" borderId="13" xfId="0" applyFont="1" applyFill="1" applyBorder="1"/>
    <xf numFmtId="0" fontId="45" fillId="10" borderId="14" xfId="0" applyFont="1" applyFill="1" applyBorder="1"/>
    <xf numFmtId="0" fontId="45" fillId="11" borderId="15" xfId="0" applyFont="1" applyFill="1" applyBorder="1" applyAlignment="1">
      <alignment horizontal="left"/>
    </xf>
    <xf numFmtId="10" fontId="45" fillId="11" borderId="15" xfId="0" applyNumberFormat="1" applyFont="1" applyFill="1" applyBorder="1"/>
    <xf numFmtId="0" fontId="0" fillId="0" borderId="1" xfId="0" applyBorder="1" applyAlignment="1">
      <alignment horizontal="center"/>
    </xf>
    <xf numFmtId="0" fontId="50" fillId="0" borderId="1" xfId="0" applyFont="1" applyBorder="1"/>
    <xf numFmtId="0" fontId="3" fillId="0" borderId="1" xfId="0" applyFont="1" applyBorder="1"/>
    <xf numFmtId="14" fontId="37" fillId="0" borderId="1" xfId="4" applyNumberFormat="1" applyFont="1" applyBorder="1" applyAlignment="1">
      <alignment horizontal="center" vertical="center" wrapText="1"/>
    </xf>
    <xf numFmtId="0" fontId="44" fillId="3" borderId="1" xfId="3" applyFont="1" applyFill="1" applyBorder="1" applyAlignment="1">
      <alignment vertical="center"/>
    </xf>
    <xf numFmtId="10" fontId="41" fillId="0" borderId="1" xfId="4" applyNumberFormat="1" applyFont="1" applyBorder="1" applyAlignment="1">
      <alignment horizontal="center"/>
    </xf>
    <xf numFmtId="10" fontId="11" fillId="0" borderId="0" xfId="4" applyNumberFormat="1" applyFont="1" applyFill="1" applyBorder="1" applyAlignment="1">
      <alignment horizontal="center"/>
    </xf>
    <xf numFmtId="0" fontId="5" fillId="0" borderId="1" xfId="0" applyFont="1" applyBorder="1"/>
    <xf numFmtId="0" fontId="0" fillId="12" borderId="0" xfId="0" applyFill="1"/>
    <xf numFmtId="0" fontId="8" fillId="0" borderId="1" xfId="0" applyFont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8" fillId="13" borderId="1" xfId="0" applyFont="1" applyFill="1" applyBorder="1" applyAlignment="1">
      <alignment horizontal="center"/>
    </xf>
    <xf numFmtId="10" fontId="8" fillId="13" borderId="1" xfId="4" applyNumberFormat="1" applyFont="1" applyFill="1" applyBorder="1" applyAlignment="1">
      <alignment horizontal="center"/>
    </xf>
    <xf numFmtId="10" fontId="8" fillId="13" borderId="1" xfId="0" applyNumberFormat="1" applyFont="1" applyFill="1" applyBorder="1" applyAlignment="1">
      <alignment horizontal="center"/>
    </xf>
    <xf numFmtId="2" fontId="37" fillId="0" borderId="1" xfId="0" applyNumberFormat="1" applyFont="1" applyBorder="1" applyAlignment="1">
      <alignment horizontal="center"/>
    </xf>
    <xf numFmtId="0" fontId="33" fillId="0" borderId="1" xfId="0" applyFont="1" applyFill="1" applyBorder="1"/>
    <xf numFmtId="0" fontId="2" fillId="0" borderId="1" xfId="0" applyFont="1" applyBorder="1"/>
    <xf numFmtId="0" fontId="19" fillId="0" borderId="3" xfId="0" applyFont="1" applyBorder="1" applyAlignment="1">
      <alignment horizontal="center"/>
    </xf>
    <xf numFmtId="0" fontId="19" fillId="0" borderId="3" xfId="0" quotePrefix="1" applyFont="1" applyBorder="1"/>
    <xf numFmtId="166" fontId="30" fillId="0" borderId="4" xfId="4" applyNumberFormat="1" applyFont="1" applyBorder="1"/>
    <xf numFmtId="0" fontId="36" fillId="0" borderId="17" xfId="0" applyFont="1" applyBorder="1" applyAlignment="1">
      <alignment vertical="center"/>
    </xf>
    <xf numFmtId="10" fontId="0" fillId="0" borderId="18" xfId="4" applyNumberFormat="1" applyFont="1" applyBorder="1"/>
    <xf numFmtId="2" fontId="0" fillId="0" borderId="18" xfId="0" applyNumberFormat="1" applyBorder="1" applyAlignment="1">
      <alignment horizontal="center"/>
    </xf>
    <xf numFmtId="0" fontId="0" fillId="0" borderId="18" xfId="0" applyBorder="1"/>
    <xf numFmtId="10" fontId="54" fillId="0" borderId="18" xfId="4" applyNumberFormat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55" fillId="0" borderId="1" xfId="0" applyFont="1" applyBorder="1" applyAlignment="1">
      <alignment horizontal="left"/>
    </xf>
    <xf numFmtId="17" fontId="55" fillId="0" borderId="1" xfId="0" applyNumberFormat="1" applyFont="1" applyBorder="1"/>
    <xf numFmtId="0" fontId="28" fillId="0" borderId="1" xfId="0" applyFont="1" applyBorder="1" applyAlignment="1">
      <alignment horizontal="left"/>
    </xf>
    <xf numFmtId="17" fontId="28" fillId="0" borderId="1" xfId="0" applyNumberFormat="1" applyFont="1" applyBorder="1"/>
    <xf numFmtId="0" fontId="56" fillId="0" borderId="0" xfId="0" applyFont="1"/>
    <xf numFmtId="0" fontId="19" fillId="0" borderId="0" xfId="0" applyFont="1" applyFill="1" applyBorder="1"/>
    <xf numFmtId="0" fontId="8" fillId="0" borderId="16" xfId="0" applyFont="1" applyFill="1" applyBorder="1"/>
    <xf numFmtId="0" fontId="44" fillId="3" borderId="1" xfId="3" applyFont="1" applyFill="1" applyBorder="1" applyAlignment="1">
      <alignment horizontal="center" vertical="center"/>
    </xf>
    <xf numFmtId="0" fontId="44" fillId="5" borderId="1" xfId="3" applyFont="1" applyFill="1" applyBorder="1" applyAlignment="1">
      <alignment vertical="center"/>
    </xf>
    <xf numFmtId="0" fontId="44" fillId="3" borderId="1" xfId="3" applyFont="1" applyFill="1" applyBorder="1" applyAlignment="1">
      <alignment horizontal="left" vertical="center"/>
    </xf>
    <xf numFmtId="0" fontId="7" fillId="0" borderId="0" xfId="0" applyFont="1" applyFill="1" applyAlignment="1">
      <alignment horizontal="centerContinuous"/>
    </xf>
    <xf numFmtId="0" fontId="0" fillId="0" borderId="0" xfId="0" applyFill="1"/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5" fillId="0" borderId="0" xfId="0" applyFont="1"/>
    <xf numFmtId="0" fontId="57" fillId="8" borderId="20" xfId="0" applyFont="1" applyFill="1" applyBorder="1" applyAlignment="1">
      <alignment horizontal="center" vertical="center"/>
    </xf>
    <xf numFmtId="0" fontId="58" fillId="3" borderId="1" xfId="3" applyFont="1" applyFill="1" applyBorder="1" applyAlignment="1">
      <alignment vertical="center"/>
    </xf>
    <xf numFmtId="0" fontId="32" fillId="0" borderId="1" xfId="0" applyFont="1" applyBorder="1"/>
    <xf numFmtId="0" fontId="5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61" fillId="0" borderId="0" xfId="0" applyFont="1" applyAlignment="1">
      <alignment wrapText="1"/>
    </xf>
    <xf numFmtId="44" fontId="61" fillId="0" borderId="0" xfId="5" applyFont="1" applyAlignment="1">
      <alignment wrapText="1"/>
    </xf>
    <xf numFmtId="44" fontId="62" fillId="0" borderId="0" xfId="5" applyFont="1" applyAlignment="1">
      <alignment wrapText="1"/>
    </xf>
    <xf numFmtId="0" fontId="1" fillId="0" borderId="1" xfId="0" applyFont="1" applyBorder="1"/>
    <xf numFmtId="10" fontId="38" fillId="0" borderId="0" xfId="4" applyNumberFormat="1" applyFont="1" applyAlignment="1">
      <alignment horizontal="center"/>
    </xf>
    <xf numFmtId="10" fontId="32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169" fontId="8" fillId="6" borderId="1" xfId="0" applyNumberFormat="1" applyFont="1" applyFill="1" applyBorder="1" applyAlignment="1">
      <alignment horizontal="center"/>
    </xf>
    <xf numFmtId="0" fontId="63" fillId="3" borderId="0" xfId="3" applyFont="1" applyFill="1" applyAlignment="1">
      <alignment horizontal="center" wrapText="1"/>
    </xf>
    <xf numFmtId="0" fontId="44" fillId="3" borderId="9" xfId="3" applyFont="1" applyFill="1" applyBorder="1" applyAlignment="1">
      <alignment horizontal="center" vertical="center"/>
    </xf>
    <xf numFmtId="0" fontId="44" fillId="5" borderId="9" xfId="3" applyFont="1" applyFill="1" applyBorder="1" applyAlignment="1">
      <alignment vertical="center"/>
    </xf>
    <xf numFmtId="0" fontId="44" fillId="5" borderId="9" xfId="3" applyFont="1" applyFill="1" applyBorder="1" applyAlignment="1">
      <alignment horizontal="center" vertical="center"/>
    </xf>
    <xf numFmtId="0" fontId="44" fillId="3" borderId="9" xfId="3" applyFont="1" applyFill="1" applyBorder="1" applyAlignment="1">
      <alignment horizontal="left" vertical="center"/>
    </xf>
    <xf numFmtId="0" fontId="64" fillId="0" borderId="0" xfId="0" applyFont="1"/>
    <xf numFmtId="0" fontId="65" fillId="0" borderId="4" xfId="0" applyFont="1" applyBorder="1" applyAlignment="1">
      <alignment horizontal="justify" vertical="center"/>
    </xf>
    <xf numFmtId="10" fontId="65" fillId="12" borderId="21" xfId="4" applyNumberFormat="1" applyFont="1" applyFill="1" applyBorder="1" applyAlignment="1">
      <alignment horizontal="center" vertical="center" wrapText="1"/>
    </xf>
    <xf numFmtId="0" fontId="52" fillId="0" borderId="21" xfId="0" applyFont="1" applyBorder="1" applyAlignment="1">
      <alignment horizontal="center" vertical="center"/>
    </xf>
    <xf numFmtId="0" fontId="65" fillId="12" borderId="21" xfId="0" applyFont="1" applyFill="1" applyBorder="1" applyAlignment="1">
      <alignment horizontal="center" vertical="center"/>
    </xf>
    <xf numFmtId="0" fontId="67" fillId="0" borderId="21" xfId="0" applyFont="1" applyBorder="1" applyAlignment="1">
      <alignment horizontal="justify" vertical="center"/>
    </xf>
    <xf numFmtId="2" fontId="52" fillId="0" borderId="21" xfId="0" applyNumberFormat="1" applyFont="1" applyBorder="1" applyAlignment="1">
      <alignment horizontal="center" vertical="center"/>
    </xf>
    <xf numFmtId="0" fontId="67" fillId="0" borderId="22" xfId="0" applyFont="1" applyBorder="1" applyAlignment="1">
      <alignment horizontal="justify" vertical="center"/>
    </xf>
    <xf numFmtId="10" fontId="67" fillId="12" borderId="23" xfId="4" applyNumberFormat="1" applyFont="1" applyFill="1" applyBorder="1" applyAlignment="1">
      <alignment horizontal="center" vertical="center"/>
    </xf>
    <xf numFmtId="0" fontId="67" fillId="0" borderId="23" xfId="0" applyFont="1" applyBorder="1" applyAlignment="1">
      <alignment horizontal="center" vertical="center"/>
    </xf>
    <xf numFmtId="10" fontId="67" fillId="0" borderId="23" xfId="0" applyNumberFormat="1" applyFont="1" applyBorder="1" applyAlignment="1">
      <alignment horizontal="center" vertical="center"/>
    </xf>
    <xf numFmtId="10" fontId="67" fillId="12" borderId="23" xfId="0" applyNumberFormat="1" applyFont="1" applyFill="1" applyBorder="1" applyAlignment="1">
      <alignment horizontal="center" vertical="center"/>
    </xf>
    <xf numFmtId="2" fontId="67" fillId="0" borderId="23" xfId="0" applyNumberFormat="1" applyFont="1" applyBorder="1" applyAlignment="1">
      <alignment horizontal="center" vertical="center"/>
    </xf>
    <xf numFmtId="2" fontId="67" fillId="12" borderId="23" xfId="0" applyNumberFormat="1" applyFont="1" applyFill="1" applyBorder="1" applyAlignment="1">
      <alignment horizontal="center" vertical="center"/>
    </xf>
    <xf numFmtId="0" fontId="68" fillId="0" borderId="22" xfId="0" applyFont="1" applyBorder="1" applyAlignment="1">
      <alignment horizontal="justify" vertical="center"/>
    </xf>
    <xf numFmtId="10" fontId="67" fillId="12" borderId="23" xfId="4" applyNumberFormat="1" applyFont="1" applyFill="1" applyBorder="1" applyAlignment="1">
      <alignment horizontal="justify" vertical="center"/>
    </xf>
    <xf numFmtId="0" fontId="67" fillId="0" borderId="23" xfId="0" applyFont="1" applyBorder="1" applyAlignment="1">
      <alignment horizontal="justify" vertical="center"/>
    </xf>
    <xf numFmtId="0" fontId="67" fillId="12" borderId="23" xfId="0" applyFont="1" applyFill="1" applyBorder="1" applyAlignment="1">
      <alignment horizontal="justify" vertical="center"/>
    </xf>
    <xf numFmtId="0" fontId="35" fillId="0" borderId="0" xfId="0" applyFont="1"/>
    <xf numFmtId="2" fontId="0" fillId="0" borderId="0" xfId="0" applyNumberFormat="1" applyAlignment="1">
      <alignment horizontal="right"/>
    </xf>
    <xf numFmtId="0" fontId="69" fillId="3" borderId="0" xfId="3" applyFont="1" applyFill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58" fillId="3" borderId="1" xfId="3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25" fillId="0" borderId="0" xfId="0" applyFont="1"/>
    <xf numFmtId="0" fontId="9" fillId="0" borderId="0" xfId="2" applyAlignment="1" applyProtection="1">
      <alignment horizontal="left" wrapText="1"/>
    </xf>
    <xf numFmtId="0" fontId="51" fillId="0" borderId="0" xfId="2" applyFont="1" applyAlignment="1" applyProtection="1">
      <alignment horizontal="left" wrapText="1"/>
    </xf>
    <xf numFmtId="0" fontId="7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4" fillId="13" borderId="0" xfId="3" applyFont="1" applyFill="1" applyBorder="1" applyAlignment="1">
      <alignment horizontal="center"/>
    </xf>
    <xf numFmtId="164" fontId="15" fillId="13" borderId="0" xfId="3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60" fillId="0" borderId="3" xfId="0" applyFont="1" applyBorder="1" applyAlignment="1">
      <alignment horizontal="center" wrapText="1"/>
    </xf>
    <xf numFmtId="0" fontId="60" fillId="0" borderId="0" xfId="0" applyFont="1" applyBorder="1" applyAlignment="1">
      <alignment horizontal="center" wrapText="1"/>
    </xf>
    <xf numFmtId="0" fontId="60" fillId="0" borderId="20" xfId="0" applyFont="1" applyBorder="1" applyAlignment="1">
      <alignment horizontal="center" wrapText="1"/>
    </xf>
    <xf numFmtId="49" fontId="60" fillId="0" borderId="3" xfId="0" applyNumberFormat="1" applyFont="1" applyBorder="1" applyAlignment="1">
      <alignment horizontal="center" wrapText="1"/>
    </xf>
    <xf numFmtId="49" fontId="60" fillId="0" borderId="0" xfId="0" applyNumberFormat="1" applyFont="1" applyBorder="1" applyAlignment="1">
      <alignment horizontal="center" wrapText="1"/>
    </xf>
    <xf numFmtId="49" fontId="60" fillId="0" borderId="20" xfId="0" applyNumberFormat="1" applyFont="1" applyBorder="1" applyAlignment="1">
      <alignment horizontal="center" wrapText="1"/>
    </xf>
  </cellXfs>
  <cellStyles count="6">
    <cellStyle name="blp_column_header" xfId="1" xr:uid="{00000000-0005-0000-0000-000000000000}"/>
    <cellStyle name="Currency" xfId="5" builtinId="4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102.535213310184" createdVersion="6" refreshedVersion="7" minRefreshableVersion="3" recordCount="154" xr:uid="{D6C018A6-382A-9D45-8D8E-6434E302DC8D}">
  <cacheSource type="worksheet">
    <worksheetSource ref="A1:I155" sheet="Regional breakdown"/>
  </cacheSource>
  <cacheFields count="9">
    <cacheField name="Country" numFmtId="0">
      <sharedItems count="157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os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Uzbekistan"/>
        <s v="Zambia" u="1"/>
        <s v="Vietnam" u="1"/>
        <s v="Venezuela" u="1"/>
      </sharedItems>
    </cacheField>
    <cacheField name="GDP (in billions) in 2020" numFmtId="2">
      <sharedItems containsSemiMixedTypes="0" containsString="0" containsNumber="1" minValue="0.25" maxValue="20936.599999999999"/>
    </cacheField>
    <cacheField name="Moody's rating" numFmtId="0">
      <sharedItems/>
    </cacheField>
    <cacheField name="Sovereign CDS" numFmtId="10">
      <sharedItems containsMixedTypes="1" containsNumber="1" minValue="1.1000000000000001E-3" maxValue="0.23319999999999999"/>
    </cacheField>
    <cacheField name="Adj. Default Spread" numFmtId="10">
      <sharedItems containsSemiMixedTypes="0" containsString="0" containsNumber="1" minValue="0" maxValue="0.17499999999999999"/>
    </cacheField>
    <cacheField name="Equity Risk Premium" numFmtId="10">
      <sharedItems containsSemiMixedTypes="0" containsString="0" containsNumber="1" minValue="4.24E-2" maxValue="0.24579488157642376"/>
    </cacheField>
    <cacheField name="Country Risk Premium" numFmtId="10">
      <sharedItems containsSemiMixedTypes="0" containsString="0" containsNumber="1" minValue="0" maxValue="0.20339488157642377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268"/>
    <s v="Aa2"/>
    <n v="7.7000000000000002E-3"/>
    <n v="4.2218747505715949E-3"/>
    <n v="4.730690122813145E-2"/>
    <n v="4.9069012281314477E-3"/>
    <n v="0.55000000000000004"/>
    <x v="0"/>
  </r>
  <r>
    <x v="1"/>
    <n v="14.8"/>
    <s v="B1"/>
    <s v="NA"/>
    <n v="3.8303918191549574E-2"/>
    <n v="8.6918976597047143E-2"/>
    <n v="4.451897659704715E-2"/>
    <n v="0.15"/>
    <x v="1"/>
  </r>
  <r>
    <x v="2"/>
    <n v="3.16"/>
    <s v="Baa2"/>
    <s v="NA"/>
    <n v="1.6196646770374669E-2"/>
    <n v="6.1224657438831556E-2"/>
    <n v="1.8824657438831559E-2"/>
    <n v="0.1898"/>
    <x v="2"/>
  </r>
  <r>
    <x v="3"/>
    <n v="62.307000000000002"/>
    <s v="B3"/>
    <n v="5.9400000000000001E-2"/>
    <n v="5.5344939912038545E-2"/>
    <n v="0.10672501428150497"/>
    <n v="6.4325014281504972E-2"/>
    <n v="0.25"/>
    <x v="3"/>
  </r>
  <r>
    <x v="4"/>
    <n v="383.06700000000001"/>
    <s v="Ca"/>
    <n v="0.23319999999999999"/>
    <n v="0.10209260760473131"/>
    <n v="0.16105779333481501"/>
    <n v="0.11865779333481502"/>
    <n v="0.25"/>
    <x v="4"/>
  </r>
  <r>
    <x v="5"/>
    <n v="12.645"/>
    <s v="Ba3"/>
    <s v="NA"/>
    <n v="3.0627782281419401E-2"/>
    <n v="7.7997338000444505E-2"/>
    <n v="3.5597338000444512E-2"/>
    <n v="0.18"/>
    <x v="1"/>
  </r>
  <r>
    <x v="6"/>
    <n v="3.202"/>
    <s v="Baa2"/>
    <s v="NA"/>
    <n v="1.6196646770374669E-2"/>
    <n v="6.1224657438831556E-2"/>
    <n v="1.8824657438831559E-2"/>
    <n v="0.25"/>
    <x v="5"/>
  </r>
  <r>
    <x v="7"/>
    <n v="1330.9010000000001"/>
    <s v="Aaa"/>
    <n v="2.3E-3"/>
    <n v="0"/>
    <n v="4.24E-2"/>
    <n v="0"/>
    <n v="0.3"/>
    <x v="6"/>
  </r>
  <r>
    <x v="8"/>
    <n v="428.96499999999997"/>
    <s v="Aa1"/>
    <n v="1.9E-3"/>
    <n v="3.3774998004572764E-3"/>
    <n v="4.6325520982505156E-2"/>
    <n v="3.925520982505158E-3"/>
    <n v="0.25"/>
    <x v="2"/>
  </r>
  <r>
    <x v="9"/>
    <n v="42.606999999999999"/>
    <s v="Ba2"/>
    <s v="NA"/>
    <n v="2.5561532580733477E-2"/>
    <n v="7.2109056526686768E-2"/>
    <n v="2.9709056526686765E-2"/>
    <n v="0.2"/>
    <x v="1"/>
  </r>
  <r>
    <x v="10"/>
    <n v="11.25"/>
    <s v="Ba3"/>
    <s v="NA"/>
    <n v="3.0627782281419401E-2"/>
    <n v="7.7997338000444505E-2"/>
    <n v="3.5597338000444512E-2"/>
    <n v="0"/>
    <x v="5"/>
  </r>
  <r>
    <x v="11"/>
    <n v="38.475000000000001"/>
    <s v="B2"/>
    <n v="3.4000000000000002E-2"/>
    <n v="4.6824429051794063E-2"/>
    <n v="9.6821995439276054E-2"/>
    <n v="5.4421995439276061E-2"/>
    <n v="0"/>
    <x v="0"/>
  </r>
  <r>
    <x v="12"/>
    <n v="324.23899999999998"/>
    <s v="Ba3"/>
    <s v="NA"/>
    <n v="3.0627782281419401E-2"/>
    <n v="7.7997338000444505E-2"/>
    <n v="3.5597338000444512E-2"/>
    <n v="0.32500000000000001"/>
    <x v="7"/>
  </r>
  <r>
    <x v="13"/>
    <n v="4.3659999999999997"/>
    <s v="Caa1"/>
    <s v="NA"/>
    <n v="6.3788689413181762E-2"/>
    <n v="0.11653881673776789"/>
    <n v="7.4138816737767899E-2"/>
    <n v="5.5E-2"/>
    <x v="5"/>
  </r>
  <r>
    <x v="14"/>
    <n v="60.258000000000003"/>
    <s v="B3"/>
    <s v="NA"/>
    <n v="5.5344939912038545E-2"/>
    <n v="0.10672501428150497"/>
    <n v="6.4325014281504972E-2"/>
    <n v="0.18"/>
    <x v="1"/>
  </r>
  <r>
    <x v="15"/>
    <n v="515.33199999999999"/>
    <s v="Aa3"/>
    <n v="2.0999999999999999E-3"/>
    <n v="5.1430110597872171E-3"/>
    <n v="4.8377497859723763E-2"/>
    <n v="5.9774978597237644E-3"/>
    <n v="0.25"/>
    <x v="2"/>
  </r>
  <r>
    <x v="16"/>
    <n v="1.764"/>
    <s v="Caa3"/>
    <s v="NA"/>
    <n v="8.5051585884242345E-2"/>
    <n v="0.14125175565035719"/>
    <n v="9.8851755650357198E-2"/>
    <n v="0.27179999999999999"/>
    <x v="4"/>
  </r>
  <r>
    <x v="17"/>
    <n v="15.651999999999999"/>
    <s v="B1"/>
    <s v="NA"/>
    <n v="3.8303918191549574E-2"/>
    <n v="8.6918976597047143E-2"/>
    <n v="4.451897659704715E-2"/>
    <n v="0.3"/>
    <x v="3"/>
  </r>
  <r>
    <x v="18"/>
    <n v="7.484"/>
    <s v="A2"/>
    <s v="NA"/>
    <n v="7.2155677555223634E-3"/>
    <n v="5.0786340280806475E-2"/>
    <n v="8.3863402808064744E-3"/>
    <n v="0"/>
    <x v="5"/>
  </r>
  <r>
    <x v="19"/>
    <n v="36.689"/>
    <s v="B2"/>
    <s v="NA"/>
    <n v="4.6824429051794063E-2"/>
    <n v="9.6821995439276054E-2"/>
    <n v="5.4421995439276061E-2"/>
    <n v="0.25"/>
    <x v="4"/>
  </r>
  <r>
    <x v="20"/>
    <n v="19.788"/>
    <s v="B3"/>
    <s v="NA"/>
    <n v="5.5344939912038545E-2"/>
    <n v="0.10672501428150497"/>
    <n v="6.4325014281504972E-2"/>
    <n v="0.1"/>
    <x v="1"/>
  </r>
  <r>
    <x v="21"/>
    <n v="15.782"/>
    <s v="A3"/>
    <s v="NA"/>
    <n v="1.0209260760473134E-2"/>
    <n v="5.4265779333481506E-2"/>
    <n v="1.1865779333481504E-2"/>
    <n v="0.22"/>
    <x v="3"/>
  </r>
  <r>
    <x v="22"/>
    <n v="1444.7329999999999"/>
    <s v="Ba2"/>
    <n v="2.9100000000000001E-2"/>
    <n v="2.5561532580733477E-2"/>
    <n v="7.2109056526686768E-2"/>
    <n v="2.9709056526686765E-2"/>
    <n v="0.34"/>
    <x v="4"/>
  </r>
  <r>
    <x v="23"/>
    <n v="69.105000000000004"/>
    <s v="Baa1"/>
    <n v="8.0999999999999996E-3"/>
    <n v="1.358676056093041E-2"/>
    <n v="5.8191300315986662E-2"/>
    <n v="1.5791300315986662E-2"/>
    <n v="0.1"/>
    <x v="1"/>
  </r>
  <r>
    <x v="24"/>
    <n v="17.369"/>
    <s v="B2"/>
    <s v="NA"/>
    <n v="4.6824429051794063E-2"/>
    <n v="9.6821995439276054E-2"/>
    <n v="5.4421995439276061E-2"/>
    <n v="0.28000000000000003"/>
    <x v="3"/>
  </r>
  <r>
    <x v="25"/>
    <n v="25.291"/>
    <s v="B2"/>
    <s v="NA"/>
    <n v="4.6824429051794063E-2"/>
    <n v="9.6821995439276054E-2"/>
    <n v="5.4421995439276061E-2"/>
    <n v="0.2"/>
    <x v="7"/>
  </r>
  <r>
    <x v="26"/>
    <n v="39.802"/>
    <s v="B2"/>
    <n v="3.56E-2"/>
    <n v="4.6824429051794063E-2"/>
    <n v="9.6821995439276054E-2"/>
    <n v="5.4421995439276061E-2"/>
    <n v="0.33"/>
    <x v="3"/>
  </r>
  <r>
    <x v="27"/>
    <n v="1643.4079999999999"/>
    <s v="Aaa"/>
    <n v="2.8E-3"/>
    <n v="0"/>
    <n v="4.24E-2"/>
    <n v="0"/>
    <n v="0.26500000000000001"/>
    <x v="8"/>
  </r>
  <r>
    <x v="28"/>
    <n v="1.7"/>
    <s v="B3"/>
    <s v="NA"/>
    <n v="5.5344939912038545E-2"/>
    <n v="0.10672501428150497"/>
    <n v="6.4325014281504972E-2"/>
    <n v="0"/>
    <x v="3"/>
  </r>
  <r>
    <x v="29"/>
    <n v="5.9359999999999999"/>
    <s v="Aa3"/>
    <s v="NA"/>
    <n v="5.1430110597872171E-3"/>
    <n v="4.8377497859723763E-2"/>
    <n v="5.9774978597237644E-3"/>
    <n v="0"/>
    <x v="5"/>
  </r>
  <r>
    <x v="30"/>
    <n v="252.94"/>
    <s v="A1"/>
    <n v="1.2500000000000001E-2"/>
    <n v="5.987386009901537E-3"/>
    <n v="4.9358878105350057E-2"/>
    <n v="6.958878105350055E-3"/>
    <n v="0.27"/>
    <x v="4"/>
  </r>
  <r>
    <x v="31"/>
    <n v="14722.731"/>
    <s v="A1"/>
    <n v="7.4000000000000003E-3"/>
    <n v="5.987386009901537E-3"/>
    <n v="4.9358878105350057E-2"/>
    <n v="6.958878105350055E-3"/>
    <n v="0.25"/>
    <x v="7"/>
  </r>
  <r>
    <x v="32"/>
    <n v="271.34699999999998"/>
    <s v="Baa2"/>
    <n v="2.7699999999999999E-2"/>
    <n v="1.6196646770374669E-2"/>
    <n v="6.1224657438831556E-2"/>
    <n v="1.8824657438831559E-2"/>
    <n v="0.31"/>
    <x v="4"/>
  </r>
  <r>
    <x v="33"/>
    <n v="49.87"/>
    <s v="Caa1"/>
    <s v="NA"/>
    <n v="6.3788689413181762E-2"/>
    <n v="0.11653881673776789"/>
    <n v="7.4138816737767899E-2"/>
    <n v="0.3"/>
    <x v="3"/>
  </r>
  <r>
    <x v="34"/>
    <n v="10.89"/>
    <s v="Caa2"/>
    <s v="NA"/>
    <n v="7.6607836383099148E-2"/>
    <n v="0.13143795319409429"/>
    <n v="8.9037953194094299E-2"/>
    <n v="0.28000000000000003"/>
    <x v="3"/>
  </r>
  <r>
    <x v="35"/>
    <n v="0.38400000000000001"/>
    <s v="B1"/>
    <s v="NA"/>
    <n v="3.8303918191549574E-2"/>
    <n v="8.6918976597047143E-2"/>
    <n v="4.451897659704715E-2"/>
    <n v="0.2843"/>
    <x v="6"/>
  </r>
  <r>
    <x v="36"/>
    <n v="61.521000000000001"/>
    <s v="B2"/>
    <n v="3.9199999999999999E-2"/>
    <n v="4.6824429051794063E-2"/>
    <n v="9.6821995439276054E-2"/>
    <n v="5.4421995439276061E-2"/>
    <n v="0.3"/>
    <x v="4"/>
  </r>
  <r>
    <x v="37"/>
    <n v="61.348999999999997"/>
    <s v="Ba3"/>
    <s v="NA"/>
    <n v="3.0627782281419401E-2"/>
    <n v="7.7997338000444505E-2"/>
    <n v="3.5597338000444512E-2"/>
    <n v="0.2281"/>
    <x v="3"/>
  </r>
  <r>
    <x v="38"/>
    <n v="55.966999999999999"/>
    <s v="Ba1"/>
    <n v="1.11E-2"/>
    <n v="2.1262896471060586E-2"/>
    <n v="6.7112938912589293E-2"/>
    <n v="2.47129389125893E-2"/>
    <n v="0.18"/>
    <x v="1"/>
  </r>
  <r>
    <x v="39"/>
    <n v="103.131"/>
    <s v="Ca"/>
    <s v="NA"/>
    <n v="0.10209260760473131"/>
    <n v="0.16105779333481501"/>
    <n v="0.11865779333481502"/>
    <n v="0.27179999999999999"/>
    <x v="5"/>
  </r>
  <r>
    <x v="40"/>
    <n v="3.1"/>
    <s v="Baa2"/>
    <s v="NA"/>
    <n v="1.6196646770374669E-2"/>
    <n v="6.1224657438831556E-2"/>
    <n v="1.8824657438831559E-2"/>
    <n v="0.22"/>
    <x v="5"/>
  </r>
  <r>
    <x v="41"/>
    <n v="23.803999999999998"/>
    <s v="Ba1"/>
    <n v="7.4000000000000003E-3"/>
    <n v="2.1262896471060586E-2"/>
    <n v="6.7112938912589293E-2"/>
    <n v="2.47129389125893E-2"/>
    <n v="0.125"/>
    <x v="2"/>
  </r>
  <r>
    <x v="42"/>
    <n v="243.53"/>
    <s v="Aa3"/>
    <n v="4.7000000000000002E-3"/>
    <n v="5.1430110597872171E-3"/>
    <n v="4.8377497859723763E-2"/>
    <n v="5.9774978597237644E-3"/>
    <n v="0.19"/>
    <x v="1"/>
  </r>
  <r>
    <x v="43"/>
    <n v="355.18400000000003"/>
    <s v="Aaa"/>
    <n v="1.5E-3"/>
    <n v="0"/>
    <n v="4.24E-2"/>
    <n v="0"/>
    <n v="0.22"/>
    <x v="2"/>
  </r>
  <r>
    <x v="44"/>
    <n v="78.844999999999999"/>
    <s v="Ba3"/>
    <s v="NA"/>
    <n v="3.0627782281419401E-2"/>
    <n v="7.7997338000444505E-2"/>
    <n v="3.5597338000444512E-2"/>
    <n v="0.27"/>
    <x v="5"/>
  </r>
  <r>
    <x v="45"/>
    <n v="98.808000000000007"/>
    <s v="Caa3"/>
    <n v="7.5700000000000003E-2"/>
    <n v="8.5051585884242345E-2"/>
    <n v="0.14125175565035719"/>
    <n v="9.8851755650357198E-2"/>
    <n v="0.25"/>
    <x v="4"/>
  </r>
  <r>
    <x v="46"/>
    <n v="363.09"/>
    <s v="B2"/>
    <n v="5.74E-2"/>
    <n v="4.6824429051794063E-2"/>
    <n v="9.6821995439276054E-2"/>
    <n v="5.4421995439276061E-2"/>
    <n v="0.22500000000000001"/>
    <x v="3"/>
  </r>
  <r>
    <x v="47"/>
    <n v="24.638999999999999"/>
    <s v="Caa1"/>
    <n v="0.18329999999999999"/>
    <n v="6.3788689413181762E-2"/>
    <n v="0.11653881673776789"/>
    <n v="7.4138816737767899E-2"/>
    <n v="0.3"/>
    <x v="4"/>
  </r>
  <r>
    <x v="48"/>
    <n v="31.03"/>
    <s v="A1"/>
    <n v="8.5000000000000006E-3"/>
    <n v="5.987386009901537E-3"/>
    <n v="4.9358878105350057E-2"/>
    <n v="6.958878105350055E-3"/>
    <n v="0.2"/>
    <x v="1"/>
  </r>
  <r>
    <x v="49"/>
    <n v="107.645"/>
    <s v="Caa2"/>
    <n v="0.20399999999999999"/>
    <n v="7.6607836383099148E-2"/>
    <n v="0.13143795319409429"/>
    <n v="8.9037953194094299E-2"/>
    <n v="0.3"/>
    <x v="3"/>
  </r>
  <r>
    <x v="50"/>
    <n v="4.3760000000000003"/>
    <s v="B1"/>
    <s v="NA"/>
    <n v="3.8303918191549574E-2"/>
    <n v="8.6918976597047143E-2"/>
    <n v="4.451897659704715E-2"/>
    <n v="0.2"/>
    <x v="7"/>
  </r>
  <r>
    <x v="51"/>
    <n v="271.23399999999998"/>
    <s v="Aa1"/>
    <n v="2E-3"/>
    <n v="3.3774998004572764E-3"/>
    <n v="4.6325520982505156E-2"/>
    <n v="3.925520982505158E-3"/>
    <n v="0.2"/>
    <x v="2"/>
  </r>
  <r>
    <x v="52"/>
    <n v="2603.0039999999999"/>
    <s v="Aa2"/>
    <n v="3.3999999999999998E-3"/>
    <n v="4.2218747505715949E-3"/>
    <n v="4.730690122813145E-2"/>
    <n v="4.9069012281314477E-3"/>
    <n v="0.26500000000000001"/>
    <x v="2"/>
  </r>
  <r>
    <x v="53"/>
    <n v="15.593"/>
    <s v="Caa1"/>
    <s v="NA"/>
    <n v="6.3788689413181762E-2"/>
    <n v="0.11653881673776789"/>
    <n v="7.4138816737767899E-2"/>
    <n v="0.3"/>
    <x v="3"/>
  </r>
  <r>
    <x v="54"/>
    <n v="15.891999999999999"/>
    <s v="Ba2"/>
    <s v="NA"/>
    <n v="2.5561532580733477E-2"/>
    <n v="7.2109056526686768E-2"/>
    <n v="2.9709056526686765E-2"/>
    <n v="0.15"/>
    <x v="1"/>
  </r>
  <r>
    <x v="55"/>
    <n v="3806.06"/>
    <s v="Aaa"/>
    <n v="1.8E-3"/>
    <n v="0"/>
    <n v="4.24E-2"/>
    <n v="0"/>
    <n v="0.3"/>
    <x v="2"/>
  </r>
  <r>
    <x v="56"/>
    <n v="72.353999999999999"/>
    <s v="B3"/>
    <s v="NA"/>
    <n v="5.5344939912038545E-2"/>
    <n v="0.10672501428150497"/>
    <n v="6.4325014281504972E-2"/>
    <n v="0.25"/>
    <x v="3"/>
  </r>
  <r>
    <x v="57"/>
    <n v="189.41"/>
    <s v="Ba3"/>
    <n v="1.6899999999999998E-2"/>
    <n v="3.0627782281419401E-2"/>
    <n v="7.7997338000444505E-2"/>
    <n v="3.5597338000444512E-2"/>
    <n v="0.24"/>
    <x v="2"/>
  </r>
  <r>
    <x v="58"/>
    <n v="77.605000000000004"/>
    <s v="Ba1"/>
    <s v="NA"/>
    <n v="2.1262896471060586E-2"/>
    <n v="6.7112938912589293E-2"/>
    <n v="2.47129389125893E-2"/>
    <n v="0.25"/>
    <x v="4"/>
  </r>
  <r>
    <x v="59"/>
    <n v="3.18"/>
    <s v="Aa3"/>
    <s v="NA"/>
    <n v="5.1430110597872171E-3"/>
    <n v="4.8377497859723763E-2"/>
    <n v="5.9774978597237644E-3"/>
    <n v="0"/>
    <x v="2"/>
  </r>
  <r>
    <x v="60"/>
    <n v="23.827999999999999"/>
    <s v="B1"/>
    <s v="NA"/>
    <n v="3.8303918191549574E-2"/>
    <n v="8.6918976597047143E-2"/>
    <n v="4.451897659704715E-2"/>
    <n v="0.25"/>
    <x v="4"/>
  </r>
  <r>
    <x v="61"/>
    <n v="346.6"/>
    <s v="Aa3"/>
    <n v="4.1000000000000003E-3"/>
    <n v="5.1430110597872171E-3"/>
    <n v="4.8377497859723763E-2"/>
    <n v="5.9774978597237644E-3"/>
    <n v="0.16500000000000001"/>
    <x v="7"/>
  </r>
  <r>
    <x v="62"/>
    <n v="155.01300000000001"/>
    <s v="Baa2"/>
    <n v="6.8999999999999999E-3"/>
    <n v="1.6196646770374669E-2"/>
    <n v="6.1224657438831556E-2"/>
    <n v="1.8824657438831559E-2"/>
    <n v="0.09"/>
    <x v="1"/>
  </r>
  <r>
    <x v="63"/>
    <n v="21.715"/>
    <s v="A2"/>
    <n v="7.3000000000000001E-3"/>
    <n v="7.2155677555223634E-3"/>
    <n v="5.0786340280806475E-2"/>
    <n v="8.3863402808064744E-3"/>
    <n v="0.2"/>
    <x v="2"/>
  </r>
  <r>
    <x v="64"/>
    <n v="2622.9839999999999"/>
    <s v="Baa3"/>
    <n v="1.44E-2"/>
    <n v="1.8729771620717626E-2"/>
    <n v="6.4168798175710431E-2"/>
    <n v="2.1768798175710428E-2"/>
    <n v="0.3"/>
    <x v="7"/>
  </r>
  <r>
    <x v="65"/>
    <n v="1058.424"/>
    <s v="Baa2"/>
    <n v="1.3599999999999999E-2"/>
    <n v="1.6196646770374669E-2"/>
    <n v="6.1224657438831556E-2"/>
    <n v="1.8824657438831559E-2"/>
    <n v="0.35"/>
    <x v="7"/>
  </r>
  <r>
    <x v="66"/>
    <n v="167.22399999999999"/>
    <s v="Caa1"/>
    <n v="5.6300000000000003E-2"/>
    <n v="6.3788689413181762E-2"/>
    <n v="0.11653881673776789"/>
    <n v="7.4138816737767899E-2"/>
    <n v="0.35"/>
    <x v="0"/>
  </r>
  <r>
    <x v="67"/>
    <n v="418.62200000000001"/>
    <s v="A2"/>
    <n v="2.7000000000000001E-3"/>
    <n v="7.2155677555223634E-3"/>
    <n v="5.0786340280806475E-2"/>
    <n v="8.3863402808064744E-3"/>
    <n v="0.125"/>
    <x v="2"/>
  </r>
  <r>
    <x v="68"/>
    <n v="7.492"/>
    <s v="Aa3"/>
    <s v="NA"/>
    <n v="5.1430110597872171E-3"/>
    <n v="4.8377497859723763E-2"/>
    <n v="5.9774978597237644E-3"/>
    <n v="0"/>
    <x v="2"/>
  </r>
  <r>
    <x v="69"/>
    <n v="401.95400000000001"/>
    <s v="A1"/>
    <n v="7.1999999999999998E-3"/>
    <n v="5.987386009901537E-3"/>
    <n v="4.9358878105350057E-2"/>
    <n v="6.958878105350055E-3"/>
    <n v="0.23"/>
    <x v="0"/>
  </r>
  <r>
    <x v="70"/>
    <n v="1886.4449999999999"/>
    <s v="Baa3"/>
    <n v="1.41E-2"/>
    <n v="1.8729771620717626E-2"/>
    <n v="6.4168798175710431E-2"/>
    <n v="2.1768798175710428E-2"/>
    <n v="0.24"/>
    <x v="2"/>
  </r>
  <r>
    <x v="71"/>
    <n v="13.811999999999999"/>
    <s v="B2"/>
    <s v="NA"/>
    <n v="4.6824429051794063E-2"/>
    <n v="9.6821995439276054E-2"/>
    <n v="5.4421995439276061E-2"/>
    <n v="0.25"/>
    <x v="5"/>
  </r>
  <r>
    <x v="72"/>
    <n v="5064.8729999999996"/>
    <s v="A1"/>
    <n v="3.3E-3"/>
    <n v="5.987386009901537E-3"/>
    <n v="4.9358878105350057E-2"/>
    <n v="6.958878105350055E-3"/>
    <n v="0.30620000000000003"/>
    <x v="7"/>
  </r>
  <r>
    <x v="73"/>
    <n v="4.8899999999999997"/>
    <s v="Aaa"/>
    <s v="NA"/>
    <n v="0"/>
    <n v="4.24E-2"/>
    <n v="0"/>
    <n v="0"/>
    <x v="2"/>
  </r>
  <r>
    <x v="74"/>
    <n v="43.698"/>
    <s v="B1"/>
    <s v="NA"/>
    <n v="3.8303918191549574E-2"/>
    <n v="8.6918976597047143E-2"/>
    <n v="4.451897659704715E-2"/>
    <n v="0.2"/>
    <x v="0"/>
  </r>
  <r>
    <x v="75"/>
    <n v="169.83500000000001"/>
    <s v="Baa2"/>
    <n v="9.9000000000000008E-3"/>
    <n v="1.6196646770374669E-2"/>
    <n v="6.1224657438831556E-2"/>
    <n v="1.8824657438831559E-2"/>
    <n v="0.2"/>
    <x v="1"/>
  </r>
  <r>
    <x v="76"/>
    <n v="98.843000000000004"/>
    <s v="B2"/>
    <n v="4.4400000000000002E-2"/>
    <n v="4.6824429051794063E-2"/>
    <n v="9.6821995439276054E-2"/>
    <n v="5.4421995439276061E-2"/>
    <n v="0.3"/>
    <x v="3"/>
  </r>
  <r>
    <x v="77"/>
    <n v="1630.53"/>
    <s v="Aa2"/>
    <n v="3.5000000000000001E-3"/>
    <n v="4.2218747505715949E-3"/>
    <n v="4.730690122813145E-2"/>
    <n v="4.9069012281314477E-3"/>
    <n v="0.25"/>
    <x v="7"/>
  </r>
  <r>
    <x v="78"/>
    <n v="136.197"/>
    <s v="A1"/>
    <n v="8.6E-3"/>
    <n v="5.987386009901537E-3"/>
    <n v="4.9358878105350057E-2"/>
    <n v="6.958878105350055E-3"/>
    <n v="0.15"/>
    <x v="0"/>
  </r>
  <r>
    <x v="79"/>
    <n v="7.74"/>
    <s v="B2"/>
    <s v="NA"/>
    <n v="4.6824429051794063E-2"/>
    <n v="9.6821995439276054E-2"/>
    <n v="5.4421995439276061E-2"/>
    <n v="0.1"/>
    <x v="1"/>
  </r>
  <r>
    <x v="80"/>
    <n v="19.14"/>
    <s v="Caa2"/>
    <s v="NA"/>
    <n v="7.6607836383099148E-2"/>
    <n v="0.13143795319409429"/>
    <n v="8.9037953194094299E-2"/>
    <n v="0.2281"/>
    <x v="7"/>
  </r>
  <r>
    <x v="81"/>
    <n v="33.505000000000003"/>
    <s v="A3"/>
    <n v="7.4000000000000003E-3"/>
    <n v="1.0209260760473134E-2"/>
    <n v="5.4265779333481506E-2"/>
    <n v="1.1865779333481504E-2"/>
    <n v="0.2"/>
    <x v="1"/>
  </r>
  <r>
    <x v="82"/>
    <n v="33.383000000000003"/>
    <s v="C"/>
    <s v="NA"/>
    <n v="0.17499999999999999"/>
    <n v="0.24579488157642376"/>
    <n v="0.20339488157642377"/>
    <n v="0.17"/>
    <x v="0"/>
  </r>
  <r>
    <x v="83"/>
    <n v="6.8390000000000004"/>
    <s v="Aaa"/>
    <s v="NA"/>
    <n v="0"/>
    <n v="4.24E-2"/>
    <n v="0"/>
    <n v="0.125"/>
    <x v="2"/>
  </r>
  <r>
    <x v="84"/>
    <n v="55.887"/>
    <s v="A2"/>
    <n v="7.9000000000000008E-3"/>
    <n v="7.2155677555223634E-3"/>
    <n v="5.0786340280806475E-2"/>
    <n v="8.3863402808064744E-3"/>
    <n v="0.15"/>
    <x v="1"/>
  </r>
  <r>
    <x v="85"/>
    <n v="73.263999999999996"/>
    <s v="Aaa"/>
    <s v="NA"/>
    <n v="0"/>
    <n v="4.24E-2"/>
    <n v="0"/>
    <n v="0.24940000000000001"/>
    <x v="2"/>
  </r>
  <r>
    <x v="86"/>
    <n v="55.15"/>
    <s v="Aa3"/>
    <s v="NA"/>
    <n v="5.1430110597872171E-3"/>
    <n v="4.8377497859723763E-2"/>
    <n v="5.9774978597237644E-3"/>
    <n v="0.2281"/>
    <x v="7"/>
  </r>
  <r>
    <x v="87"/>
    <n v="12.27"/>
    <s v="Ba3"/>
    <s v="NA"/>
    <n v="3.0627782281419401E-2"/>
    <n v="7.7997338000444505E-2"/>
    <n v="3.5597338000444512E-2"/>
    <n v="0.1"/>
    <x v="1"/>
  </r>
  <r>
    <x v="88"/>
    <n v="336.66399999999999"/>
    <s v="A3"/>
    <n v="8.0999999999999996E-3"/>
    <n v="1.0209260760473134E-2"/>
    <n v="5.4265779333481506E-2"/>
    <n v="1.1865779333481504E-2"/>
    <n v="0.24"/>
    <x v="7"/>
  </r>
  <r>
    <x v="89"/>
    <n v="4.03"/>
    <s v="Caa1"/>
    <s v="NA"/>
    <n v="6.3788689413181762E-2"/>
    <n v="0.11653881673776789"/>
    <n v="7.4138816737767899E-2"/>
    <n v="0.2281"/>
    <x v="7"/>
  </r>
  <r>
    <x v="90"/>
    <n v="17.393999999999998"/>
    <s v="Caa1"/>
    <s v="NA"/>
    <n v="6.3788689413181762E-2"/>
    <n v="0.11653881673776789"/>
    <n v="7.4138816737767899E-2"/>
    <n v="0.2281"/>
    <x v="3"/>
  </r>
  <r>
    <x v="91"/>
    <n v="14.647"/>
    <s v="A2"/>
    <s v="NA"/>
    <n v="7.2155677555223634E-3"/>
    <n v="5.0786340280806475E-2"/>
    <n v="8.3863402808064744E-3"/>
    <n v="0.35"/>
    <x v="2"/>
  </r>
  <r>
    <x v="92"/>
    <n v="10.914"/>
    <s v="Baa2"/>
    <s v="NA"/>
    <n v="1.6196646770374669E-2"/>
    <n v="6.1224657438831556E-2"/>
    <n v="1.8824657438831559E-2"/>
    <n v="0.15"/>
    <x v="3"/>
  </r>
  <r>
    <x v="93"/>
    <n v="1076.163"/>
    <s v="Baa1"/>
    <n v="1.5800000000000002E-2"/>
    <n v="1.358676056093041E-2"/>
    <n v="5.8191300315986662E-2"/>
    <n v="1.5791300315986662E-2"/>
    <n v="0.3"/>
    <x v="4"/>
  </r>
  <r>
    <x v="94"/>
    <n v="11.914"/>
    <s v="B3"/>
    <s v="NA"/>
    <n v="5.5344939912038545E-2"/>
    <n v="0.10672501428150497"/>
    <n v="6.4325014281504972E-2"/>
    <n v="0.12"/>
    <x v="1"/>
  </r>
  <r>
    <x v="95"/>
    <n v="13.137"/>
    <s v="B3"/>
    <s v="NA"/>
    <n v="5.5344939912038545E-2"/>
    <n v="0.10672501428150497"/>
    <n v="6.4325014281504972E-2"/>
    <n v="0.25"/>
    <x v="7"/>
  </r>
  <r>
    <x v="96"/>
    <n v="4.7789999999999999"/>
    <s v="B1"/>
    <s v="NA"/>
    <n v="3.8303918191549574E-2"/>
    <n v="8.6918976597047143E-2"/>
    <n v="4.451897659704715E-2"/>
    <n v="0.09"/>
    <x v="1"/>
  </r>
  <r>
    <x v="97"/>
    <n v="0.25"/>
    <s v="Baa3"/>
    <s v="NA"/>
    <n v="1.8729771620717626E-2"/>
    <n v="6.4168798175710431E-2"/>
    <n v="2.1768798175710428E-2"/>
    <n v="0.27179999999999999"/>
    <x v="5"/>
  </r>
  <r>
    <x v="98"/>
    <n v="112.871"/>
    <s v="Ba1"/>
    <n v="1.32E-2"/>
    <n v="2.1262896471060586E-2"/>
    <n v="6.7112938912589293E-2"/>
    <n v="2.47129389125893E-2"/>
    <n v="0.31"/>
    <x v="3"/>
  </r>
  <r>
    <x v="99"/>
    <n v="14.021000000000001"/>
    <s v="Caa2"/>
    <s v="NA"/>
    <n v="7.6607836383099148E-2"/>
    <n v="0.13143795319409429"/>
    <n v="8.9037953194094299E-2"/>
    <n v="0.32"/>
    <x v="3"/>
  </r>
  <r>
    <x v="100"/>
    <n v="10.7"/>
    <s v="Ba3"/>
    <s v="NA"/>
    <n v="3.0627782281419401E-2"/>
    <n v="7.7997338000444505E-2"/>
    <n v="3.5597338000444512E-2"/>
    <n v="0.32"/>
    <x v="3"/>
  </r>
  <r>
    <x v="101"/>
    <n v="912.24199999999996"/>
    <s v="Aaa"/>
    <n v="1.9E-3"/>
    <n v="0"/>
    <n v="4.24E-2"/>
    <n v="0"/>
    <n v="0.25"/>
    <x v="2"/>
  </r>
  <r>
    <x v="102"/>
    <n v="212.482"/>
    <s v="Aaa"/>
    <n v="2.0999999999999999E-3"/>
    <n v="0"/>
    <n v="4.24E-2"/>
    <n v="0"/>
    <n v="0.28000000000000003"/>
    <x v="6"/>
  </r>
  <r>
    <x v="103"/>
    <n v="12.621"/>
    <s v="B3"/>
    <n v="4.36E-2"/>
    <n v="5.5344939912038545E-2"/>
    <n v="0.10672501428150497"/>
    <n v="6.4325014281504972E-2"/>
    <n v="0.3"/>
    <x v="4"/>
  </r>
  <r>
    <x v="104"/>
    <n v="13.678000000000001"/>
    <s v="B3"/>
    <s v="NA"/>
    <n v="5.5344939912038545E-2"/>
    <n v="0.10672501428150497"/>
    <n v="6.4325014281504972E-2"/>
    <n v="0.2281"/>
    <x v="3"/>
  </r>
  <r>
    <x v="105"/>
    <n v="432.29399999999998"/>
    <s v="B2"/>
    <n v="5.5300000000000002E-2"/>
    <n v="4.6824429051794063E-2"/>
    <n v="9.6821995439276054E-2"/>
    <n v="5.4421995439276061E-2"/>
    <n v="0.3"/>
    <x v="3"/>
  </r>
  <r>
    <x v="106"/>
    <n v="362.00900000000001"/>
    <s v="Aaa"/>
    <n v="1.9E-3"/>
    <n v="0"/>
    <n v="4.24E-2"/>
    <n v="0"/>
    <n v="0.22"/>
    <x v="2"/>
  </r>
  <r>
    <x v="107"/>
    <n v="76.331999999999994"/>
    <s v="Ba3"/>
    <n v="3.1899999999999998E-2"/>
    <n v="3.0627782281419401E-2"/>
    <n v="7.7997338000444505E-2"/>
    <n v="3.5597338000444512E-2"/>
    <n v="0.15"/>
    <x v="0"/>
  </r>
  <r>
    <x v="108"/>
    <n v="263.68700000000001"/>
    <s v="B3"/>
    <n v="3.6700000000000003E-2"/>
    <n v="5.5344939912038545E-2"/>
    <n v="0.10672501428150497"/>
    <n v="6.4325014281504972E-2"/>
    <n v="0.28999999999999998"/>
    <x v="7"/>
  </r>
  <r>
    <x v="109"/>
    <n v="52.938000000000002"/>
    <s v="Baa2"/>
    <n v="1.26E-2"/>
    <n v="1.6196646770374669E-2"/>
    <n v="6.1224657438831556E-2"/>
    <n v="1.8824657438831559E-2"/>
    <n v="0.25"/>
    <x v="4"/>
  </r>
  <r>
    <x v="110"/>
    <n v="23.591999999999999"/>
    <s v="B2"/>
    <s v="NA"/>
    <n v="4.6824429051794063E-2"/>
    <n v="9.6821995439276054E-2"/>
    <n v="5.4421995439276061E-2"/>
    <n v="0.3"/>
    <x v="7"/>
  </r>
  <r>
    <x v="111"/>
    <n v="35.304000000000002"/>
    <s v="Ba1"/>
    <s v="NA"/>
    <n v="2.1262896471060586E-2"/>
    <n v="6.7112938912589293E-2"/>
    <n v="2.47129389125893E-2"/>
    <n v="0.1"/>
    <x v="4"/>
  </r>
  <r>
    <x v="112"/>
    <n v="202.01400000000001"/>
    <s v="Baa1"/>
    <n v="1.3100000000000001E-2"/>
    <n v="1.358676056093041E-2"/>
    <n v="5.8191300315986662E-2"/>
    <n v="1.5791300315986662E-2"/>
    <n v="0.29499999999999998"/>
    <x v="4"/>
  </r>
  <r>
    <x v="113"/>
    <n v="361.48899999999998"/>
    <s v="Baa2"/>
    <n v="9.1999999999999998E-3"/>
    <n v="1.6196646770374669E-2"/>
    <n v="6.1224657438831556E-2"/>
    <n v="1.8824657438831559E-2"/>
    <n v="0.3"/>
    <x v="7"/>
  </r>
  <r>
    <x v="114"/>
    <n v="594.16499999999996"/>
    <s v="A2"/>
    <n v="6.7999999999999996E-3"/>
    <n v="7.2155677555223634E-3"/>
    <n v="5.0786340280806475E-2"/>
    <n v="8.3863402808064744E-3"/>
    <n v="0.19"/>
    <x v="1"/>
  </r>
  <r>
    <x v="115"/>
    <n v="231.256"/>
    <s v="Baa2"/>
    <n v="5.5999999999999999E-3"/>
    <n v="1.6196646770374669E-2"/>
    <n v="6.1224657438831556E-2"/>
    <n v="1.8824657438831559E-2"/>
    <n v="0.21"/>
    <x v="2"/>
  </r>
  <r>
    <x v="116"/>
    <n v="146.374"/>
    <s v="Aa3"/>
    <n v="7.4000000000000003E-3"/>
    <n v="5.1430110597872171E-3"/>
    <n v="4.8377497859723763E-2"/>
    <n v="5.9774978597237644E-3"/>
    <n v="0.1"/>
    <x v="0"/>
  </r>
  <r>
    <x v="117"/>
    <n v="3.52"/>
    <s v="A3"/>
    <s v="NA"/>
    <n v="1.0209260760473134E-2"/>
    <n v="5.4265779333481506E-2"/>
    <n v="1.1865779333481504E-2"/>
    <n v="0"/>
    <x v="0"/>
  </r>
  <r>
    <x v="118"/>
    <n v="248.71600000000001"/>
    <s v="Baa3"/>
    <n v="1.24E-2"/>
    <n v="1.8729771620717626E-2"/>
    <n v="6.4168798175710431E-2"/>
    <n v="2.1768798175710428E-2"/>
    <n v="0.16"/>
    <x v="1"/>
  </r>
  <r>
    <x v="119"/>
    <n v="1483.5"/>
    <s v="Baa3"/>
    <n v="1.7000000000000001E-2"/>
    <n v="1.8729771620717626E-2"/>
    <n v="6.4168798175710431E-2"/>
    <n v="2.1768798175710428E-2"/>
    <n v="0.2"/>
    <x v="1"/>
  </r>
  <r>
    <x v="120"/>
    <n v="10.334"/>
    <s v="B2"/>
    <n v="3.3599999999999998E-2"/>
    <n v="4.6824429051794063E-2"/>
    <n v="9.6821995439276054E-2"/>
    <n v="5.4421995439276061E-2"/>
    <n v="0.3"/>
    <x v="3"/>
  </r>
  <r>
    <x v="121"/>
    <n v="700.11800000000005"/>
    <s v="A1"/>
    <n v="8.8000000000000005E-3"/>
    <n v="5.987386009901537E-3"/>
    <n v="4.9358878105350057E-2"/>
    <n v="6.958878105350055E-3"/>
    <n v="0.2"/>
    <x v="0"/>
  </r>
  <r>
    <x v="122"/>
    <n v="24.911000000000001"/>
    <s v="Ba3"/>
    <n v="2.6599999999999999E-2"/>
    <n v="3.0627782281419401E-2"/>
    <n v="7.7997338000444505E-2"/>
    <n v="3.5597338000444512E-2"/>
    <n v="0.3"/>
    <x v="3"/>
  </r>
  <r>
    <x v="123"/>
    <n v="52.96"/>
    <s v="Ba2"/>
    <n v="1.37E-2"/>
    <n v="2.5561532580733477E-2"/>
    <n v="7.2109056526686768E-2"/>
    <n v="2.9709056526686765E-2"/>
    <n v="0.15"/>
    <x v="1"/>
  </r>
  <r>
    <x v="124"/>
    <n v="24.8"/>
    <s v="Baa3"/>
    <s v="NA"/>
    <n v="1.8729771620717626E-2"/>
    <n v="6.4168798175710431E-2"/>
    <n v="2.1768798175710428E-2"/>
    <n v="0"/>
    <x v="0"/>
  </r>
  <r>
    <x v="125"/>
    <n v="339.99799999999999"/>
    <s v="Aaa"/>
    <s v="NA"/>
    <n v="0"/>
    <n v="4.24E-2"/>
    <n v="0"/>
    <n v="0.17"/>
    <x v="7"/>
  </r>
  <r>
    <x v="126"/>
    <n v="104.57"/>
    <s v="A2"/>
    <n v="6.3E-3"/>
    <n v="7.2155677555223634E-3"/>
    <n v="5.0786340280806475E-2"/>
    <n v="8.3863402808064744E-3"/>
    <n v="0.21"/>
    <x v="1"/>
  </r>
  <r>
    <x v="127"/>
    <n v="52.88"/>
    <s v="A3"/>
    <n v="8.6999999999999994E-3"/>
    <n v="1.0209260760473134E-2"/>
    <n v="5.4265779333481506E-2"/>
    <n v="1.1865779333481504E-2"/>
    <n v="0.19"/>
    <x v="1"/>
  </r>
  <r>
    <x v="128"/>
    <n v="1.5509999999999999"/>
    <s v="Caa1"/>
    <s v="NA"/>
    <n v="6.3788689413181762E-2"/>
    <n v="0.11653881673776789"/>
    <n v="7.4138816737767899E-2"/>
    <n v="0.3"/>
    <x v="7"/>
  </r>
  <r>
    <x v="129"/>
    <n v="301.92399999999998"/>
    <s v="Ba2"/>
    <n v="2.8500000000000001E-2"/>
    <n v="2.5561532580733477E-2"/>
    <n v="7.2109056526686768E-2"/>
    <n v="2.9709056526686765E-2"/>
    <n v="0.28000000000000003"/>
    <x v="3"/>
  </r>
  <r>
    <x v="130"/>
    <n v="1281.1990000000001"/>
    <s v="Baa1"/>
    <n v="6.0000000000000001E-3"/>
    <n v="1.358676056093041E-2"/>
    <n v="5.8191300315986662E-2"/>
    <n v="1.5791300315986662E-2"/>
    <n v="0.25"/>
    <x v="2"/>
  </r>
  <r>
    <x v="131"/>
    <n v="80.706999999999994"/>
    <s v="Caa2"/>
    <n v="0.19689999999999999"/>
    <n v="7.6607836383099148E-2"/>
    <n v="0.13143795319409429"/>
    <n v="8.9037953194094299E-2"/>
    <n v="0.24"/>
    <x v="7"/>
  </r>
  <r>
    <x v="132"/>
    <n v="1.19"/>
    <s v="Ba2"/>
    <s v="NA"/>
    <n v="2.5561532580733477E-2"/>
    <n v="7.2109056526686768E-2"/>
    <n v="2.9709056526686765E-2"/>
    <n v="0.27179999999999999"/>
    <x v="5"/>
  </r>
  <r>
    <x v="133"/>
    <n v="0.81"/>
    <s v="B3"/>
    <s v="NA"/>
    <n v="5.5344939912038545E-2"/>
    <n v="0.10672501428150497"/>
    <n v="6.4325014281504972E-2"/>
    <n v="0.27179999999999999"/>
    <x v="5"/>
  </r>
  <r>
    <x v="134"/>
    <n v="3.8079999999999998"/>
    <s v="Caa3"/>
    <s v="NA"/>
    <n v="8.5051585884242345E-2"/>
    <n v="0.14125175565035719"/>
    <n v="9.8851755650357198E-2"/>
    <n v="0.36"/>
    <x v="4"/>
  </r>
  <r>
    <x v="135"/>
    <n v="3.96"/>
    <s v="B3"/>
    <s v="NA"/>
    <n v="5.5344939912038545E-2"/>
    <n v="0.10672501428150497"/>
    <n v="6.4325014281504972E-2"/>
    <n v="0.27500000000000002"/>
    <x v="3"/>
  </r>
  <r>
    <x v="136"/>
    <n v="537.61"/>
    <s v="Aaa"/>
    <n v="1.9E-3"/>
    <n v="0"/>
    <n v="4.24E-2"/>
    <n v="0"/>
    <n v="0.20600000000000002"/>
    <x v="2"/>
  </r>
  <r>
    <x v="137"/>
    <n v="747.96900000000005"/>
    <s v="Aaa"/>
    <n v="1.1000000000000001E-3"/>
    <n v="0"/>
    <n v="4.24E-2"/>
    <n v="0"/>
    <n v="0.14929999999999999"/>
    <x v="2"/>
  </r>
  <r>
    <x v="138"/>
    <n v="689"/>
    <s v="Aa3"/>
    <s v="NA"/>
    <n v="5.1430110597872171E-3"/>
    <n v="4.8377497859723763E-2"/>
    <n v="5.9774978597237644E-3"/>
    <n v="0.2"/>
    <x v="7"/>
  </r>
  <r>
    <x v="139"/>
    <n v="8.1940000000000008"/>
    <s v="B3"/>
    <s v="NA"/>
    <n v="5.5344939912038545E-2"/>
    <n v="0.10672501428150497"/>
    <n v="6.4325014281504972E-2"/>
    <n v="0.2281"/>
    <x v="1"/>
  </r>
  <r>
    <x v="140"/>
    <n v="62.41"/>
    <s v="B2"/>
    <s v="NA"/>
    <n v="4.6824429051794063E-2"/>
    <n v="9.6821995439276054E-2"/>
    <n v="5.4421995439276061E-2"/>
    <n v="0.3"/>
    <x v="3"/>
  </r>
  <r>
    <x v="141"/>
    <n v="501.79500000000002"/>
    <s v="Baa1"/>
    <n v="5.1999999999999998E-3"/>
    <n v="1.358676056093041E-2"/>
    <n v="5.8191300315986662E-2"/>
    <n v="1.5791300315986662E-2"/>
    <n v="0.2"/>
    <x v="7"/>
  </r>
  <r>
    <x v="142"/>
    <n v="7.5750000000000002"/>
    <s v="B3"/>
    <s v="NA"/>
    <n v="5.5344939912038545E-2"/>
    <n v="0.10672501428150497"/>
    <n v="6.4325014281504972E-2"/>
    <n v="0.2281"/>
    <x v="3"/>
  </r>
  <r>
    <x v="143"/>
    <n v="21.53"/>
    <s v="Ba2"/>
    <s v="NA"/>
    <n v="2.5561532580733477E-2"/>
    <n v="7.2109056526686768E-2"/>
    <n v="2.9709056526686765E-2"/>
    <n v="0.3"/>
    <x v="5"/>
  </r>
  <r>
    <x v="144"/>
    <n v="39.235999999999997"/>
    <s v="Caa1"/>
    <n v="8.8200000000000001E-2"/>
    <n v="6.3788689413181762E-2"/>
    <n v="0.11653881673776789"/>
    <n v="7.4138816737767899E-2"/>
    <n v="0.15"/>
    <x v="3"/>
  </r>
  <r>
    <x v="145"/>
    <n v="720.101"/>
    <s v="B2"/>
    <n v="5.5100000000000003E-2"/>
    <n v="4.6824429051794063E-2"/>
    <n v="9.6821995439276054E-2"/>
    <n v="5.4421995439276061E-2"/>
    <n v="0.2"/>
    <x v="2"/>
  </r>
  <r>
    <x v="146"/>
    <n v="0.92500000000000004"/>
    <s v="Baa1"/>
    <s v="NA"/>
    <n v="1.358676056093041E-2"/>
    <n v="5.8191300315986662E-2"/>
    <n v="1.5791300315986662E-2"/>
    <n v="0"/>
    <x v="5"/>
  </r>
  <r>
    <x v="147"/>
    <n v="37.372"/>
    <s v="B2"/>
    <s v="NA"/>
    <n v="4.6824429051794063E-2"/>
    <n v="9.6821995439276054E-2"/>
    <n v="5.4421995439276061E-2"/>
    <n v="0.3"/>
    <x v="3"/>
  </r>
  <r>
    <x v="148"/>
    <n v="155.58199999999999"/>
    <s v="B3"/>
    <n v="6.1699999999999998E-2"/>
    <n v="5.5344939912038545E-2"/>
    <n v="0.10672501428150497"/>
    <n v="6.4325014281504972E-2"/>
    <n v="0.18"/>
    <x v="1"/>
  </r>
  <r>
    <x v="149"/>
    <n v="421.142"/>
    <s v="Aa2"/>
    <s v="NA"/>
    <n v="4.2218747505715949E-3"/>
    <n v="4.730690122813145E-2"/>
    <n v="4.9069012281314477E-3"/>
    <n v="0.55000000000000004"/>
    <x v="0"/>
  </r>
  <r>
    <x v="150"/>
    <n v="2707.7440000000001"/>
    <s v="Aa3"/>
    <n v="1.8E-3"/>
    <n v="5.1430110597872171E-3"/>
    <n v="4.8377497859723763E-2"/>
    <n v="5.9774978597237644E-3"/>
    <n v="0.19"/>
    <x v="2"/>
  </r>
  <r>
    <x v="151"/>
    <n v="20936.599999999999"/>
    <s v="Aaa"/>
    <n v="1.9E-3"/>
    <n v="0"/>
    <n v="4.24E-2"/>
    <n v="0"/>
    <n v="0.27"/>
    <x v="8"/>
  </r>
  <r>
    <x v="152"/>
    <n v="53.628999999999998"/>
    <s v="Baa2"/>
    <n v="1.46E-2"/>
    <n v="1.6196646770374669E-2"/>
    <n v="6.1224657438831556E-2"/>
    <n v="1.8824657438831559E-2"/>
    <n v="0.25"/>
    <x v="4"/>
  </r>
  <r>
    <x v="153"/>
    <n v="57.707000000000001"/>
    <s v="B1"/>
    <s v="NA"/>
    <n v="3.8303918191549574E-2"/>
    <n v="8.6918976597047143E-2"/>
    <n v="4.451897659704715E-2"/>
    <n v="7.499999999999999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5AFF5-0FA7-E24C-B6C9-F07997FA4197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gridDropZones="1" multipleFieldFilters="0">
  <location ref="A3:E14" firstHeaderRow="1" firstDataRow="2" firstDataCol="1"/>
  <pivotFields count="9">
    <pivotField axis="axisRow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m="1" x="156"/>
        <item m="1" x="155"/>
        <item m="1" x="154"/>
        <item x="90"/>
        <item x="142"/>
        <item x="153"/>
        <item x="104"/>
        <item x="80"/>
        <item t="default"/>
      </items>
    </pivotField>
    <pivotField numFmtId="2" subtotalTop="0" showAll="0" defaultSubtotal="0"/>
    <pivotField showAll="0" defaultSubtotal="0"/>
    <pivotField subtotalTop="0"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8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4" subtotal="average" baseField="0" baseItem="0"/>
    <dataField name="Average of Country Risk Premium" fld="6" subtotal="average" baseField="0" baseItem="0"/>
    <dataField name="Average of Equity Risk Premium" fld="5" subtotal="average" baseField="0" baseItem="0"/>
    <dataField name="Average of Corporate Tax Rate" fld="7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60" totalsRowShown="0" headerRowDxfId="21" dataDxfId="19" headerRowBorderDxfId="20" tableBorderDxfId="18" totalsRowBorderDxfId="17">
  <autoFilter ref="A7:I160" xr:uid="{00000000-0009-0000-0100-000001000000}"/>
  <tableColumns count="9">
    <tableColumn id="1" xr3:uid="{00000000-0010-0000-0000-000001000000}" name="Country" dataDxfId="16"/>
    <tableColumn id="2" xr3:uid="{00000000-0010-0000-0000-000002000000}" name="Africa" dataDxfId="15"/>
    <tableColumn id="3" xr3:uid="{00000000-0010-0000-0000-000003000000}" name="Moody's rating" dataDxfId="14"/>
    <tableColumn id="4" xr3:uid="{00000000-0010-0000-0000-000004000000}" name="Rating-based Default Spread" dataDxfId="13" dataCellStyle="Percent"/>
    <tableColumn id="5" xr3:uid="{00000000-0010-0000-0000-000005000000}" name="Total Equity Risk Premium" dataDxfId="12" dataCellStyle="Percent"/>
    <tableColumn id="6" xr3:uid="{00000000-0010-0000-0000-000006000000}" name="Country Risk Premium" dataDxfId="11"/>
    <tableColumn id="7" xr3:uid="{00000000-0010-0000-0000-000007000000}" name="Sovereign CDS, net of US" dataDxfId="10"/>
    <tableColumn id="8" xr3:uid="{00000000-0010-0000-0000-000008000000}" name="Total Equity Risk Premium2" dataDxfId="9"/>
    <tableColumn id="9" xr3:uid="{00000000-0010-0000-0000-000009000000}" name="Country Risk Premium3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6:E186" totalsRowShown="0" headerRowDxfId="7" tableBorderDxfId="6">
  <autoFilter ref="A166:E186" xr:uid="{00000000-0009-0000-0100-000002000000}"/>
  <tableColumns count="5">
    <tableColumn id="1" xr3:uid="{00000000-0010-0000-0100-000001000000}" name="Country" dataDxfId="5"/>
    <tableColumn id="2" xr3:uid="{00000000-0010-0000-0100-000002000000}" name="PRS Composite Risk Score" dataDxfId="4"/>
    <tableColumn id="3" xr3:uid="{00000000-0010-0000-0100-000003000000}" name="ERP" dataDxfId="3" dataCellStyle="Percent"/>
    <tableColumn id="4" xr3:uid="{00000000-0010-0000-0100-000004000000}" name="CRP" dataDxfId="2" dataCellStyle="Percent"/>
    <tableColumn id="5" xr3:uid="{00000000-0010-0000-0100-000005000000}" name="Default Spread" dataDxfId="1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5" Type="http://schemas.openxmlformats.org/officeDocument/2006/relationships/hyperlink" Target="https://privpapers.ssrn.com/sol3/papers.cfm?abstract_id=3825823" TargetMode="External"/><Relationship Id="rId4" Type="http://schemas.openxmlformats.org/officeDocument/2006/relationships/hyperlink" Target="http://www.data.worldbank.org/data-catalog/GDP-ranking-tab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dingeconomics.com/rwanda/rating" TargetMode="External"/><Relationship Id="rId21" Type="http://schemas.openxmlformats.org/officeDocument/2006/relationships/hyperlink" Target="https://tradingeconomics.com/botswana/rating" TargetMode="External"/><Relationship Id="rId42" Type="http://schemas.openxmlformats.org/officeDocument/2006/relationships/hyperlink" Target="https://tradingeconomics.com/egypt/rating" TargetMode="External"/><Relationship Id="rId63" Type="http://schemas.openxmlformats.org/officeDocument/2006/relationships/hyperlink" Target="https://tradingeconomics.com/iraq/rating" TargetMode="External"/><Relationship Id="rId84" Type="http://schemas.openxmlformats.org/officeDocument/2006/relationships/hyperlink" Target="https://tradingeconomics.com/macedonia/rating" TargetMode="External"/><Relationship Id="rId138" Type="http://schemas.openxmlformats.org/officeDocument/2006/relationships/hyperlink" Target="https://tradingeconomics.com/tanzania/rating" TargetMode="External"/><Relationship Id="rId107" Type="http://schemas.openxmlformats.org/officeDocument/2006/relationships/hyperlink" Target="https://tradingeconomics.com/paraguay/rating" TargetMode="External"/><Relationship Id="rId11" Type="http://schemas.openxmlformats.org/officeDocument/2006/relationships/hyperlink" Target="https://tradingeconomics.com/bahrain/rating" TargetMode="External"/><Relationship Id="rId32" Type="http://schemas.openxmlformats.org/officeDocument/2006/relationships/hyperlink" Target="https://tradingeconomics.com/colombia/rating" TargetMode="External"/><Relationship Id="rId53" Type="http://schemas.openxmlformats.org/officeDocument/2006/relationships/hyperlink" Target="https://tradingeconomics.com/ghana/rating" TargetMode="External"/><Relationship Id="rId74" Type="http://schemas.openxmlformats.org/officeDocument/2006/relationships/hyperlink" Target="https://tradingeconomics.com/kuwait/rating" TargetMode="External"/><Relationship Id="rId128" Type="http://schemas.openxmlformats.org/officeDocument/2006/relationships/hyperlink" Target="https://tradingeconomics.com/south-korea/rating" TargetMode="External"/><Relationship Id="rId149" Type="http://schemas.openxmlformats.org/officeDocument/2006/relationships/hyperlink" Target="https://tradingeconomics.com/united-states/rating" TargetMode="External"/><Relationship Id="rId5" Type="http://schemas.openxmlformats.org/officeDocument/2006/relationships/hyperlink" Target="https://tradingeconomics.com/armenia/rating" TargetMode="External"/><Relationship Id="rId95" Type="http://schemas.openxmlformats.org/officeDocument/2006/relationships/hyperlink" Target="https://tradingeconomics.com/mozambique/rating" TargetMode="External"/><Relationship Id="rId22" Type="http://schemas.openxmlformats.org/officeDocument/2006/relationships/hyperlink" Target="https://tradingeconomics.com/brazil/rating" TargetMode="External"/><Relationship Id="rId27" Type="http://schemas.openxmlformats.org/officeDocument/2006/relationships/hyperlink" Target="https://tradingeconomics.com/canada/rating" TargetMode="External"/><Relationship Id="rId43" Type="http://schemas.openxmlformats.org/officeDocument/2006/relationships/hyperlink" Target="https://tradingeconomics.com/el-salvador/rating" TargetMode="External"/><Relationship Id="rId48" Type="http://schemas.openxmlformats.org/officeDocument/2006/relationships/hyperlink" Target="https://tradingeconomics.com/finland/rating" TargetMode="External"/><Relationship Id="rId64" Type="http://schemas.openxmlformats.org/officeDocument/2006/relationships/hyperlink" Target="https://tradingeconomics.com/ireland/rating" TargetMode="External"/><Relationship Id="rId69" Type="http://schemas.openxmlformats.org/officeDocument/2006/relationships/hyperlink" Target="https://tradingeconomics.com/jamaica/rating" TargetMode="External"/><Relationship Id="rId113" Type="http://schemas.openxmlformats.org/officeDocument/2006/relationships/hyperlink" Target="https://tradingeconomics.com/qatar/rating" TargetMode="External"/><Relationship Id="rId118" Type="http://schemas.openxmlformats.org/officeDocument/2006/relationships/hyperlink" Target="https://tradingeconomics.com/san-marino/rating" TargetMode="External"/><Relationship Id="rId134" Type="http://schemas.openxmlformats.org/officeDocument/2006/relationships/hyperlink" Target="https://tradingeconomics.com/sweden/rating" TargetMode="External"/><Relationship Id="rId139" Type="http://schemas.openxmlformats.org/officeDocument/2006/relationships/hyperlink" Target="https://tradingeconomics.com/thailand/rating" TargetMode="External"/><Relationship Id="rId80" Type="http://schemas.openxmlformats.org/officeDocument/2006/relationships/hyperlink" Target="https://tradingeconomics.com/liechtenstein/rating" TargetMode="External"/><Relationship Id="rId85" Type="http://schemas.openxmlformats.org/officeDocument/2006/relationships/hyperlink" Target="https://tradingeconomics.com/malaysia/rating" TargetMode="External"/><Relationship Id="rId150" Type="http://schemas.openxmlformats.org/officeDocument/2006/relationships/hyperlink" Target="https://tradingeconomics.com/uruguay/rating" TargetMode="External"/><Relationship Id="rId12" Type="http://schemas.openxmlformats.org/officeDocument/2006/relationships/hyperlink" Target="https://tradingeconomics.com/bangladesh/rating" TargetMode="External"/><Relationship Id="rId17" Type="http://schemas.openxmlformats.org/officeDocument/2006/relationships/hyperlink" Target="https://tradingeconomics.com/benin/rating" TargetMode="External"/><Relationship Id="rId33" Type="http://schemas.openxmlformats.org/officeDocument/2006/relationships/hyperlink" Target="https://tradingeconomics.com/congo/rating" TargetMode="External"/><Relationship Id="rId38" Type="http://schemas.openxmlformats.org/officeDocument/2006/relationships/hyperlink" Target="https://tradingeconomics.com/czech-republic/rating" TargetMode="External"/><Relationship Id="rId59" Type="http://schemas.openxmlformats.org/officeDocument/2006/relationships/hyperlink" Target="https://tradingeconomics.com/hungary/rating" TargetMode="External"/><Relationship Id="rId103" Type="http://schemas.openxmlformats.org/officeDocument/2006/relationships/hyperlink" Target="https://tradingeconomics.com/oman/rating" TargetMode="External"/><Relationship Id="rId108" Type="http://schemas.openxmlformats.org/officeDocument/2006/relationships/hyperlink" Target="https://tradingeconomics.com/peru/rating" TargetMode="External"/><Relationship Id="rId124" Type="http://schemas.openxmlformats.org/officeDocument/2006/relationships/hyperlink" Target="https://tradingeconomics.com/slovakia/rating" TargetMode="External"/><Relationship Id="rId129" Type="http://schemas.openxmlformats.org/officeDocument/2006/relationships/hyperlink" Target="https://tradingeconomics.com/spain/rating" TargetMode="External"/><Relationship Id="rId54" Type="http://schemas.openxmlformats.org/officeDocument/2006/relationships/hyperlink" Target="https://tradingeconomics.com/greece/rating" TargetMode="External"/><Relationship Id="rId70" Type="http://schemas.openxmlformats.org/officeDocument/2006/relationships/hyperlink" Target="https://tradingeconomics.com/japan/rating" TargetMode="External"/><Relationship Id="rId75" Type="http://schemas.openxmlformats.org/officeDocument/2006/relationships/hyperlink" Target="https://tradingeconomics.com/kyrgyzstan/rating" TargetMode="External"/><Relationship Id="rId91" Type="http://schemas.openxmlformats.org/officeDocument/2006/relationships/hyperlink" Target="https://tradingeconomics.com/moldova/rating" TargetMode="External"/><Relationship Id="rId96" Type="http://schemas.openxmlformats.org/officeDocument/2006/relationships/hyperlink" Target="https://tradingeconomics.com/namibia/rating" TargetMode="External"/><Relationship Id="rId140" Type="http://schemas.openxmlformats.org/officeDocument/2006/relationships/hyperlink" Target="https://tradingeconomics.com/togo/rating" TargetMode="External"/><Relationship Id="rId145" Type="http://schemas.openxmlformats.org/officeDocument/2006/relationships/hyperlink" Target="https://tradingeconomics.com/uganda/rating" TargetMode="External"/><Relationship Id="rId1" Type="http://schemas.openxmlformats.org/officeDocument/2006/relationships/hyperlink" Target="https://tradingeconomics.com/albania/rating" TargetMode="External"/><Relationship Id="rId6" Type="http://schemas.openxmlformats.org/officeDocument/2006/relationships/hyperlink" Target="https://tradingeconomics.com/aruba/rating" TargetMode="External"/><Relationship Id="rId23" Type="http://schemas.openxmlformats.org/officeDocument/2006/relationships/hyperlink" Target="https://tradingeconomics.com/bulgaria/rating" TargetMode="External"/><Relationship Id="rId28" Type="http://schemas.openxmlformats.org/officeDocument/2006/relationships/hyperlink" Target="https://tradingeconomics.com/cape-verde/rating" TargetMode="External"/><Relationship Id="rId49" Type="http://schemas.openxmlformats.org/officeDocument/2006/relationships/hyperlink" Target="https://tradingeconomics.com/france/rating" TargetMode="External"/><Relationship Id="rId114" Type="http://schemas.openxmlformats.org/officeDocument/2006/relationships/hyperlink" Target="https://tradingeconomics.com/republic-of-the-congo/rating" TargetMode="External"/><Relationship Id="rId119" Type="http://schemas.openxmlformats.org/officeDocument/2006/relationships/hyperlink" Target="https://tradingeconomics.com/saudi-arabia/rating" TargetMode="External"/><Relationship Id="rId44" Type="http://schemas.openxmlformats.org/officeDocument/2006/relationships/hyperlink" Target="https://tradingeconomics.com/estonia/rating" TargetMode="External"/><Relationship Id="rId60" Type="http://schemas.openxmlformats.org/officeDocument/2006/relationships/hyperlink" Target="https://tradingeconomics.com/iceland/rating" TargetMode="External"/><Relationship Id="rId65" Type="http://schemas.openxmlformats.org/officeDocument/2006/relationships/hyperlink" Target="https://tradingeconomics.com/isle-of-man/rating" TargetMode="External"/><Relationship Id="rId81" Type="http://schemas.openxmlformats.org/officeDocument/2006/relationships/hyperlink" Target="https://tradingeconomics.com/lithuania/rating" TargetMode="External"/><Relationship Id="rId86" Type="http://schemas.openxmlformats.org/officeDocument/2006/relationships/hyperlink" Target="https://tradingeconomics.com/maldives/rating" TargetMode="External"/><Relationship Id="rId130" Type="http://schemas.openxmlformats.org/officeDocument/2006/relationships/hyperlink" Target="https://tradingeconomics.com/sri-lanka/rating" TargetMode="External"/><Relationship Id="rId135" Type="http://schemas.openxmlformats.org/officeDocument/2006/relationships/hyperlink" Target="https://tradingeconomics.com/switzerland/rating" TargetMode="External"/><Relationship Id="rId151" Type="http://schemas.openxmlformats.org/officeDocument/2006/relationships/hyperlink" Target="https://tradingeconomics.com/uzbekistan/rating" TargetMode="External"/><Relationship Id="rId13" Type="http://schemas.openxmlformats.org/officeDocument/2006/relationships/hyperlink" Target="https://tradingeconomics.com/barbados/rating" TargetMode="External"/><Relationship Id="rId18" Type="http://schemas.openxmlformats.org/officeDocument/2006/relationships/hyperlink" Target="https://tradingeconomics.com/bermuda/rating" TargetMode="External"/><Relationship Id="rId39" Type="http://schemas.openxmlformats.org/officeDocument/2006/relationships/hyperlink" Target="https://tradingeconomics.com/denmark/rating" TargetMode="External"/><Relationship Id="rId109" Type="http://schemas.openxmlformats.org/officeDocument/2006/relationships/hyperlink" Target="https://tradingeconomics.com/philippines/rating" TargetMode="External"/><Relationship Id="rId34" Type="http://schemas.openxmlformats.org/officeDocument/2006/relationships/hyperlink" Target="https://tradingeconomics.com/costa-rica/rating" TargetMode="External"/><Relationship Id="rId50" Type="http://schemas.openxmlformats.org/officeDocument/2006/relationships/hyperlink" Target="https://tradingeconomics.com/gabon/rating" TargetMode="External"/><Relationship Id="rId55" Type="http://schemas.openxmlformats.org/officeDocument/2006/relationships/hyperlink" Target="https://tradingeconomics.com/grenada/rating" TargetMode="External"/><Relationship Id="rId76" Type="http://schemas.openxmlformats.org/officeDocument/2006/relationships/hyperlink" Target="https://tradingeconomics.com/laos/rating" TargetMode="External"/><Relationship Id="rId97" Type="http://schemas.openxmlformats.org/officeDocument/2006/relationships/hyperlink" Target="https://tradingeconomics.com/netherlands/rating" TargetMode="External"/><Relationship Id="rId104" Type="http://schemas.openxmlformats.org/officeDocument/2006/relationships/hyperlink" Target="https://tradingeconomics.com/pakistan/rating" TargetMode="External"/><Relationship Id="rId120" Type="http://schemas.openxmlformats.org/officeDocument/2006/relationships/hyperlink" Target="https://tradingeconomics.com/senegal/rating" TargetMode="External"/><Relationship Id="rId125" Type="http://schemas.openxmlformats.org/officeDocument/2006/relationships/hyperlink" Target="https://tradingeconomics.com/slovenia/rating" TargetMode="External"/><Relationship Id="rId141" Type="http://schemas.openxmlformats.org/officeDocument/2006/relationships/hyperlink" Target="https://tradingeconomics.com/trinidad-and-tobago/rating" TargetMode="External"/><Relationship Id="rId146" Type="http://schemas.openxmlformats.org/officeDocument/2006/relationships/hyperlink" Target="https://tradingeconomics.com/ukraine/rating" TargetMode="External"/><Relationship Id="rId7" Type="http://schemas.openxmlformats.org/officeDocument/2006/relationships/hyperlink" Target="https://tradingeconomics.com/australia/rating" TargetMode="External"/><Relationship Id="rId71" Type="http://schemas.openxmlformats.org/officeDocument/2006/relationships/hyperlink" Target="https://tradingeconomics.com/jordan/rating" TargetMode="External"/><Relationship Id="rId92" Type="http://schemas.openxmlformats.org/officeDocument/2006/relationships/hyperlink" Target="https://tradingeconomics.com/mongolia/rating" TargetMode="External"/><Relationship Id="rId2" Type="http://schemas.openxmlformats.org/officeDocument/2006/relationships/hyperlink" Target="https://tradingeconomics.com/andorra/rating" TargetMode="External"/><Relationship Id="rId29" Type="http://schemas.openxmlformats.org/officeDocument/2006/relationships/hyperlink" Target="https://tradingeconomics.com/cayman-islands/rating" TargetMode="External"/><Relationship Id="rId24" Type="http://schemas.openxmlformats.org/officeDocument/2006/relationships/hyperlink" Target="https://tradingeconomics.com/burkina-faso/rating" TargetMode="External"/><Relationship Id="rId40" Type="http://schemas.openxmlformats.org/officeDocument/2006/relationships/hyperlink" Target="https://tradingeconomics.com/dominican-republic/rating" TargetMode="External"/><Relationship Id="rId45" Type="http://schemas.openxmlformats.org/officeDocument/2006/relationships/hyperlink" Target="https://tradingeconomics.com/ethiopia/rating" TargetMode="External"/><Relationship Id="rId66" Type="http://schemas.openxmlformats.org/officeDocument/2006/relationships/hyperlink" Target="https://tradingeconomics.com/israel/rating" TargetMode="External"/><Relationship Id="rId87" Type="http://schemas.openxmlformats.org/officeDocument/2006/relationships/hyperlink" Target="https://tradingeconomics.com/mali/rating" TargetMode="External"/><Relationship Id="rId110" Type="http://schemas.openxmlformats.org/officeDocument/2006/relationships/hyperlink" Target="https://tradingeconomics.com/poland/rating" TargetMode="External"/><Relationship Id="rId115" Type="http://schemas.openxmlformats.org/officeDocument/2006/relationships/hyperlink" Target="https://tradingeconomics.com/romania/rating" TargetMode="External"/><Relationship Id="rId131" Type="http://schemas.openxmlformats.org/officeDocument/2006/relationships/hyperlink" Target="https://tradingeconomics.com/st-vincent-and-the-grenadines/rating" TargetMode="External"/><Relationship Id="rId136" Type="http://schemas.openxmlformats.org/officeDocument/2006/relationships/hyperlink" Target="https://tradingeconomics.com/taiwan/rating" TargetMode="External"/><Relationship Id="rId61" Type="http://schemas.openxmlformats.org/officeDocument/2006/relationships/hyperlink" Target="https://tradingeconomics.com/india/rating" TargetMode="External"/><Relationship Id="rId82" Type="http://schemas.openxmlformats.org/officeDocument/2006/relationships/hyperlink" Target="https://tradingeconomics.com/luxembourg/rating" TargetMode="External"/><Relationship Id="rId152" Type="http://schemas.openxmlformats.org/officeDocument/2006/relationships/hyperlink" Target="https://tradingeconomics.com/venezuela/rating" TargetMode="External"/><Relationship Id="rId19" Type="http://schemas.openxmlformats.org/officeDocument/2006/relationships/hyperlink" Target="https://tradingeconomics.com/bolivia/rating" TargetMode="External"/><Relationship Id="rId14" Type="http://schemas.openxmlformats.org/officeDocument/2006/relationships/hyperlink" Target="https://tradingeconomics.com/belarus/rating" TargetMode="External"/><Relationship Id="rId30" Type="http://schemas.openxmlformats.org/officeDocument/2006/relationships/hyperlink" Target="https://tradingeconomics.com/chile/rating" TargetMode="External"/><Relationship Id="rId35" Type="http://schemas.openxmlformats.org/officeDocument/2006/relationships/hyperlink" Target="https://tradingeconomics.com/croatia/rating" TargetMode="External"/><Relationship Id="rId56" Type="http://schemas.openxmlformats.org/officeDocument/2006/relationships/hyperlink" Target="https://tradingeconomics.com/guatemala/rating" TargetMode="External"/><Relationship Id="rId77" Type="http://schemas.openxmlformats.org/officeDocument/2006/relationships/hyperlink" Target="https://tradingeconomics.com/latvia/rating" TargetMode="External"/><Relationship Id="rId100" Type="http://schemas.openxmlformats.org/officeDocument/2006/relationships/hyperlink" Target="https://tradingeconomics.com/niger/rating" TargetMode="External"/><Relationship Id="rId105" Type="http://schemas.openxmlformats.org/officeDocument/2006/relationships/hyperlink" Target="https://tradingeconomics.com/panama/rating" TargetMode="External"/><Relationship Id="rId126" Type="http://schemas.openxmlformats.org/officeDocument/2006/relationships/hyperlink" Target="https://tradingeconomics.com/solomon-islands/rating" TargetMode="External"/><Relationship Id="rId147" Type="http://schemas.openxmlformats.org/officeDocument/2006/relationships/hyperlink" Target="https://tradingeconomics.com/united-arab-emirates/rating" TargetMode="External"/><Relationship Id="rId8" Type="http://schemas.openxmlformats.org/officeDocument/2006/relationships/hyperlink" Target="https://tradingeconomics.com/austria/rating" TargetMode="External"/><Relationship Id="rId51" Type="http://schemas.openxmlformats.org/officeDocument/2006/relationships/hyperlink" Target="https://tradingeconomics.com/georgia/rating" TargetMode="External"/><Relationship Id="rId72" Type="http://schemas.openxmlformats.org/officeDocument/2006/relationships/hyperlink" Target="https://tradingeconomics.com/kazakhstan/rating" TargetMode="External"/><Relationship Id="rId93" Type="http://schemas.openxmlformats.org/officeDocument/2006/relationships/hyperlink" Target="https://tradingeconomics.com/montenegro/rating" TargetMode="External"/><Relationship Id="rId98" Type="http://schemas.openxmlformats.org/officeDocument/2006/relationships/hyperlink" Target="https://tradingeconomics.com/new-zealand/rating" TargetMode="External"/><Relationship Id="rId121" Type="http://schemas.openxmlformats.org/officeDocument/2006/relationships/hyperlink" Target="https://tradingeconomics.com/serbia/rating" TargetMode="External"/><Relationship Id="rId142" Type="http://schemas.openxmlformats.org/officeDocument/2006/relationships/hyperlink" Target="https://tradingeconomics.com/tunisia/rating" TargetMode="External"/><Relationship Id="rId3" Type="http://schemas.openxmlformats.org/officeDocument/2006/relationships/hyperlink" Target="https://tradingeconomics.com/angola/rating" TargetMode="External"/><Relationship Id="rId25" Type="http://schemas.openxmlformats.org/officeDocument/2006/relationships/hyperlink" Target="https://tradingeconomics.com/cambodia/rating" TargetMode="External"/><Relationship Id="rId46" Type="http://schemas.openxmlformats.org/officeDocument/2006/relationships/hyperlink" Target="https://tradingeconomics.com/european-union/rating" TargetMode="External"/><Relationship Id="rId67" Type="http://schemas.openxmlformats.org/officeDocument/2006/relationships/hyperlink" Target="https://tradingeconomics.com/italy/rating" TargetMode="External"/><Relationship Id="rId116" Type="http://schemas.openxmlformats.org/officeDocument/2006/relationships/hyperlink" Target="https://tradingeconomics.com/russia/rating" TargetMode="External"/><Relationship Id="rId137" Type="http://schemas.openxmlformats.org/officeDocument/2006/relationships/hyperlink" Target="https://tradingeconomics.com/tajikistan/rating" TargetMode="External"/><Relationship Id="rId20" Type="http://schemas.openxmlformats.org/officeDocument/2006/relationships/hyperlink" Target="https://tradingeconomics.com/bosnia-and-herzegovina/rating" TargetMode="External"/><Relationship Id="rId41" Type="http://schemas.openxmlformats.org/officeDocument/2006/relationships/hyperlink" Target="https://tradingeconomics.com/ecuador/rating" TargetMode="External"/><Relationship Id="rId62" Type="http://schemas.openxmlformats.org/officeDocument/2006/relationships/hyperlink" Target="https://tradingeconomics.com/indonesia/rating" TargetMode="External"/><Relationship Id="rId83" Type="http://schemas.openxmlformats.org/officeDocument/2006/relationships/hyperlink" Target="https://tradingeconomics.com/macau/rating" TargetMode="External"/><Relationship Id="rId88" Type="http://schemas.openxmlformats.org/officeDocument/2006/relationships/hyperlink" Target="https://tradingeconomics.com/malta/rating" TargetMode="External"/><Relationship Id="rId111" Type="http://schemas.openxmlformats.org/officeDocument/2006/relationships/hyperlink" Target="https://tradingeconomics.com/portugal/rating" TargetMode="External"/><Relationship Id="rId132" Type="http://schemas.openxmlformats.org/officeDocument/2006/relationships/hyperlink" Target="https://tradingeconomics.com/suriname/rating" TargetMode="External"/><Relationship Id="rId153" Type="http://schemas.openxmlformats.org/officeDocument/2006/relationships/hyperlink" Target="https://tradingeconomics.com/vietnam/rating" TargetMode="External"/><Relationship Id="rId15" Type="http://schemas.openxmlformats.org/officeDocument/2006/relationships/hyperlink" Target="https://tradingeconomics.com/belgium/rating" TargetMode="External"/><Relationship Id="rId36" Type="http://schemas.openxmlformats.org/officeDocument/2006/relationships/hyperlink" Target="https://tradingeconomics.com/cuba/rating" TargetMode="External"/><Relationship Id="rId57" Type="http://schemas.openxmlformats.org/officeDocument/2006/relationships/hyperlink" Target="https://tradingeconomics.com/honduras/rating" TargetMode="External"/><Relationship Id="rId106" Type="http://schemas.openxmlformats.org/officeDocument/2006/relationships/hyperlink" Target="https://tradingeconomics.com/papua-new-guinea/rating" TargetMode="External"/><Relationship Id="rId127" Type="http://schemas.openxmlformats.org/officeDocument/2006/relationships/hyperlink" Target="https://tradingeconomics.com/south-africa/rating" TargetMode="External"/><Relationship Id="rId10" Type="http://schemas.openxmlformats.org/officeDocument/2006/relationships/hyperlink" Target="https://tradingeconomics.com/bahamas/rating" TargetMode="External"/><Relationship Id="rId31" Type="http://schemas.openxmlformats.org/officeDocument/2006/relationships/hyperlink" Target="https://tradingeconomics.com/china/rating" TargetMode="External"/><Relationship Id="rId52" Type="http://schemas.openxmlformats.org/officeDocument/2006/relationships/hyperlink" Target="https://tradingeconomics.com/germany/rating" TargetMode="External"/><Relationship Id="rId73" Type="http://schemas.openxmlformats.org/officeDocument/2006/relationships/hyperlink" Target="https://tradingeconomics.com/kenya/rating" TargetMode="External"/><Relationship Id="rId78" Type="http://schemas.openxmlformats.org/officeDocument/2006/relationships/hyperlink" Target="https://tradingeconomics.com/lebanon/rating" TargetMode="External"/><Relationship Id="rId94" Type="http://schemas.openxmlformats.org/officeDocument/2006/relationships/hyperlink" Target="https://tradingeconomics.com/morocco/rating" TargetMode="External"/><Relationship Id="rId99" Type="http://schemas.openxmlformats.org/officeDocument/2006/relationships/hyperlink" Target="https://tradingeconomics.com/nicaragua/rating" TargetMode="External"/><Relationship Id="rId101" Type="http://schemas.openxmlformats.org/officeDocument/2006/relationships/hyperlink" Target="https://tradingeconomics.com/nigeria/rating" TargetMode="External"/><Relationship Id="rId122" Type="http://schemas.openxmlformats.org/officeDocument/2006/relationships/hyperlink" Target="https://tradingeconomics.com/seychelles/rating" TargetMode="External"/><Relationship Id="rId143" Type="http://schemas.openxmlformats.org/officeDocument/2006/relationships/hyperlink" Target="https://tradingeconomics.com/turkey/rating" TargetMode="External"/><Relationship Id="rId148" Type="http://schemas.openxmlformats.org/officeDocument/2006/relationships/hyperlink" Target="https://tradingeconomics.com/united-kingdom/rating" TargetMode="External"/><Relationship Id="rId4" Type="http://schemas.openxmlformats.org/officeDocument/2006/relationships/hyperlink" Target="https://tradingeconomics.com/argentina/rating" TargetMode="External"/><Relationship Id="rId9" Type="http://schemas.openxmlformats.org/officeDocument/2006/relationships/hyperlink" Target="https://tradingeconomics.com/azerbaijan/rating" TargetMode="External"/><Relationship Id="rId26" Type="http://schemas.openxmlformats.org/officeDocument/2006/relationships/hyperlink" Target="https://tradingeconomics.com/cameroon/rating" TargetMode="External"/><Relationship Id="rId47" Type="http://schemas.openxmlformats.org/officeDocument/2006/relationships/hyperlink" Target="https://tradingeconomics.com/fiji/rating" TargetMode="External"/><Relationship Id="rId68" Type="http://schemas.openxmlformats.org/officeDocument/2006/relationships/hyperlink" Target="https://tradingeconomics.com/ivory-coast/rating" TargetMode="External"/><Relationship Id="rId89" Type="http://schemas.openxmlformats.org/officeDocument/2006/relationships/hyperlink" Target="https://tradingeconomics.com/mauritius/rating" TargetMode="External"/><Relationship Id="rId112" Type="http://schemas.openxmlformats.org/officeDocument/2006/relationships/hyperlink" Target="https://tradingeconomics.com/puerto-rico/rating" TargetMode="External"/><Relationship Id="rId133" Type="http://schemas.openxmlformats.org/officeDocument/2006/relationships/hyperlink" Target="https://tradingeconomics.com/swaziland/rating" TargetMode="External"/><Relationship Id="rId154" Type="http://schemas.openxmlformats.org/officeDocument/2006/relationships/hyperlink" Target="https://tradingeconomics.com/zambia/rating" TargetMode="External"/><Relationship Id="rId16" Type="http://schemas.openxmlformats.org/officeDocument/2006/relationships/hyperlink" Target="https://tradingeconomics.com/belize/rating" TargetMode="External"/><Relationship Id="rId37" Type="http://schemas.openxmlformats.org/officeDocument/2006/relationships/hyperlink" Target="https://tradingeconomics.com/cyprus/rating" TargetMode="External"/><Relationship Id="rId58" Type="http://schemas.openxmlformats.org/officeDocument/2006/relationships/hyperlink" Target="https://tradingeconomics.com/hong-kong/rating" TargetMode="External"/><Relationship Id="rId79" Type="http://schemas.openxmlformats.org/officeDocument/2006/relationships/hyperlink" Target="https://tradingeconomics.com/lesotho/rating" TargetMode="External"/><Relationship Id="rId102" Type="http://schemas.openxmlformats.org/officeDocument/2006/relationships/hyperlink" Target="https://tradingeconomics.com/norway/rating" TargetMode="External"/><Relationship Id="rId123" Type="http://schemas.openxmlformats.org/officeDocument/2006/relationships/hyperlink" Target="https://tradingeconomics.com/singapore/rating" TargetMode="External"/><Relationship Id="rId144" Type="http://schemas.openxmlformats.org/officeDocument/2006/relationships/hyperlink" Target="https://tradingeconomics.com/turkmenistan/rating" TargetMode="External"/><Relationship Id="rId90" Type="http://schemas.openxmlformats.org/officeDocument/2006/relationships/hyperlink" Target="https://tradingeconomics.com/mexico/rat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opLeftCell="A5" workbookViewId="0">
      <selection activeCell="D40" sqref="D40"/>
    </sheetView>
  </sheetViews>
  <sheetFormatPr baseColWidth="10" defaultRowHeight="13"/>
  <cols>
    <col min="1" max="1" width="24.6640625" customWidth="1"/>
  </cols>
  <sheetData>
    <row r="1" spans="1:4" s="43" customFormat="1" ht="16">
      <c r="A1" s="35" t="s">
        <v>150</v>
      </c>
    </row>
    <row r="2" spans="1:4" s="43" customFormat="1" ht="16">
      <c r="A2" s="43" t="s">
        <v>151</v>
      </c>
    </row>
    <row r="3" spans="1:4" s="43" customFormat="1" ht="16">
      <c r="A3" s="43" t="s">
        <v>269</v>
      </c>
    </row>
    <row r="4" spans="1:4" s="43" customFormat="1" ht="16"/>
    <row r="5" spans="1:4" s="66" customFormat="1" ht="16">
      <c r="A5" s="77" t="s">
        <v>152</v>
      </c>
    </row>
    <row r="6" spans="1:4" s="43" customFormat="1" ht="16">
      <c r="A6" s="43" t="s">
        <v>153</v>
      </c>
    </row>
    <row r="7" spans="1:4" s="43" customFormat="1" ht="16">
      <c r="A7" s="43" t="s">
        <v>155</v>
      </c>
      <c r="B7" s="78" t="s">
        <v>154</v>
      </c>
    </row>
    <row r="8" spans="1:4" s="43" customFormat="1" ht="16">
      <c r="A8" s="43" t="s">
        <v>156</v>
      </c>
      <c r="B8" s="78" t="s">
        <v>157</v>
      </c>
    </row>
    <row r="9" spans="1:4" s="43" customFormat="1" ht="16"/>
    <row r="10" spans="1:4" s="66" customFormat="1" ht="16">
      <c r="A10" s="77" t="s">
        <v>158</v>
      </c>
    </row>
    <row r="11" spans="1:4" s="43" customFormat="1" ht="16">
      <c r="A11" s="43" t="s">
        <v>159</v>
      </c>
      <c r="B11" s="78" t="s">
        <v>163</v>
      </c>
      <c r="D11" s="43" t="s">
        <v>164</v>
      </c>
    </row>
    <row r="12" spans="1:4" s="43" customFormat="1" ht="16">
      <c r="A12" s="43" t="s">
        <v>160</v>
      </c>
      <c r="B12" s="43" t="s">
        <v>165</v>
      </c>
    </row>
    <row r="13" spans="1:4" s="43" customFormat="1" ht="16">
      <c r="A13" s="43" t="s">
        <v>161</v>
      </c>
      <c r="B13" s="43" t="s">
        <v>162</v>
      </c>
    </row>
    <row r="14" spans="1:4" s="43" customFormat="1" ht="16">
      <c r="A14" s="80" t="s">
        <v>341</v>
      </c>
    </row>
    <row r="15" spans="1:4" s="43" customFormat="1" ht="16">
      <c r="A15" s="1"/>
    </row>
    <row r="16" spans="1:4" s="66" customFormat="1" ht="16">
      <c r="A16" s="77" t="s">
        <v>166</v>
      </c>
    </row>
    <row r="17" spans="1:9" s="66" customFormat="1" ht="16">
      <c r="A17" s="66" t="s">
        <v>194</v>
      </c>
    </row>
    <row r="18" spans="1:9" s="43" customFormat="1" ht="16">
      <c r="A18" s="43" t="s">
        <v>303</v>
      </c>
    </row>
    <row r="19" spans="1:9" s="43" customFormat="1" ht="16">
      <c r="A19" s="100" t="s">
        <v>389</v>
      </c>
    </row>
    <row r="20" spans="1:9" s="43" customFormat="1" ht="16">
      <c r="A20" s="43" t="s">
        <v>388</v>
      </c>
    </row>
    <row r="21" spans="1:9" s="66" customFormat="1" ht="16">
      <c r="A21" s="66" t="s">
        <v>195</v>
      </c>
    </row>
    <row r="22" spans="1:9" s="43" customFormat="1" ht="16">
      <c r="A22" s="43" t="s">
        <v>304</v>
      </c>
    </row>
    <row r="23" spans="1:9" s="43" customFormat="1" ht="16">
      <c r="A23" s="43" t="s">
        <v>493</v>
      </c>
    </row>
    <row r="24" spans="1:9" s="43" customFormat="1" ht="16">
      <c r="A24" s="100" t="s">
        <v>486</v>
      </c>
    </row>
    <row r="25" spans="1:9" s="43" customFormat="1" ht="16">
      <c r="A25" s="43" t="s">
        <v>251</v>
      </c>
    </row>
    <row r="26" spans="1:9" s="43" customFormat="1" ht="16"/>
    <row r="27" spans="1:9" s="66" customFormat="1" ht="16">
      <c r="A27" s="77" t="s">
        <v>247</v>
      </c>
    </row>
    <row r="28" spans="1:9" s="43" customFormat="1" ht="16">
      <c r="A28" s="43" t="s">
        <v>167</v>
      </c>
    </row>
    <row r="29" spans="1:9" s="43" customFormat="1" ht="16"/>
    <row r="30" spans="1:9" s="77" customFormat="1" ht="16">
      <c r="A30" s="77" t="s">
        <v>248</v>
      </c>
    </row>
    <row r="31" spans="1:9" s="43" customFormat="1" ht="16">
      <c r="A31" s="43" t="s">
        <v>249</v>
      </c>
    </row>
    <row r="32" spans="1:9" s="43" customFormat="1" ht="16">
      <c r="A32" s="43" t="s">
        <v>250</v>
      </c>
      <c r="I32" s="112" t="s">
        <v>393</v>
      </c>
    </row>
    <row r="33" spans="1:12" s="43" customFormat="1" ht="16"/>
    <row r="34" spans="1:12" s="43" customFormat="1" ht="16">
      <c r="A34" s="43" t="s">
        <v>168</v>
      </c>
    </row>
    <row r="35" spans="1:12" s="43" customFormat="1" ht="22" customHeight="1">
      <c r="A35" s="66" t="s">
        <v>169</v>
      </c>
      <c r="E35" s="250" t="s">
        <v>558</v>
      </c>
      <c r="F35" s="251"/>
      <c r="G35" s="251"/>
      <c r="H35" s="251"/>
      <c r="I35" s="251"/>
      <c r="J35" s="251"/>
      <c r="K35" s="251"/>
      <c r="L35" s="251"/>
    </row>
    <row r="36" spans="1:12" s="43" customFormat="1" ht="16">
      <c r="A36" s="66" t="s">
        <v>492</v>
      </c>
      <c r="E36" s="78" t="s">
        <v>559</v>
      </c>
    </row>
    <row r="37" spans="1:12" s="43" customFormat="1" ht="16">
      <c r="A37" s="66" t="s">
        <v>170</v>
      </c>
      <c r="E37" s="78" t="s">
        <v>487</v>
      </c>
    </row>
    <row r="38" spans="1:12" s="43" customFormat="1" ht="16">
      <c r="E38" s="78" t="s">
        <v>488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I32" r:id="rId4" xr:uid="{00000000-0004-0000-0000-000006000000}"/>
    <hyperlink ref="E35" r:id="rId5" xr:uid="{65258846-CAFB-A041-8C80-49AD91A3A5F3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4"/>
  <sheetViews>
    <sheetView workbookViewId="0">
      <selection activeCell="I55" sqref="I55"/>
    </sheetView>
  </sheetViews>
  <sheetFormatPr baseColWidth="10" defaultRowHeight="13"/>
  <cols>
    <col min="1" max="1" width="11.83203125" bestFit="1" customWidth="1"/>
    <col min="2" max="2" width="16.33203125" style="30" bestFit="1" customWidth="1"/>
    <col min="3" max="3" width="19" style="30" bestFit="1" customWidth="1"/>
    <col min="5" max="5" width="19.6640625" customWidth="1"/>
    <col min="7" max="7" width="10.83203125" style="30"/>
  </cols>
  <sheetData>
    <row r="1" spans="1:14" ht="34">
      <c r="A1" s="19" t="s">
        <v>39</v>
      </c>
      <c r="B1" s="247" t="s">
        <v>569</v>
      </c>
      <c r="C1" s="214" t="s">
        <v>570</v>
      </c>
      <c r="E1" s="73" t="s">
        <v>75</v>
      </c>
      <c r="F1" s="74" t="s">
        <v>271</v>
      </c>
      <c r="G1" s="158" t="s">
        <v>551</v>
      </c>
      <c r="H1" s="158">
        <v>43100</v>
      </c>
      <c r="I1" s="74" t="s">
        <v>458</v>
      </c>
      <c r="K1" s="73" t="s">
        <v>75</v>
      </c>
      <c r="L1" s="158">
        <v>43100</v>
      </c>
      <c r="N1" t="s">
        <v>552</v>
      </c>
    </row>
    <row r="2" spans="1:14" ht="16">
      <c r="A2" s="5" t="s">
        <v>41</v>
      </c>
      <c r="B2" s="248">
        <v>58.133800756639744</v>
      </c>
      <c r="C2" s="143">
        <f>B2*(1+$I$84)</f>
        <v>59.873860099015367</v>
      </c>
      <c r="E2" s="51" t="s">
        <v>272</v>
      </c>
      <c r="F2" s="63" t="s">
        <v>45</v>
      </c>
      <c r="G2" s="53">
        <v>7.3000000000000001E-3</v>
      </c>
      <c r="H2" s="53">
        <v>7.7000000000000002E-3</v>
      </c>
      <c r="I2" s="79">
        <f t="shared" ref="I2:I67" si="0">IF(H2="NA","NA",H2/G2-1)</f>
        <v>5.4794520547945202E-2</v>
      </c>
      <c r="K2" s="51" t="s">
        <v>272</v>
      </c>
      <c r="L2" s="53">
        <v>7.7000000000000002E-3</v>
      </c>
      <c r="N2" s="246">
        <v>58.133800756639744</v>
      </c>
    </row>
    <row r="3" spans="1:14" ht="16">
      <c r="A3" s="5" t="s">
        <v>42</v>
      </c>
      <c r="B3" s="248">
        <v>70.058682963129939</v>
      </c>
      <c r="C3" s="143">
        <f t="shared" ref="C3:C21" si="1">B3*(1+$I$84)</f>
        <v>72.155677555223633</v>
      </c>
      <c r="E3" s="51" t="s">
        <v>337</v>
      </c>
      <c r="F3" s="63" t="s">
        <v>143</v>
      </c>
      <c r="G3" s="53">
        <v>9.1000000000000004E-3</v>
      </c>
      <c r="H3" s="53">
        <v>1.0999999999999999E-2</v>
      </c>
      <c r="I3" s="79">
        <f t="shared" si="0"/>
        <v>0.20879120879120872</v>
      </c>
      <c r="K3" s="141" t="s">
        <v>337</v>
      </c>
      <c r="L3" s="53">
        <v>1.0999999999999999E-2</v>
      </c>
      <c r="N3" s="246">
        <v>70.058682963129939</v>
      </c>
    </row>
    <row r="4" spans="1:14" ht="16">
      <c r="A4" s="5" t="s">
        <v>43</v>
      </c>
      <c r="B4" s="248">
        <v>99.125583341449826</v>
      </c>
      <c r="C4" s="143">
        <f t="shared" si="1"/>
        <v>102.09260760473134</v>
      </c>
      <c r="E4" s="51" t="s">
        <v>131</v>
      </c>
      <c r="F4" s="63" t="s">
        <v>78</v>
      </c>
      <c r="G4" s="53">
        <v>5.6899999999999999E-2</v>
      </c>
      <c r="H4" s="53">
        <v>5.9400000000000001E-2</v>
      </c>
      <c r="I4" s="79">
        <f t="shared" si="0"/>
        <v>4.393673110720564E-2</v>
      </c>
      <c r="K4" s="141" t="s">
        <v>131</v>
      </c>
      <c r="L4" s="53">
        <v>5.9400000000000001E-2</v>
      </c>
      <c r="N4" s="246">
        <v>99.125583341449826</v>
      </c>
    </row>
    <row r="5" spans="1:14" ht="16">
      <c r="A5" s="5" t="s">
        <v>44</v>
      </c>
      <c r="B5" s="248">
        <v>32.793426067848053</v>
      </c>
      <c r="C5" s="143">
        <f t="shared" si="1"/>
        <v>33.774998004572765</v>
      </c>
      <c r="E5" s="51" t="s">
        <v>85</v>
      </c>
      <c r="F5" s="63" t="s">
        <v>47</v>
      </c>
      <c r="G5" s="53">
        <v>2.3E-3</v>
      </c>
      <c r="H5" s="53">
        <v>2.3E-3</v>
      </c>
      <c r="I5" s="79">
        <f t="shared" si="0"/>
        <v>0</v>
      </c>
      <c r="K5" s="51" t="s">
        <v>85</v>
      </c>
      <c r="L5" s="53">
        <v>2.3E-3</v>
      </c>
      <c r="N5" s="246">
        <v>32.793426067848053</v>
      </c>
    </row>
    <row r="6" spans="1:14" ht="16">
      <c r="A6" s="5" t="s">
        <v>45</v>
      </c>
      <c r="B6" s="248">
        <v>40.991782584810068</v>
      </c>
      <c r="C6" s="143">
        <f t="shared" si="1"/>
        <v>42.218747505715953</v>
      </c>
      <c r="E6" s="51" t="s">
        <v>176</v>
      </c>
      <c r="F6" s="63" t="s">
        <v>44</v>
      </c>
      <c r="G6" s="53">
        <v>1.8E-3</v>
      </c>
      <c r="H6" s="53">
        <v>1.9E-3</v>
      </c>
      <c r="I6" s="79">
        <f t="shared" si="0"/>
        <v>5.555555555555558E-2</v>
      </c>
      <c r="K6" s="51" t="s">
        <v>176</v>
      </c>
      <c r="L6" s="53">
        <v>1.9E-3</v>
      </c>
      <c r="N6" s="246">
        <v>40.991782584810068</v>
      </c>
    </row>
    <row r="7" spans="1:14" ht="16">
      <c r="A7" s="5" t="s">
        <v>46</v>
      </c>
      <c r="B7" s="248">
        <v>49.935444239677729</v>
      </c>
      <c r="C7" s="143">
        <f t="shared" si="1"/>
        <v>51.430110597872172</v>
      </c>
      <c r="E7" s="51" t="s">
        <v>87</v>
      </c>
      <c r="F7" s="63" t="s">
        <v>49</v>
      </c>
      <c r="G7" s="53">
        <v>2.6700000000000002E-2</v>
      </c>
      <c r="H7" s="53">
        <v>3.4000000000000002E-2</v>
      </c>
      <c r="I7" s="79">
        <f t="shared" si="0"/>
        <v>0.27340823970037453</v>
      </c>
      <c r="K7" s="51" t="s">
        <v>87</v>
      </c>
      <c r="L7" s="53">
        <v>3.4000000000000002E-2</v>
      </c>
      <c r="N7" s="246">
        <v>49.935444239677729</v>
      </c>
    </row>
    <row r="8" spans="1:14" ht="16">
      <c r="A8" s="5" t="s">
        <v>47</v>
      </c>
      <c r="B8" s="248">
        <v>0</v>
      </c>
      <c r="C8" s="143">
        <f t="shared" si="1"/>
        <v>0</v>
      </c>
      <c r="E8" s="51" t="s">
        <v>177</v>
      </c>
      <c r="F8" s="63" t="s">
        <v>46</v>
      </c>
      <c r="G8" s="53">
        <v>2.0999999999999999E-3</v>
      </c>
      <c r="H8" s="53">
        <v>2.0999999999999999E-3</v>
      </c>
      <c r="I8" s="79">
        <f t="shared" si="0"/>
        <v>0</v>
      </c>
      <c r="K8" s="51" t="s">
        <v>177</v>
      </c>
      <c r="L8" s="53">
        <v>2.0999999999999999E-3</v>
      </c>
      <c r="N8" s="246">
        <v>0</v>
      </c>
    </row>
    <row r="9" spans="1:14" ht="16">
      <c r="A9" s="5" t="s">
        <v>48</v>
      </c>
      <c r="B9" s="248">
        <v>371.90726381491322</v>
      </c>
      <c r="C9" s="143">
        <f t="shared" si="1"/>
        <v>383.03918191549576</v>
      </c>
      <c r="E9" s="51" t="s">
        <v>92</v>
      </c>
      <c r="F9" s="63" t="s">
        <v>80</v>
      </c>
      <c r="G9" s="53">
        <v>2.52E-2</v>
      </c>
      <c r="H9" s="53">
        <v>2.9100000000000001E-2</v>
      </c>
      <c r="I9" s="79">
        <f t="shared" si="0"/>
        <v>0.15476190476190488</v>
      </c>
      <c r="K9" s="51" t="s">
        <v>92</v>
      </c>
      <c r="L9" s="53">
        <v>2.9100000000000001E-2</v>
      </c>
      <c r="N9" s="246">
        <v>371.90726381491322</v>
      </c>
    </row>
    <row r="10" spans="1:14" ht="16">
      <c r="A10" s="5" t="s">
        <v>49</v>
      </c>
      <c r="B10" s="248">
        <v>454.63613412243893</v>
      </c>
      <c r="C10" s="143">
        <f t="shared" si="1"/>
        <v>468.24429051794061</v>
      </c>
      <c r="E10" s="51" t="s">
        <v>94</v>
      </c>
      <c r="F10" s="63" t="s">
        <v>83</v>
      </c>
      <c r="G10" s="53">
        <v>6.4999999999999997E-3</v>
      </c>
      <c r="H10" s="53">
        <v>8.0999999999999996E-3</v>
      </c>
      <c r="I10" s="79">
        <f t="shared" si="0"/>
        <v>0.24615384615384617</v>
      </c>
      <c r="K10" s="51" t="s">
        <v>94</v>
      </c>
      <c r="L10" s="53">
        <v>8.0999999999999996E-3</v>
      </c>
      <c r="N10" s="246">
        <v>454.63613412243893</v>
      </c>
    </row>
    <row r="11" spans="1:14" ht="16">
      <c r="A11" s="5" t="s">
        <v>78</v>
      </c>
      <c r="B11" s="248">
        <v>537.36500442996464</v>
      </c>
      <c r="C11" s="143">
        <f t="shared" si="1"/>
        <v>553.44939912038546</v>
      </c>
      <c r="E11" s="51" t="s">
        <v>212</v>
      </c>
      <c r="F11" s="63" t="s">
        <v>49</v>
      </c>
      <c r="G11" s="53">
        <v>3.9E-2</v>
      </c>
      <c r="H11" s="53">
        <v>3.56E-2</v>
      </c>
      <c r="I11" s="79">
        <f t="shared" si="0"/>
        <v>-8.7179487179487203E-2</v>
      </c>
      <c r="K11" s="141" t="s">
        <v>212</v>
      </c>
      <c r="L11" s="53">
        <v>3.56E-2</v>
      </c>
      <c r="N11" s="246">
        <v>537.36500442996464</v>
      </c>
    </row>
    <row r="12" spans="1:14" ht="16">
      <c r="A12" s="5" t="s">
        <v>79</v>
      </c>
      <c r="B12" s="248">
        <v>206.44952319986166</v>
      </c>
      <c r="C12" s="143">
        <f t="shared" si="1"/>
        <v>212.62896471060586</v>
      </c>
      <c r="E12" s="51" t="s">
        <v>95</v>
      </c>
      <c r="F12" s="63" t="s">
        <v>47</v>
      </c>
      <c r="G12" s="53">
        <v>3.0999999999999999E-3</v>
      </c>
      <c r="H12" s="53">
        <v>2.8E-3</v>
      </c>
      <c r="I12" s="79">
        <f t="shared" si="0"/>
        <v>-9.6774193548387122E-2</v>
      </c>
      <c r="K12" s="141" t="s">
        <v>95</v>
      </c>
      <c r="L12" s="53">
        <v>2.8E-3</v>
      </c>
      <c r="N12" s="246">
        <v>206.44952319986166</v>
      </c>
    </row>
    <row r="13" spans="1:14" ht="16">
      <c r="A13" s="5" t="s">
        <v>80</v>
      </c>
      <c r="B13" s="248">
        <v>248.1866109225773</v>
      </c>
      <c r="C13" s="143">
        <f t="shared" si="1"/>
        <v>255.61532580733476</v>
      </c>
      <c r="E13" s="51" t="s">
        <v>96</v>
      </c>
      <c r="F13" s="63" t="s">
        <v>41</v>
      </c>
      <c r="G13" s="53">
        <v>1.04E-2</v>
      </c>
      <c r="H13" s="53">
        <v>1.2500000000000001E-2</v>
      </c>
      <c r="I13" s="79">
        <f t="shared" si="0"/>
        <v>0.20192307692307709</v>
      </c>
      <c r="K13" s="51" t="s">
        <v>96</v>
      </c>
      <c r="L13" s="53">
        <v>1.2500000000000001E-2</v>
      </c>
      <c r="N13" s="246">
        <v>248.1866109225773</v>
      </c>
    </row>
    <row r="14" spans="1:14" ht="16">
      <c r="A14" s="5" t="s">
        <v>81</v>
      </c>
      <c r="B14" s="248">
        <v>297.37675002434946</v>
      </c>
      <c r="C14" s="143">
        <f t="shared" si="1"/>
        <v>306.277822814194</v>
      </c>
      <c r="E14" s="51" t="s">
        <v>97</v>
      </c>
      <c r="F14" s="63" t="s">
        <v>41</v>
      </c>
      <c r="G14" s="53">
        <v>6.7999999999999996E-3</v>
      </c>
      <c r="H14" s="53">
        <v>7.4000000000000003E-3</v>
      </c>
      <c r="I14" s="79">
        <f t="shared" si="0"/>
        <v>8.8235294117647189E-2</v>
      </c>
      <c r="K14" s="51" t="s">
        <v>97</v>
      </c>
      <c r="L14" s="53">
        <v>7.4000000000000003E-3</v>
      </c>
      <c r="N14" s="246">
        <v>297.37675002434946</v>
      </c>
    </row>
    <row r="15" spans="1:14" ht="16">
      <c r="A15" s="5" t="s">
        <v>82</v>
      </c>
      <c r="B15" s="248">
        <v>131.91900940929787</v>
      </c>
      <c r="C15" s="143">
        <f t="shared" si="1"/>
        <v>135.86760560930409</v>
      </c>
      <c r="E15" s="51" t="s">
        <v>50</v>
      </c>
      <c r="F15" s="63" t="s">
        <v>83</v>
      </c>
      <c r="G15" s="53">
        <v>2.0500000000000001E-2</v>
      </c>
      <c r="H15" s="53">
        <v>2.7699999999999999E-2</v>
      </c>
      <c r="I15" s="79">
        <f t="shared" si="0"/>
        <v>0.35121951219512182</v>
      </c>
      <c r="K15" s="51" t="s">
        <v>50</v>
      </c>
      <c r="L15" s="53">
        <v>2.7699999999999999E-2</v>
      </c>
      <c r="N15" s="246">
        <v>131.91900940929787</v>
      </c>
    </row>
    <row r="16" spans="1:14" ht="16">
      <c r="A16" s="5" t="s">
        <v>83</v>
      </c>
      <c r="B16" s="248">
        <v>157.25938409808953</v>
      </c>
      <c r="C16" s="143">
        <f t="shared" si="1"/>
        <v>161.96646770374667</v>
      </c>
      <c r="E16" s="51" t="s">
        <v>56</v>
      </c>
      <c r="F16" s="63" t="s">
        <v>48</v>
      </c>
      <c r="G16" s="53">
        <v>4.6300000000000001E-2</v>
      </c>
      <c r="H16" s="53">
        <v>3.9199999999999999E-2</v>
      </c>
      <c r="I16" s="79">
        <f t="shared" si="0"/>
        <v>-0.1533477321814255</v>
      </c>
      <c r="K16" s="51" t="s">
        <v>56</v>
      </c>
      <c r="L16" s="53">
        <v>3.9199999999999999E-2</v>
      </c>
      <c r="N16" s="246">
        <v>157.25938409808953</v>
      </c>
    </row>
    <row r="17" spans="1:14" ht="16">
      <c r="A17" s="5" t="s">
        <v>124</v>
      </c>
      <c r="B17" s="248">
        <v>181.85445364897558</v>
      </c>
      <c r="C17" s="143">
        <f t="shared" si="1"/>
        <v>187.29771620717625</v>
      </c>
      <c r="E17" s="51" t="s">
        <v>98</v>
      </c>
      <c r="F17" s="63" t="s">
        <v>80</v>
      </c>
      <c r="G17" s="53">
        <v>1.24E-2</v>
      </c>
      <c r="H17" s="53">
        <v>1.11E-2</v>
      </c>
      <c r="I17" s="79">
        <f t="shared" si="0"/>
        <v>-0.10483870967741926</v>
      </c>
      <c r="K17" s="51" t="s">
        <v>98</v>
      </c>
      <c r="L17" s="53">
        <v>1.11E-2</v>
      </c>
      <c r="N17" s="246">
        <v>181.85445364897558</v>
      </c>
    </row>
    <row r="18" spans="1:14" ht="16">
      <c r="A18" s="8" t="s">
        <v>346</v>
      </c>
      <c r="B18" s="248">
        <v>991.25583341449794</v>
      </c>
      <c r="C18" s="143">
        <f t="shared" si="1"/>
        <v>1020.926076047313</v>
      </c>
      <c r="E18" s="51" t="s">
        <v>178</v>
      </c>
      <c r="F18" s="63" t="s">
        <v>80</v>
      </c>
      <c r="G18" s="53">
        <v>5.5999999999999999E-3</v>
      </c>
      <c r="H18" s="53">
        <v>7.4000000000000003E-3</v>
      </c>
      <c r="I18" s="79">
        <f t="shared" si="0"/>
        <v>0.3214285714285714</v>
      </c>
      <c r="K18" s="51" t="s">
        <v>178</v>
      </c>
      <c r="L18" s="53">
        <v>7.4000000000000003E-3</v>
      </c>
      <c r="N18" s="246">
        <v>991.25583341449794</v>
      </c>
    </row>
    <row r="19" spans="1:14" ht="16">
      <c r="A19" s="5" t="s">
        <v>100</v>
      </c>
      <c r="B19" s="248">
        <v>619.34856959958495</v>
      </c>
      <c r="C19" s="143">
        <f t="shared" si="1"/>
        <v>637.8868941318176</v>
      </c>
      <c r="E19" s="51" t="s">
        <v>101</v>
      </c>
      <c r="F19" s="63" t="s">
        <v>41</v>
      </c>
      <c r="G19" s="53">
        <v>4.7000000000000002E-3</v>
      </c>
      <c r="H19" s="53">
        <v>4.7000000000000002E-3</v>
      </c>
      <c r="I19" s="79">
        <f t="shared" si="0"/>
        <v>0</v>
      </c>
      <c r="K19" s="51" t="s">
        <v>101</v>
      </c>
      <c r="L19" s="53">
        <v>4.7000000000000002E-3</v>
      </c>
      <c r="N19" s="246">
        <v>619.34856959958495</v>
      </c>
    </row>
    <row r="20" spans="1:14" ht="16">
      <c r="A20" s="8" t="s">
        <v>58</v>
      </c>
      <c r="B20" s="248">
        <v>743.81452762982644</v>
      </c>
      <c r="C20" s="143">
        <f t="shared" si="1"/>
        <v>766.07836383099152</v>
      </c>
      <c r="E20" s="51" t="s">
        <v>102</v>
      </c>
      <c r="F20" s="63" t="s">
        <v>47</v>
      </c>
      <c r="G20" s="53">
        <v>1.5E-3</v>
      </c>
      <c r="H20" s="53">
        <v>1.5E-3</v>
      </c>
      <c r="I20" s="79">
        <f t="shared" si="0"/>
        <v>0</v>
      </c>
      <c r="K20" s="51" t="s">
        <v>102</v>
      </c>
      <c r="L20" s="53">
        <v>1.5E-3</v>
      </c>
      <c r="N20" s="246">
        <v>743.81452762982644</v>
      </c>
    </row>
    <row r="21" spans="1:14" ht="16">
      <c r="A21" s="8" t="s">
        <v>62</v>
      </c>
      <c r="B21" s="248">
        <v>825.79809279944664</v>
      </c>
      <c r="C21" s="143">
        <f t="shared" si="1"/>
        <v>850.51585884242343</v>
      </c>
      <c r="E21" s="51" t="s">
        <v>470</v>
      </c>
      <c r="F21" s="63" t="s">
        <v>45</v>
      </c>
      <c r="G21" s="53">
        <v>1.3100000000000001E-2</v>
      </c>
      <c r="H21" s="53">
        <v>1.3299999999999999E-2</v>
      </c>
      <c r="I21" s="79">
        <f t="shared" si="0"/>
        <v>1.5267175572518887E-2</v>
      </c>
      <c r="K21" s="51" t="s">
        <v>470</v>
      </c>
      <c r="L21" s="53">
        <v>1.3299999999999999E-2</v>
      </c>
      <c r="N21" s="246">
        <v>825.79809279944664</v>
      </c>
    </row>
    <row r="22" spans="1:14" ht="16">
      <c r="A22" s="133" t="s">
        <v>277</v>
      </c>
      <c r="B22" s="30" t="s">
        <v>143</v>
      </c>
      <c r="C22" s="213" t="s">
        <v>143</v>
      </c>
      <c r="E22" s="51" t="s">
        <v>104</v>
      </c>
      <c r="F22" s="63" t="s">
        <v>62</v>
      </c>
      <c r="G22" s="53">
        <v>7.3499999999999996E-2</v>
      </c>
      <c r="H22" s="211">
        <v>7.5700000000000003E-2</v>
      </c>
      <c r="I22" s="79">
        <f t="shared" si="0"/>
        <v>2.9931972789115857E-2</v>
      </c>
      <c r="K22" s="204" t="s">
        <v>104</v>
      </c>
      <c r="L22" s="211">
        <v>7.5700000000000003E-2</v>
      </c>
      <c r="N22" t="s">
        <v>143</v>
      </c>
    </row>
    <row r="23" spans="1:14" ht="16">
      <c r="E23" s="51" t="s">
        <v>105</v>
      </c>
      <c r="F23" s="63" t="s">
        <v>49</v>
      </c>
      <c r="G23" s="53">
        <v>3.9100000000000003E-2</v>
      </c>
      <c r="H23" s="53">
        <v>5.74E-2</v>
      </c>
      <c r="I23" s="79">
        <f t="shared" si="0"/>
        <v>0.46803069053708435</v>
      </c>
      <c r="K23" s="210" t="s">
        <v>105</v>
      </c>
      <c r="L23" s="53">
        <v>5.74E-2</v>
      </c>
    </row>
    <row r="24" spans="1:14" ht="16">
      <c r="E24" s="51" t="s">
        <v>31</v>
      </c>
      <c r="F24" s="63" t="s">
        <v>78</v>
      </c>
      <c r="G24" s="53">
        <v>4.9000000000000002E-2</v>
      </c>
      <c r="H24" s="53">
        <v>0.18329999999999999</v>
      </c>
      <c r="I24" s="79">
        <f t="shared" si="0"/>
        <v>2.740816326530612</v>
      </c>
      <c r="K24" s="141" t="s">
        <v>31</v>
      </c>
      <c r="L24" s="53">
        <v>0.18329999999999999</v>
      </c>
    </row>
    <row r="25" spans="1:14" ht="16">
      <c r="E25" s="51" t="s">
        <v>106</v>
      </c>
      <c r="F25" s="63" t="s">
        <v>41</v>
      </c>
      <c r="G25" s="53">
        <v>8.0999999999999996E-3</v>
      </c>
      <c r="H25" s="53">
        <v>8.5000000000000006E-3</v>
      </c>
      <c r="I25" s="79">
        <f t="shared" si="0"/>
        <v>4.9382716049382935E-2</v>
      </c>
      <c r="K25" s="51" t="s">
        <v>106</v>
      </c>
      <c r="L25" s="53">
        <v>8.5000000000000006E-3</v>
      </c>
    </row>
    <row r="26" spans="1:14" ht="16">
      <c r="E26" s="51" t="s">
        <v>179</v>
      </c>
      <c r="F26" s="63" t="s">
        <v>44</v>
      </c>
      <c r="G26" s="53">
        <v>1.6999999999999999E-3</v>
      </c>
      <c r="H26" s="53">
        <v>2E-3</v>
      </c>
      <c r="I26" s="79">
        <f t="shared" si="0"/>
        <v>0.17647058823529416</v>
      </c>
      <c r="K26" s="51" t="s">
        <v>179</v>
      </c>
      <c r="L26" s="53">
        <v>2E-3</v>
      </c>
    </row>
    <row r="27" spans="1:14" ht="16">
      <c r="E27" s="51" t="s">
        <v>180</v>
      </c>
      <c r="F27" s="63" t="s">
        <v>45</v>
      </c>
      <c r="G27" s="53">
        <v>3.8E-3</v>
      </c>
      <c r="H27" s="53">
        <v>3.3999999999999998E-3</v>
      </c>
      <c r="I27" s="79">
        <f t="shared" si="0"/>
        <v>-0.10526315789473684</v>
      </c>
      <c r="K27" s="51" t="s">
        <v>180</v>
      </c>
      <c r="L27" s="53">
        <v>3.3999999999999998E-3</v>
      </c>
    </row>
    <row r="28" spans="1:14" ht="16">
      <c r="E28" s="51" t="s">
        <v>181</v>
      </c>
      <c r="F28" s="63" t="s">
        <v>47</v>
      </c>
      <c r="G28" s="53">
        <v>2E-3</v>
      </c>
      <c r="H28" s="53">
        <v>1.8E-3</v>
      </c>
      <c r="I28" s="79">
        <f t="shared" si="0"/>
        <v>-0.10000000000000009</v>
      </c>
      <c r="K28" s="51" t="s">
        <v>181</v>
      </c>
      <c r="L28" s="53">
        <v>1.8E-3</v>
      </c>
    </row>
    <row r="29" spans="1:14" ht="16">
      <c r="E29" s="51" t="s">
        <v>182</v>
      </c>
      <c r="F29" s="63" t="s">
        <v>48</v>
      </c>
      <c r="G29" s="53">
        <v>1.18E-2</v>
      </c>
      <c r="H29" s="53">
        <v>1.6899999999999998E-2</v>
      </c>
      <c r="I29" s="79">
        <f t="shared" si="0"/>
        <v>0.43220338983050843</v>
      </c>
      <c r="K29" s="51" t="s">
        <v>182</v>
      </c>
      <c r="L29" s="53">
        <v>1.6899999999999998E-2</v>
      </c>
    </row>
    <row r="30" spans="1:14" ht="16">
      <c r="E30" s="51" t="s">
        <v>107</v>
      </c>
      <c r="F30" s="63" t="s">
        <v>79</v>
      </c>
      <c r="G30" s="53">
        <v>1.5699999999999999E-2</v>
      </c>
      <c r="H30" s="53">
        <v>2.06E-2</v>
      </c>
      <c r="I30" s="79">
        <f t="shared" si="0"/>
        <v>0.31210191082802563</v>
      </c>
      <c r="K30" s="141" t="s">
        <v>482</v>
      </c>
      <c r="L30" s="53">
        <v>2.06E-2</v>
      </c>
    </row>
    <row r="31" spans="1:14" ht="16">
      <c r="E31" s="51" t="s">
        <v>59</v>
      </c>
      <c r="F31" s="63" t="s">
        <v>45</v>
      </c>
      <c r="G31" s="53">
        <v>4.1999999999999997E-3</v>
      </c>
      <c r="H31" s="53">
        <v>4.1000000000000003E-3</v>
      </c>
      <c r="I31" s="79">
        <f t="shared" si="0"/>
        <v>-2.3809523809523614E-2</v>
      </c>
      <c r="K31" s="51" t="s">
        <v>59</v>
      </c>
      <c r="L31" s="53">
        <v>4.1000000000000003E-3</v>
      </c>
    </row>
    <row r="32" spans="1:14" ht="16">
      <c r="E32" s="51" t="s">
        <v>109</v>
      </c>
      <c r="F32" s="63" t="s">
        <v>124</v>
      </c>
      <c r="G32" s="53">
        <v>8.6E-3</v>
      </c>
      <c r="H32" s="53">
        <v>6.8999999999999999E-3</v>
      </c>
      <c r="I32" s="79">
        <f t="shared" si="0"/>
        <v>-0.19767441860465118</v>
      </c>
      <c r="K32" s="51" t="s">
        <v>109</v>
      </c>
      <c r="L32" s="53">
        <v>6.8999999999999999E-3</v>
      </c>
    </row>
    <row r="33" spans="5:12" ht="16">
      <c r="E33" s="51" t="s">
        <v>110</v>
      </c>
      <c r="F33" s="63" t="s">
        <v>43</v>
      </c>
      <c r="G33" s="53">
        <v>6.7999999999999996E-3</v>
      </c>
      <c r="H33" s="53">
        <v>7.3000000000000001E-3</v>
      </c>
      <c r="I33" s="79">
        <f t="shared" si="0"/>
        <v>7.3529411764705843E-2</v>
      </c>
      <c r="K33" s="51" t="s">
        <v>110</v>
      </c>
      <c r="L33" s="53">
        <v>7.3000000000000001E-3</v>
      </c>
    </row>
    <row r="34" spans="5:12" ht="16">
      <c r="E34" s="51" t="s">
        <v>111</v>
      </c>
      <c r="F34" s="63" t="s">
        <v>83</v>
      </c>
      <c r="G34" s="53">
        <v>1.2800000000000001E-2</v>
      </c>
      <c r="H34" s="53">
        <v>1.44E-2</v>
      </c>
      <c r="I34" s="79">
        <f t="shared" si="0"/>
        <v>0.125</v>
      </c>
      <c r="K34" s="51" t="s">
        <v>111</v>
      </c>
      <c r="L34" s="53">
        <v>1.44E-2</v>
      </c>
    </row>
    <row r="35" spans="5:12" ht="16">
      <c r="E35" s="51" t="s">
        <v>112</v>
      </c>
      <c r="F35" s="63" t="s">
        <v>83</v>
      </c>
      <c r="G35" s="53">
        <v>1.38E-2</v>
      </c>
      <c r="H35" s="53">
        <v>1.3599999999999999E-2</v>
      </c>
      <c r="I35" s="79">
        <f t="shared" si="0"/>
        <v>-1.449275362318847E-2</v>
      </c>
      <c r="K35" s="51" t="s">
        <v>112</v>
      </c>
      <c r="L35" s="53">
        <v>1.3599999999999999E-2</v>
      </c>
    </row>
    <row r="36" spans="5:12" ht="16">
      <c r="E36" s="51" t="s">
        <v>331</v>
      </c>
      <c r="F36" s="63" t="s">
        <v>100</v>
      </c>
      <c r="G36" s="53">
        <v>5.5500000000000001E-2</v>
      </c>
      <c r="H36" s="53">
        <v>5.6300000000000003E-2</v>
      </c>
      <c r="I36" s="79">
        <f t="shared" si="0"/>
        <v>1.4414414414414489E-2</v>
      </c>
      <c r="K36" s="141" t="s">
        <v>331</v>
      </c>
      <c r="L36" s="53">
        <v>5.6300000000000003E-2</v>
      </c>
    </row>
    <row r="37" spans="5:12" ht="16">
      <c r="E37" s="51" t="s">
        <v>183</v>
      </c>
      <c r="F37" s="63" t="s">
        <v>42</v>
      </c>
      <c r="G37" s="53">
        <v>2.8E-3</v>
      </c>
      <c r="H37" s="53">
        <v>2.7000000000000001E-3</v>
      </c>
      <c r="I37" s="79">
        <f t="shared" si="0"/>
        <v>-3.5714285714285698E-2</v>
      </c>
      <c r="K37" s="51" t="s">
        <v>183</v>
      </c>
      <c r="L37" s="53">
        <v>2.7000000000000001E-3</v>
      </c>
    </row>
    <row r="38" spans="5:12" ht="16">
      <c r="E38" s="51" t="s">
        <v>114</v>
      </c>
      <c r="F38" s="63" t="s">
        <v>41</v>
      </c>
      <c r="G38" s="53">
        <v>7.0000000000000001E-3</v>
      </c>
      <c r="H38" s="53">
        <v>7.1999999999999998E-3</v>
      </c>
      <c r="I38" s="79">
        <f t="shared" si="0"/>
        <v>2.857142857142847E-2</v>
      </c>
      <c r="K38" s="51" t="s">
        <v>114</v>
      </c>
      <c r="L38" s="53">
        <v>7.1999999999999998E-3</v>
      </c>
    </row>
    <row r="39" spans="5:12" ht="16">
      <c r="E39" s="51" t="s">
        <v>145</v>
      </c>
      <c r="F39" s="63" t="s">
        <v>124</v>
      </c>
      <c r="G39" s="53">
        <v>1.1900000000000001E-2</v>
      </c>
      <c r="H39" s="53">
        <v>1.41E-2</v>
      </c>
      <c r="I39" s="79">
        <f t="shared" si="0"/>
        <v>0.18487394957983172</v>
      </c>
      <c r="K39" s="51" t="s">
        <v>145</v>
      </c>
      <c r="L39" s="53">
        <v>1.41E-2</v>
      </c>
    </row>
    <row r="40" spans="5:12" ht="16">
      <c r="E40" s="51" t="s">
        <v>116</v>
      </c>
      <c r="F40" s="63" t="s">
        <v>41</v>
      </c>
      <c r="G40" s="53">
        <v>3.3E-3</v>
      </c>
      <c r="H40" s="53">
        <v>3.3E-3</v>
      </c>
      <c r="I40" s="79">
        <f t="shared" si="0"/>
        <v>0</v>
      </c>
      <c r="K40" s="51" t="s">
        <v>116</v>
      </c>
      <c r="L40" s="53">
        <v>3.3E-3</v>
      </c>
    </row>
    <row r="41" spans="5:12" ht="16">
      <c r="E41" s="51" t="s">
        <v>118</v>
      </c>
      <c r="F41" s="63" t="s">
        <v>124</v>
      </c>
      <c r="G41" s="53">
        <v>9.7000000000000003E-3</v>
      </c>
      <c r="H41" s="53">
        <v>9.9000000000000008E-3</v>
      </c>
      <c r="I41" s="79">
        <f t="shared" si="0"/>
        <v>2.0618556701031077E-2</v>
      </c>
      <c r="K41" s="51" t="s">
        <v>118</v>
      </c>
      <c r="L41" s="53">
        <v>9.9000000000000008E-3</v>
      </c>
    </row>
    <row r="42" spans="5:12" ht="16">
      <c r="E42" s="51" t="s">
        <v>184</v>
      </c>
      <c r="F42" s="63" t="s">
        <v>49</v>
      </c>
      <c r="G42" s="53">
        <v>3.4000000000000002E-2</v>
      </c>
      <c r="H42" s="53">
        <v>4.4400000000000002E-2</v>
      </c>
      <c r="I42" s="79">
        <f t="shared" si="0"/>
        <v>0.30588235294117649</v>
      </c>
      <c r="K42" s="141" t="s">
        <v>184</v>
      </c>
      <c r="L42" s="53">
        <v>4.4400000000000002E-2</v>
      </c>
    </row>
    <row r="43" spans="5:12" ht="16">
      <c r="E43" s="51" t="s">
        <v>119</v>
      </c>
      <c r="F43" s="63" t="s">
        <v>45</v>
      </c>
      <c r="G43" s="53">
        <v>3.3999999999999998E-3</v>
      </c>
      <c r="H43" s="53">
        <v>3.5000000000000001E-3</v>
      </c>
      <c r="I43" s="79">
        <f t="shared" si="0"/>
        <v>2.941176470588247E-2</v>
      </c>
      <c r="K43" s="51" t="s">
        <v>119</v>
      </c>
      <c r="L43" s="53">
        <v>3.5000000000000001E-3</v>
      </c>
    </row>
    <row r="44" spans="5:12" ht="16">
      <c r="E44" s="51" t="s">
        <v>120</v>
      </c>
      <c r="F44" s="63" t="s">
        <v>45</v>
      </c>
      <c r="G44" s="53">
        <v>9.4000000000000004E-3</v>
      </c>
      <c r="H44" s="53">
        <v>8.6E-3</v>
      </c>
      <c r="I44" s="79">
        <f t="shared" si="0"/>
        <v>-8.5106382978723416E-2</v>
      </c>
      <c r="K44" s="51" t="s">
        <v>120</v>
      </c>
      <c r="L44" s="53">
        <v>8.6E-3</v>
      </c>
    </row>
    <row r="45" spans="5:12" ht="16">
      <c r="E45" s="51" t="s">
        <v>121</v>
      </c>
      <c r="F45" s="63" t="s">
        <v>43</v>
      </c>
      <c r="G45" s="53">
        <v>8.9999999999999993E-3</v>
      </c>
      <c r="H45" s="53">
        <v>7.4000000000000003E-3</v>
      </c>
      <c r="I45" s="79">
        <f t="shared" si="0"/>
        <v>-0.1777777777777777</v>
      </c>
      <c r="K45" s="51" t="s">
        <v>121</v>
      </c>
      <c r="L45" s="53">
        <v>7.4000000000000003E-3</v>
      </c>
    </row>
    <row r="46" spans="5:12" ht="16">
      <c r="E46" s="51" t="s">
        <v>13</v>
      </c>
      <c r="F46" s="63" t="s">
        <v>43</v>
      </c>
      <c r="G46" s="53">
        <v>8.6E-3</v>
      </c>
      <c r="H46" s="53">
        <v>7.9000000000000008E-3</v>
      </c>
      <c r="I46" s="79">
        <f t="shared" si="0"/>
        <v>-8.1395348837209225E-2</v>
      </c>
      <c r="K46" s="51" t="s">
        <v>13</v>
      </c>
      <c r="L46" s="53">
        <v>7.9000000000000008E-3</v>
      </c>
    </row>
    <row r="47" spans="5:12" ht="16">
      <c r="E47" s="51" t="s">
        <v>14</v>
      </c>
      <c r="F47" s="63" t="s">
        <v>43</v>
      </c>
      <c r="G47" s="53">
        <v>7.9000000000000008E-3</v>
      </c>
      <c r="H47" s="53">
        <v>8.0999999999999996E-3</v>
      </c>
      <c r="I47" s="79">
        <f t="shared" si="0"/>
        <v>2.5316455696202445E-2</v>
      </c>
      <c r="K47" s="51" t="s">
        <v>14</v>
      </c>
      <c r="L47" s="53">
        <v>8.0999999999999996E-3</v>
      </c>
    </row>
    <row r="48" spans="5:12" ht="16">
      <c r="E48" s="51" t="s">
        <v>16</v>
      </c>
      <c r="F48" s="63" t="s">
        <v>43</v>
      </c>
      <c r="G48" s="53">
        <v>1.5800000000000002E-2</v>
      </c>
      <c r="H48" s="53">
        <v>1.5800000000000002E-2</v>
      </c>
      <c r="I48" s="79">
        <f t="shared" si="0"/>
        <v>0</v>
      </c>
      <c r="K48" s="51" t="s">
        <v>16</v>
      </c>
      <c r="L48" s="53">
        <v>1.5800000000000002E-2</v>
      </c>
    </row>
    <row r="49" spans="5:12" ht="16">
      <c r="E49" s="51" t="s">
        <v>18</v>
      </c>
      <c r="F49" s="63" t="s">
        <v>79</v>
      </c>
      <c r="G49" s="53">
        <v>1.3299999999999999E-2</v>
      </c>
      <c r="H49" s="53">
        <v>1.32E-2</v>
      </c>
      <c r="I49" s="79">
        <f t="shared" si="0"/>
        <v>-7.5187969924811471E-3</v>
      </c>
      <c r="K49" s="51" t="s">
        <v>18</v>
      </c>
      <c r="L49" s="53">
        <v>1.32E-2</v>
      </c>
    </row>
    <row r="50" spans="5:12" ht="16">
      <c r="E50" s="51" t="s">
        <v>187</v>
      </c>
      <c r="F50" s="63" t="s">
        <v>47</v>
      </c>
      <c r="G50" s="53">
        <v>1.6000000000000001E-3</v>
      </c>
      <c r="H50" s="53">
        <v>1.9E-3</v>
      </c>
      <c r="I50" s="79">
        <f t="shared" si="0"/>
        <v>0.1875</v>
      </c>
      <c r="K50" s="51" t="s">
        <v>187</v>
      </c>
      <c r="L50" s="53">
        <v>2.86E-2</v>
      </c>
    </row>
    <row r="51" spans="5:12" ht="16">
      <c r="E51" s="51" t="s">
        <v>21</v>
      </c>
      <c r="F51" s="63" t="s">
        <v>47</v>
      </c>
      <c r="G51" s="53">
        <v>2.3999999999999998E-3</v>
      </c>
      <c r="H51" s="53">
        <v>2.0999999999999999E-3</v>
      </c>
      <c r="I51" s="79">
        <f t="shared" si="0"/>
        <v>-0.125</v>
      </c>
      <c r="K51" s="51" t="s">
        <v>21</v>
      </c>
      <c r="L51" s="53">
        <v>2.0999999999999999E-3</v>
      </c>
    </row>
    <row r="52" spans="5:12" ht="16">
      <c r="E52" s="51" t="s">
        <v>22</v>
      </c>
      <c r="F52" s="63" t="s">
        <v>78</v>
      </c>
      <c r="G52" s="211">
        <v>3.7900000000000003E-2</v>
      </c>
      <c r="H52" s="211">
        <v>4.36E-2</v>
      </c>
      <c r="I52" s="79">
        <f t="shared" si="0"/>
        <v>0.15039577836411611</v>
      </c>
      <c r="K52" s="204" t="s">
        <v>22</v>
      </c>
      <c r="L52" s="211">
        <v>4.36E-2</v>
      </c>
    </row>
    <row r="53" spans="5:12" ht="16">
      <c r="E53" s="51" t="s">
        <v>188</v>
      </c>
      <c r="F53" s="63" t="s">
        <v>49</v>
      </c>
      <c r="G53" s="53">
        <v>3.8399999999999997E-2</v>
      </c>
      <c r="H53" s="53">
        <v>5.5300000000000002E-2</v>
      </c>
      <c r="I53" s="79">
        <f t="shared" si="0"/>
        <v>0.44010416666666674</v>
      </c>
      <c r="K53" s="51" t="s">
        <v>188</v>
      </c>
      <c r="L53" s="53">
        <v>5.5300000000000002E-2</v>
      </c>
    </row>
    <row r="54" spans="5:12" ht="16">
      <c r="E54" s="51" t="s">
        <v>23</v>
      </c>
      <c r="F54" s="63" t="s">
        <v>47</v>
      </c>
      <c r="G54" s="53">
        <v>1.9E-3</v>
      </c>
      <c r="H54" s="53">
        <v>1.9E-3</v>
      </c>
      <c r="I54" s="79">
        <f t="shared" si="0"/>
        <v>0</v>
      </c>
      <c r="K54" s="51" t="s">
        <v>23</v>
      </c>
      <c r="L54" s="53">
        <v>1.9E-3</v>
      </c>
    </row>
    <row r="55" spans="5:12" ht="16">
      <c r="E55" s="51" t="s">
        <v>24</v>
      </c>
      <c r="F55" s="63" t="s">
        <v>79</v>
      </c>
      <c r="G55" s="53">
        <v>2.8799999999999999E-2</v>
      </c>
      <c r="H55" s="53">
        <v>3.1899999999999998E-2</v>
      </c>
      <c r="I55" s="79">
        <f t="shared" si="0"/>
        <v>0.10763888888888884</v>
      </c>
      <c r="K55" s="141" t="s">
        <v>24</v>
      </c>
      <c r="L55" s="53">
        <v>3.1899999999999998E-2</v>
      </c>
    </row>
    <row r="56" spans="5:12" ht="16">
      <c r="E56" s="51" t="s">
        <v>25</v>
      </c>
      <c r="F56" s="63" t="s">
        <v>78</v>
      </c>
      <c r="G56" s="53">
        <v>3.7699999999999997E-2</v>
      </c>
      <c r="H56" s="53">
        <v>3.6700000000000003E-2</v>
      </c>
      <c r="I56" s="79">
        <f t="shared" si="0"/>
        <v>-2.6525198938991856E-2</v>
      </c>
      <c r="K56" s="51" t="s">
        <v>25</v>
      </c>
      <c r="L56" s="53">
        <v>3.6700000000000003E-2</v>
      </c>
    </row>
    <row r="57" spans="5:12" ht="16">
      <c r="E57" s="51" t="s">
        <v>26</v>
      </c>
      <c r="F57" s="63" t="s">
        <v>82</v>
      </c>
      <c r="G57" s="53">
        <v>1.1299999999999999E-2</v>
      </c>
      <c r="H57" s="53">
        <v>1.26E-2</v>
      </c>
      <c r="I57" s="79">
        <f t="shared" si="0"/>
        <v>0.1150442477876108</v>
      </c>
      <c r="K57" s="51" t="s">
        <v>26</v>
      </c>
      <c r="L57" s="53">
        <v>1.26E-2</v>
      </c>
    </row>
    <row r="58" spans="5:12" ht="16">
      <c r="E58" s="51" t="s">
        <v>28</v>
      </c>
      <c r="F58" s="63" t="s">
        <v>43</v>
      </c>
      <c r="G58" s="53">
        <v>1.3599999999999999E-2</v>
      </c>
      <c r="H58" s="53">
        <v>1.3100000000000001E-2</v>
      </c>
      <c r="I58" s="79">
        <f t="shared" si="0"/>
        <v>-3.6764705882352811E-2</v>
      </c>
      <c r="K58" s="51" t="s">
        <v>28</v>
      </c>
      <c r="L58" s="53">
        <v>1.3100000000000001E-2</v>
      </c>
    </row>
    <row r="59" spans="5:12" ht="16">
      <c r="E59" s="51" t="s">
        <v>29</v>
      </c>
      <c r="F59" s="63" t="s">
        <v>83</v>
      </c>
      <c r="G59" s="53">
        <v>7.6E-3</v>
      </c>
      <c r="H59" s="53">
        <v>9.1999999999999998E-3</v>
      </c>
      <c r="I59" s="79">
        <f t="shared" si="0"/>
        <v>0.21052631578947367</v>
      </c>
      <c r="K59" s="51" t="s">
        <v>29</v>
      </c>
      <c r="L59" s="53">
        <v>9.1999999999999998E-3</v>
      </c>
    </row>
    <row r="60" spans="5:12" ht="16">
      <c r="E60" s="51" t="s">
        <v>30</v>
      </c>
      <c r="F60" s="63" t="s">
        <v>42</v>
      </c>
      <c r="G60" s="53">
        <v>7.4999999999999997E-3</v>
      </c>
      <c r="H60" s="53">
        <v>6.7999999999999996E-3</v>
      </c>
      <c r="I60" s="79">
        <f t="shared" si="0"/>
        <v>-9.3333333333333379E-2</v>
      </c>
      <c r="K60" s="51" t="s">
        <v>30</v>
      </c>
      <c r="L60" s="53">
        <v>6.7999999999999996E-3</v>
      </c>
    </row>
    <row r="61" spans="5:12" ht="16">
      <c r="E61" s="51" t="s">
        <v>189</v>
      </c>
      <c r="F61" s="63" t="s">
        <v>124</v>
      </c>
      <c r="G61" s="53">
        <v>5.4000000000000003E-3</v>
      </c>
      <c r="H61" s="53">
        <v>5.5999999999999999E-3</v>
      </c>
      <c r="I61" s="79">
        <f t="shared" si="0"/>
        <v>3.7037037037036979E-2</v>
      </c>
      <c r="K61" s="51" t="s">
        <v>189</v>
      </c>
      <c r="L61" s="53">
        <v>5.5999999999999999E-3</v>
      </c>
    </row>
    <row r="62" spans="5:12" ht="16">
      <c r="E62" s="51" t="s">
        <v>74</v>
      </c>
      <c r="F62" s="63" t="s">
        <v>46</v>
      </c>
      <c r="G62" s="53">
        <v>7.1000000000000004E-3</v>
      </c>
      <c r="H62" s="53">
        <v>7.4000000000000003E-3</v>
      </c>
      <c r="I62" s="79">
        <f t="shared" si="0"/>
        <v>4.2253521126760507E-2</v>
      </c>
      <c r="K62" s="51" t="s">
        <v>74</v>
      </c>
      <c r="L62" s="53">
        <v>7.4000000000000003E-3</v>
      </c>
    </row>
    <row r="63" spans="5:12" ht="16">
      <c r="E63" s="51" t="s">
        <v>0</v>
      </c>
      <c r="F63" s="63" t="s">
        <v>124</v>
      </c>
      <c r="G63" s="53">
        <v>1.1900000000000001E-2</v>
      </c>
      <c r="H63" s="53">
        <v>1.24E-2</v>
      </c>
      <c r="I63" s="79">
        <f t="shared" si="0"/>
        <v>4.2016806722688926E-2</v>
      </c>
      <c r="K63" s="51" t="s">
        <v>0</v>
      </c>
      <c r="L63" s="53">
        <v>1.24E-2</v>
      </c>
    </row>
    <row r="64" spans="5:12" ht="16">
      <c r="E64" s="51" t="s">
        <v>1</v>
      </c>
      <c r="F64" s="63" t="s">
        <v>124</v>
      </c>
      <c r="G64" s="53">
        <v>1.35E-2</v>
      </c>
      <c r="H64" s="53">
        <v>1.7000000000000001E-2</v>
      </c>
      <c r="I64" s="79">
        <f t="shared" si="0"/>
        <v>0.2592592592592593</v>
      </c>
      <c r="K64" s="51" t="s">
        <v>1</v>
      </c>
      <c r="L64" s="53">
        <v>1.7000000000000001E-2</v>
      </c>
    </row>
    <row r="65" spans="5:12" ht="16">
      <c r="E65" s="51" t="s">
        <v>227</v>
      </c>
      <c r="F65" s="63" t="s">
        <v>49</v>
      </c>
      <c r="G65" s="53">
        <v>2.5600000000000001E-2</v>
      </c>
      <c r="H65" s="53">
        <v>3.3599999999999998E-2</v>
      </c>
      <c r="I65" s="79">
        <f t="shared" si="0"/>
        <v>0.31249999999999978</v>
      </c>
      <c r="K65" s="141" t="s">
        <v>227</v>
      </c>
      <c r="L65" s="53">
        <v>3.3599999999999998E-2</v>
      </c>
    </row>
    <row r="66" spans="5:12" ht="16">
      <c r="E66" s="51" t="s">
        <v>2</v>
      </c>
      <c r="F66" s="63" t="s">
        <v>41</v>
      </c>
      <c r="G66" s="53">
        <v>0.01</v>
      </c>
      <c r="H66" s="53">
        <v>8.8000000000000005E-3</v>
      </c>
      <c r="I66" s="79">
        <f t="shared" si="0"/>
        <v>-0.12</v>
      </c>
      <c r="K66" s="51" t="s">
        <v>2</v>
      </c>
      <c r="L66" s="53">
        <v>8.8000000000000005E-3</v>
      </c>
    </row>
    <row r="67" spans="5:12" ht="16">
      <c r="E67" s="51" t="s">
        <v>135</v>
      </c>
      <c r="F67" s="63" t="s">
        <v>81</v>
      </c>
      <c r="G67" s="53">
        <v>2.5000000000000001E-2</v>
      </c>
      <c r="H67" s="53">
        <v>2.6599999999999999E-2</v>
      </c>
      <c r="I67" s="79">
        <f t="shared" si="0"/>
        <v>6.3999999999999835E-2</v>
      </c>
      <c r="K67" s="141" t="s">
        <v>135</v>
      </c>
      <c r="L67" s="53">
        <v>2.6599999999999999E-2</v>
      </c>
    </row>
    <row r="68" spans="5:12" ht="16">
      <c r="E68" s="51" t="s">
        <v>147</v>
      </c>
      <c r="F68" s="63" t="s">
        <v>81</v>
      </c>
      <c r="G68" s="53">
        <v>1.41E-2</v>
      </c>
      <c r="H68" s="53">
        <v>1.37E-2</v>
      </c>
      <c r="I68" s="79">
        <f t="shared" ref="I68:I82" si="2">IF(H68="NA","NA",H68/G68-1)</f>
        <v>-2.8368794326241065E-2</v>
      </c>
      <c r="K68" s="141" t="s">
        <v>147</v>
      </c>
      <c r="L68" s="53">
        <v>1.37E-2</v>
      </c>
    </row>
    <row r="69" spans="5:12" ht="16">
      <c r="E69" s="51" t="s">
        <v>61</v>
      </c>
      <c r="F69" s="63" t="s">
        <v>42</v>
      </c>
      <c r="G69" s="53">
        <v>6.7999999999999996E-3</v>
      </c>
      <c r="H69" s="53">
        <v>6.3E-3</v>
      </c>
      <c r="I69" s="79">
        <f t="shared" si="2"/>
        <v>-7.3529411764705843E-2</v>
      </c>
      <c r="K69" s="51" t="s">
        <v>61</v>
      </c>
      <c r="L69" s="53">
        <v>6.3E-3</v>
      </c>
    </row>
    <row r="70" spans="5:12" ht="16">
      <c r="E70" s="51" t="s">
        <v>190</v>
      </c>
      <c r="F70" s="63" t="s">
        <v>82</v>
      </c>
      <c r="G70" s="53">
        <v>1.0500000000000001E-2</v>
      </c>
      <c r="H70" s="53">
        <v>8.6999999999999994E-3</v>
      </c>
      <c r="I70" s="79">
        <f t="shared" si="2"/>
        <v>-0.17142857142857149</v>
      </c>
      <c r="K70" s="51" t="s">
        <v>190</v>
      </c>
      <c r="L70" s="53">
        <v>8.6999999999999994E-3</v>
      </c>
    </row>
    <row r="71" spans="5:12" ht="16">
      <c r="E71" s="51" t="s">
        <v>76</v>
      </c>
      <c r="F71" s="63" t="s">
        <v>124</v>
      </c>
      <c r="G71" s="53">
        <v>2.69E-2</v>
      </c>
      <c r="H71" s="53">
        <v>2.8500000000000001E-2</v>
      </c>
      <c r="I71" s="79">
        <f t="shared" si="2"/>
        <v>5.9479553903345694E-2</v>
      </c>
      <c r="K71" s="51" t="s">
        <v>76</v>
      </c>
      <c r="L71" s="53">
        <v>2.8500000000000001E-2</v>
      </c>
    </row>
    <row r="72" spans="5:12" ht="16">
      <c r="E72" s="51" t="s">
        <v>138</v>
      </c>
      <c r="F72" s="63" t="s">
        <v>82</v>
      </c>
      <c r="G72" s="53">
        <v>5.7999999999999996E-3</v>
      </c>
      <c r="H72" s="53">
        <v>6.0000000000000001E-3</v>
      </c>
      <c r="I72" s="79">
        <f t="shared" si="2"/>
        <v>3.4482758620689724E-2</v>
      </c>
      <c r="K72" s="51" t="s">
        <v>138</v>
      </c>
      <c r="L72" s="53">
        <v>6.0000000000000001E-3</v>
      </c>
    </row>
    <row r="73" spans="5:12" ht="16">
      <c r="E73" s="51" t="s">
        <v>34</v>
      </c>
      <c r="F73" s="63" t="s">
        <v>47</v>
      </c>
      <c r="G73" s="53">
        <v>1.8E-3</v>
      </c>
      <c r="H73" s="53">
        <v>1.9E-3</v>
      </c>
      <c r="I73" s="79">
        <f t="shared" si="2"/>
        <v>5.555555555555558E-2</v>
      </c>
      <c r="K73" s="51" t="s">
        <v>34</v>
      </c>
      <c r="L73" s="53">
        <v>1.9E-3</v>
      </c>
    </row>
    <row r="74" spans="5:12" ht="16">
      <c r="E74" s="51" t="s">
        <v>35</v>
      </c>
      <c r="F74" s="63" t="s">
        <v>47</v>
      </c>
      <c r="G74" s="53">
        <v>1.1000000000000001E-3</v>
      </c>
      <c r="H74" s="53">
        <v>1.1000000000000001E-3</v>
      </c>
      <c r="I74" s="79">
        <f t="shared" si="2"/>
        <v>0</v>
      </c>
      <c r="K74" s="51" t="s">
        <v>35</v>
      </c>
      <c r="L74" s="53">
        <v>1.1000000000000001E-3</v>
      </c>
    </row>
    <row r="75" spans="5:12" ht="16">
      <c r="E75" s="51" t="s">
        <v>65</v>
      </c>
      <c r="F75" s="63" t="s">
        <v>82</v>
      </c>
      <c r="G75" s="53">
        <v>6.3E-3</v>
      </c>
      <c r="H75" s="53">
        <v>5.1999999999999998E-3</v>
      </c>
      <c r="I75" s="79">
        <f t="shared" si="2"/>
        <v>-0.17460317460317465</v>
      </c>
      <c r="K75" s="51" t="s">
        <v>65</v>
      </c>
      <c r="L75" s="53">
        <v>5.1999999999999998E-3</v>
      </c>
    </row>
    <row r="76" spans="5:12" ht="16">
      <c r="E76" s="51" t="s">
        <v>77</v>
      </c>
      <c r="F76" s="63" t="s">
        <v>49</v>
      </c>
      <c r="G76" s="53">
        <v>6.5100000000000005E-2</v>
      </c>
      <c r="H76" s="53">
        <v>8.8200000000000001E-2</v>
      </c>
      <c r="I76" s="79">
        <f t="shared" si="2"/>
        <v>0.35483870967741926</v>
      </c>
      <c r="K76" s="51" t="s">
        <v>77</v>
      </c>
      <c r="L76" s="53">
        <v>8.8200000000000001E-2</v>
      </c>
    </row>
    <row r="77" spans="5:12" ht="16">
      <c r="E77" s="51" t="s">
        <v>66</v>
      </c>
      <c r="F77" s="63" t="s">
        <v>48</v>
      </c>
      <c r="G77" s="53">
        <v>4.0300000000000002E-2</v>
      </c>
      <c r="H77" s="53">
        <v>5.5100000000000003E-2</v>
      </c>
      <c r="I77" s="79">
        <f t="shared" si="2"/>
        <v>0.36724565756823813</v>
      </c>
      <c r="K77" s="51" t="s">
        <v>66</v>
      </c>
      <c r="L77" s="53">
        <v>5.5100000000000003E-2</v>
      </c>
    </row>
    <row r="78" spans="5:12" ht="16">
      <c r="E78" s="51" t="s">
        <v>68</v>
      </c>
      <c r="F78" s="63" t="s">
        <v>100</v>
      </c>
      <c r="G78" s="53">
        <v>4.2599999999999999E-2</v>
      </c>
      <c r="H78" s="53">
        <v>6.1699999999999998E-2</v>
      </c>
      <c r="I78" s="79">
        <f t="shared" si="2"/>
        <v>0.44835680751173701</v>
      </c>
      <c r="K78" s="51" t="s">
        <v>68</v>
      </c>
      <c r="L78" s="53">
        <v>6.1699999999999998E-2</v>
      </c>
    </row>
    <row r="79" spans="5:12" ht="16">
      <c r="E79" s="51" t="s">
        <v>57</v>
      </c>
      <c r="F79" s="63" t="s">
        <v>45</v>
      </c>
      <c r="G79" s="53">
        <v>2.0999999999999999E-3</v>
      </c>
      <c r="H79" s="53">
        <v>1.8E-3</v>
      </c>
      <c r="I79" s="79">
        <f t="shared" si="2"/>
        <v>-0.14285714285714279</v>
      </c>
      <c r="K79" s="51" t="s">
        <v>57</v>
      </c>
      <c r="L79" s="53">
        <v>1.8E-3</v>
      </c>
    </row>
    <row r="80" spans="5:12" ht="16">
      <c r="E80" s="51" t="s">
        <v>356</v>
      </c>
      <c r="F80" s="63" t="s">
        <v>47</v>
      </c>
      <c r="G80" s="53">
        <v>1.8E-3</v>
      </c>
      <c r="H80" s="53">
        <v>1.9E-3</v>
      </c>
      <c r="I80" s="79">
        <f t="shared" si="2"/>
        <v>5.555555555555558E-2</v>
      </c>
      <c r="K80" s="51" t="s">
        <v>356</v>
      </c>
      <c r="L80" s="53">
        <v>1.9E-3</v>
      </c>
    </row>
    <row r="81" spans="5:12" ht="16">
      <c r="E81" s="51" t="s">
        <v>69</v>
      </c>
      <c r="F81" s="63" t="s">
        <v>83</v>
      </c>
      <c r="G81" s="53">
        <v>2.3400000000000001E-2</v>
      </c>
      <c r="H81" s="53">
        <v>1.46E-2</v>
      </c>
      <c r="I81" s="79">
        <f t="shared" si="2"/>
        <v>-0.37606837606837606</v>
      </c>
      <c r="K81" s="141" t="s">
        <v>69</v>
      </c>
      <c r="L81" s="53">
        <v>1.46E-2</v>
      </c>
    </row>
    <row r="82" spans="5:12" ht="16">
      <c r="E82" s="51" t="s">
        <v>71</v>
      </c>
      <c r="F82" s="63" t="s">
        <v>81</v>
      </c>
      <c r="G82" s="53">
        <v>1.6299999999999999E-2</v>
      </c>
      <c r="H82" s="53">
        <v>1.5599999999999999E-2</v>
      </c>
      <c r="I82" s="79">
        <f t="shared" si="2"/>
        <v>-4.2944785276073594E-2</v>
      </c>
      <c r="K82" s="51" t="s">
        <v>71</v>
      </c>
      <c r="L82" s="53">
        <v>1.5599999999999999E-2</v>
      </c>
    </row>
    <row r="83" spans="5:12" ht="16">
      <c r="E83" s="131" t="s">
        <v>148</v>
      </c>
      <c r="F83" s="131"/>
      <c r="G83"/>
      <c r="I83" s="132">
        <f>AVERAGE(I2:I82)</f>
        <v>9.4981557071190797E-2</v>
      </c>
    </row>
    <row r="84" spans="5:12" ht="16">
      <c r="E84" s="131" t="s">
        <v>149</v>
      </c>
      <c r="F84" s="131"/>
      <c r="G84"/>
      <c r="I84" s="132">
        <f>MEDIAN(I2:I82)</f>
        <v>2.9931972789115857E-2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8"/>
  <sheetViews>
    <sheetView topLeftCell="A115" workbookViewId="0">
      <selection activeCell="B101" sqref="B101"/>
    </sheetView>
  </sheetViews>
  <sheetFormatPr baseColWidth="10" defaultRowHeight="14"/>
  <cols>
    <col min="1" max="1" width="24.83203125" style="34" bestFit="1" customWidth="1"/>
    <col min="2" max="2" width="19" style="34" customWidth="1"/>
    <col min="3" max="3" width="19.33203125" style="136" customWidth="1"/>
    <col min="4" max="4" width="28.1640625" style="34" customWidth="1"/>
    <col min="8" max="8" width="19.6640625" customWidth="1"/>
    <col min="9" max="9" width="12.1640625" style="52" bestFit="1" customWidth="1"/>
    <col min="10" max="10" width="10.83203125" style="30"/>
  </cols>
  <sheetData>
    <row r="1" spans="1:5" ht="17">
      <c r="A1" s="73" t="s">
        <v>75</v>
      </c>
      <c r="B1" s="74" t="s">
        <v>271</v>
      </c>
      <c r="C1" s="134" t="s">
        <v>571</v>
      </c>
      <c r="D1" s="74" t="s">
        <v>302</v>
      </c>
      <c r="E1" s="81" t="s">
        <v>501</v>
      </c>
    </row>
    <row r="2" spans="1:5" ht="16">
      <c r="A2" s="51" t="str">
        <f>'Sovereign Ratings (Moody''s,S&amp;P)'!A2</f>
        <v>Abu Dhabi</v>
      </c>
      <c r="B2" s="63" t="str">
        <f>'Sovereign Ratings (Moody''s,S&amp;P)'!C2</f>
        <v>Aa2</v>
      </c>
      <c r="C2" s="135">
        <f>VLOOKUP(A2,$H$24:$J$110,2,FALSE)</f>
        <v>7.7000000000000002E-3</v>
      </c>
      <c r="D2" s="64">
        <f t="shared" ref="D2:D65" si="0">IF(C2="NA","NA",IF(C2&gt;$C$153,C2-$C$153,0))</f>
        <v>5.8000000000000005E-3</v>
      </c>
    </row>
    <row r="3" spans="1:5" ht="16">
      <c r="A3" s="51" t="str">
        <f>'Sovereign Ratings (Moody''s,S&amp;P)'!A3</f>
        <v>Albania</v>
      </c>
      <c r="B3" s="63" t="str">
        <f>'Sovereign Ratings (Moody''s,S&amp;P)'!C3</f>
        <v>B1</v>
      </c>
      <c r="C3" s="135" t="s">
        <v>143</v>
      </c>
      <c r="D3" s="64" t="str">
        <f t="shared" si="0"/>
        <v>NA</v>
      </c>
    </row>
    <row r="4" spans="1:5" ht="16">
      <c r="A4" s="51" t="str">
        <f>'Sovereign Ratings (Moody''s,S&amp;P)'!A4</f>
        <v>Andorra (Principality of)</v>
      </c>
      <c r="B4" s="63" t="str">
        <f>'Sovereign Ratings (Moody''s,S&amp;P)'!C4</f>
        <v>Baa2</v>
      </c>
      <c r="C4" s="135" t="s">
        <v>143</v>
      </c>
      <c r="D4" s="64" t="str">
        <f t="shared" si="0"/>
        <v>NA</v>
      </c>
    </row>
    <row r="5" spans="1:5" ht="16">
      <c r="A5" s="51" t="str">
        <f>'Sovereign Ratings (Moody''s,S&amp;P)'!A5</f>
        <v>Angola</v>
      </c>
      <c r="B5" s="63" t="str">
        <f>'Sovereign Ratings (Moody''s,S&amp;P)'!C5</f>
        <v>B3</v>
      </c>
      <c r="C5" s="135">
        <f t="shared" ref="C5:C66" si="1">VLOOKUP(A5,$H$24:$J$110,2,FALSE)</f>
        <v>5.9400000000000001E-2</v>
      </c>
      <c r="D5" s="64">
        <f t="shared" si="0"/>
        <v>5.7500000000000002E-2</v>
      </c>
    </row>
    <row r="6" spans="1:5" ht="16">
      <c r="A6" s="51" t="str">
        <f>'Sovereign Ratings (Moody''s,S&amp;P)'!A6</f>
        <v>Argentina</v>
      </c>
      <c r="B6" s="63" t="str">
        <f>'Sovereign Ratings (Moody''s,S&amp;P)'!C6</f>
        <v>Ca</v>
      </c>
      <c r="C6" s="135">
        <f t="shared" si="1"/>
        <v>0.23319999999999999</v>
      </c>
      <c r="D6" s="64">
        <f t="shared" si="0"/>
        <v>0.23129999999999998</v>
      </c>
    </row>
    <row r="7" spans="1:5" ht="16">
      <c r="A7" s="51" t="str">
        <f>'Sovereign Ratings (Moody''s,S&amp;P)'!A7</f>
        <v>Armenia</v>
      </c>
      <c r="B7" s="63" t="str">
        <f>'Sovereign Ratings (Moody''s,S&amp;P)'!C7</f>
        <v>Ba3</v>
      </c>
      <c r="C7" s="135" t="s">
        <v>143</v>
      </c>
      <c r="D7" s="64" t="str">
        <f t="shared" si="0"/>
        <v>NA</v>
      </c>
    </row>
    <row r="8" spans="1:5" ht="16">
      <c r="A8" s="51" t="str">
        <f>'Sovereign Ratings (Moody''s,S&amp;P)'!A8</f>
        <v>Aruba</v>
      </c>
      <c r="B8" s="63" t="str">
        <f>'Sovereign Ratings (Moody''s,S&amp;P)'!C8</f>
        <v>Baa2</v>
      </c>
      <c r="C8" s="135" t="s">
        <v>143</v>
      </c>
      <c r="D8" s="64" t="str">
        <f t="shared" si="0"/>
        <v>NA</v>
      </c>
    </row>
    <row r="9" spans="1:5" ht="16">
      <c r="A9" s="51" t="str">
        <f>'Sovereign Ratings (Moody''s,S&amp;P)'!A9</f>
        <v>Australia</v>
      </c>
      <c r="B9" s="63" t="str">
        <f>'Sovereign Ratings (Moody''s,S&amp;P)'!C9</f>
        <v>Aaa</v>
      </c>
      <c r="C9" s="135">
        <f t="shared" si="1"/>
        <v>2.3E-3</v>
      </c>
      <c r="D9" s="64">
        <f t="shared" si="0"/>
        <v>3.9999999999999996E-4</v>
      </c>
    </row>
    <row r="10" spans="1:5" ht="16">
      <c r="A10" s="51" t="str">
        <f>'Sovereign Ratings (Moody''s,S&amp;P)'!A10</f>
        <v>Austria</v>
      </c>
      <c r="B10" s="63" t="str">
        <f>'Sovereign Ratings (Moody''s,S&amp;P)'!C10</f>
        <v>Aa1</v>
      </c>
      <c r="C10" s="135">
        <f t="shared" si="1"/>
        <v>1.9E-3</v>
      </c>
      <c r="D10" s="64">
        <f t="shared" si="0"/>
        <v>0</v>
      </c>
    </row>
    <row r="11" spans="1:5" ht="16">
      <c r="A11" s="51" t="str">
        <f>'Sovereign Ratings (Moody''s,S&amp;P)'!A11</f>
        <v>Azerbaijan</v>
      </c>
      <c r="B11" s="63" t="str">
        <f>'Sovereign Ratings (Moody''s,S&amp;P)'!C11</f>
        <v>Ba2</v>
      </c>
      <c r="C11" s="135" t="s">
        <v>143</v>
      </c>
      <c r="D11" s="64" t="str">
        <f t="shared" si="0"/>
        <v>NA</v>
      </c>
    </row>
    <row r="12" spans="1:5" ht="16">
      <c r="A12" s="51" t="str">
        <f>'Sovereign Ratings (Moody''s,S&amp;P)'!A12</f>
        <v>Bahamas</v>
      </c>
      <c r="B12" s="63" t="str">
        <f>'Sovereign Ratings (Moody''s,S&amp;P)'!C12</f>
        <v>Ba3</v>
      </c>
      <c r="C12" s="135" t="s">
        <v>143</v>
      </c>
      <c r="D12" s="64" t="str">
        <f t="shared" si="0"/>
        <v>NA</v>
      </c>
    </row>
    <row r="13" spans="1:5" ht="16">
      <c r="A13" s="51" t="str">
        <f>'Sovereign Ratings (Moody''s,S&amp;P)'!A13</f>
        <v>Bahrain</v>
      </c>
      <c r="B13" s="63" t="str">
        <f>'Sovereign Ratings (Moody''s,S&amp;P)'!C13</f>
        <v>B2</v>
      </c>
      <c r="C13" s="135">
        <f t="shared" si="1"/>
        <v>3.4000000000000002E-2</v>
      </c>
      <c r="D13" s="64">
        <f t="shared" si="0"/>
        <v>3.2100000000000004E-2</v>
      </c>
    </row>
    <row r="14" spans="1:5" ht="16">
      <c r="A14" s="51" t="str">
        <f>'Sovereign Ratings (Moody''s,S&amp;P)'!A14</f>
        <v>Bangladesh</v>
      </c>
      <c r="B14" s="63" t="str">
        <f>'Sovereign Ratings (Moody''s,S&amp;P)'!C14</f>
        <v>Ba3</v>
      </c>
      <c r="C14" s="135" t="s">
        <v>143</v>
      </c>
      <c r="D14" s="64" t="str">
        <f t="shared" si="0"/>
        <v>NA</v>
      </c>
    </row>
    <row r="15" spans="1:5" ht="16">
      <c r="A15" s="51" t="str">
        <f>'Sovereign Ratings (Moody''s,S&amp;P)'!A15</f>
        <v>Barbados</v>
      </c>
      <c r="B15" s="63" t="str">
        <f>'Sovereign Ratings (Moody''s,S&amp;P)'!C15</f>
        <v>Caa1</v>
      </c>
      <c r="C15" s="135" t="s">
        <v>143</v>
      </c>
      <c r="D15" s="64" t="str">
        <f t="shared" si="0"/>
        <v>NA</v>
      </c>
    </row>
    <row r="16" spans="1:5" ht="16">
      <c r="A16" s="51" t="str">
        <f>'Sovereign Ratings (Moody''s,S&amp;P)'!A16</f>
        <v>Belarus</v>
      </c>
      <c r="B16" s="63" t="str">
        <f>'Sovereign Ratings (Moody''s,S&amp;P)'!C16</f>
        <v>B3</v>
      </c>
      <c r="C16" s="135" t="s">
        <v>143</v>
      </c>
      <c r="D16" s="64" t="str">
        <f t="shared" si="0"/>
        <v>NA</v>
      </c>
    </row>
    <row r="17" spans="1:10" ht="16">
      <c r="A17" s="51" t="str">
        <f>'Sovereign Ratings (Moody''s,S&amp;P)'!A17</f>
        <v>Belgium</v>
      </c>
      <c r="B17" s="63" t="str">
        <f>'Sovereign Ratings (Moody''s,S&amp;P)'!C17</f>
        <v>Aa3</v>
      </c>
      <c r="C17" s="135">
        <f t="shared" si="1"/>
        <v>2.0999999999999999E-3</v>
      </c>
      <c r="D17" s="64">
        <f t="shared" si="0"/>
        <v>1.9999999999999987E-4</v>
      </c>
    </row>
    <row r="18" spans="1:10" ht="16">
      <c r="A18" s="51" t="str">
        <f>'Sovereign Ratings (Moody''s,S&amp;P)'!A18</f>
        <v>Belize</v>
      </c>
      <c r="B18" s="63" t="str">
        <f>'Sovereign Ratings (Moody''s,S&amp;P)'!C18</f>
        <v>Caa3</v>
      </c>
      <c r="C18" s="135" t="s">
        <v>143</v>
      </c>
      <c r="D18" s="64" t="str">
        <f t="shared" si="0"/>
        <v>NA</v>
      </c>
    </row>
    <row r="19" spans="1:10" ht="16">
      <c r="A19" s="51" t="str">
        <f>'Sovereign Ratings (Moody''s,S&amp;P)'!A19</f>
        <v>Benin</v>
      </c>
      <c r="B19" s="63" t="str">
        <f>'Sovereign Ratings (Moody''s,S&amp;P)'!C19</f>
        <v>B1</v>
      </c>
      <c r="C19" s="135" t="s">
        <v>143</v>
      </c>
      <c r="D19" s="64" t="str">
        <f t="shared" si="0"/>
        <v>NA</v>
      </c>
    </row>
    <row r="20" spans="1:10" ht="16">
      <c r="A20" s="51" t="str">
        <f>'Sovereign Ratings (Moody''s,S&amp;P)'!A20</f>
        <v>Bermuda</v>
      </c>
      <c r="B20" s="63" t="str">
        <f>'Sovereign Ratings (Moody''s,S&amp;P)'!C20</f>
        <v>A2</v>
      </c>
      <c r="C20" s="135" t="s">
        <v>143</v>
      </c>
      <c r="D20" s="64" t="str">
        <f t="shared" si="0"/>
        <v>NA</v>
      </c>
    </row>
    <row r="21" spans="1:10" ht="16">
      <c r="A21" s="51" t="str">
        <f>'Sovereign Ratings (Moody''s,S&amp;P)'!A21</f>
        <v>Bolivia</v>
      </c>
      <c r="B21" s="63" t="str">
        <f>'Sovereign Ratings (Moody''s,S&amp;P)'!C21</f>
        <v>B2</v>
      </c>
      <c r="C21" s="135" t="s">
        <v>143</v>
      </c>
      <c r="D21" s="64" t="str">
        <f t="shared" si="0"/>
        <v>NA</v>
      </c>
    </row>
    <row r="22" spans="1:10" ht="16">
      <c r="A22" s="51" t="str">
        <f>'Sovereign Ratings (Moody''s,S&amp;P)'!A22</f>
        <v>Bosnia and Herzegovina</v>
      </c>
      <c r="B22" s="63" t="str">
        <f>'Sovereign Ratings (Moody''s,S&amp;P)'!C22</f>
        <v>B3</v>
      </c>
      <c r="C22" s="135" t="s">
        <v>143</v>
      </c>
      <c r="D22" s="64" t="str">
        <f t="shared" si="0"/>
        <v>NA</v>
      </c>
    </row>
    <row r="23" spans="1:10" ht="19" customHeight="1">
      <c r="A23" s="51" t="str">
        <f>'Sovereign Ratings (Moody''s,S&amp;P)'!A23</f>
        <v>Botswana</v>
      </c>
      <c r="B23" s="63" t="str">
        <f>'Sovereign Ratings (Moody''s,S&amp;P)'!C23</f>
        <v>A3</v>
      </c>
      <c r="C23" s="135" t="s">
        <v>143</v>
      </c>
      <c r="D23" s="64" t="str">
        <f t="shared" si="0"/>
        <v>NA</v>
      </c>
      <c r="H23" s="73" t="s">
        <v>75</v>
      </c>
      <c r="I23" s="158">
        <v>43100</v>
      </c>
      <c r="J23" s="137" t="s">
        <v>471</v>
      </c>
    </row>
    <row r="24" spans="1:10" ht="16">
      <c r="A24" s="51" t="str">
        <f>'Sovereign Ratings (Moody''s,S&amp;P)'!A24</f>
        <v>Brazil</v>
      </c>
      <c r="B24" s="63" t="str">
        <f>'Sovereign Ratings (Moody''s,S&amp;P)'!C24</f>
        <v>Ba2</v>
      </c>
      <c r="C24" s="135">
        <f t="shared" si="1"/>
        <v>2.9100000000000001E-2</v>
      </c>
      <c r="D24" s="64">
        <f t="shared" si="0"/>
        <v>2.7200000000000002E-2</v>
      </c>
      <c r="H24" s="51" t="s">
        <v>272</v>
      </c>
      <c r="I24" s="53">
        <v>7.7000000000000002E-3</v>
      </c>
      <c r="J24" s="26">
        <f t="shared" ref="J24:J69" si="2">IF(I24&lt;$I$106,0,I24-$I$106)</f>
        <v>5.8000000000000005E-3</v>
      </c>
    </row>
    <row r="25" spans="1:10" ht="16">
      <c r="A25" s="51" t="str">
        <f>'Sovereign Ratings (Moody''s,S&amp;P)'!A25</f>
        <v>Bulgaria</v>
      </c>
      <c r="B25" s="63" t="str">
        <f>'Sovereign Ratings (Moody''s,S&amp;P)'!C25</f>
        <v>Baa1</v>
      </c>
      <c r="C25" s="135">
        <f t="shared" si="1"/>
        <v>8.0999999999999996E-3</v>
      </c>
      <c r="D25" s="64">
        <f t="shared" si="0"/>
        <v>6.1999999999999998E-3</v>
      </c>
      <c r="H25" s="141" t="s">
        <v>337</v>
      </c>
      <c r="I25" s="53">
        <v>1.0999999999999999E-2</v>
      </c>
      <c r="J25" s="26">
        <f t="shared" si="2"/>
        <v>9.0999999999999987E-3</v>
      </c>
    </row>
    <row r="26" spans="1:10" ht="16">
      <c r="A26" s="51" t="str">
        <f>'Sovereign Ratings (Moody''s,S&amp;P)'!A26</f>
        <v>Burkina Faso</v>
      </c>
      <c r="B26" s="63" t="str">
        <f>'Sovereign Ratings (Moody''s,S&amp;P)'!C26</f>
        <v>B2</v>
      </c>
      <c r="C26" s="135" t="s">
        <v>143</v>
      </c>
      <c r="D26" s="64" t="str">
        <f t="shared" si="0"/>
        <v>NA</v>
      </c>
      <c r="H26" s="141" t="s">
        <v>131</v>
      </c>
      <c r="I26" s="53">
        <v>5.9400000000000001E-2</v>
      </c>
      <c r="J26" s="26">
        <f t="shared" si="2"/>
        <v>5.7500000000000002E-2</v>
      </c>
    </row>
    <row r="27" spans="1:10" ht="16">
      <c r="A27" s="51" t="str">
        <f>'Sovereign Ratings (Moody''s,S&amp;P)'!A27</f>
        <v>Cambodia</v>
      </c>
      <c r="B27" s="63" t="str">
        <f>'Sovereign Ratings (Moody''s,S&amp;P)'!C27</f>
        <v>B2</v>
      </c>
      <c r="C27" s="135" t="s">
        <v>143</v>
      </c>
      <c r="D27" s="64" t="str">
        <f t="shared" si="0"/>
        <v>NA</v>
      </c>
      <c r="H27" s="51" t="s">
        <v>84</v>
      </c>
      <c r="I27" s="53">
        <v>0.23319999999999999</v>
      </c>
      <c r="J27" s="26">
        <f t="shared" si="2"/>
        <v>0.23129999999999998</v>
      </c>
    </row>
    <row r="28" spans="1:10" ht="16">
      <c r="A28" s="51" t="str">
        <f>'Sovereign Ratings (Moody''s,S&amp;P)'!A28</f>
        <v>Cameroon</v>
      </c>
      <c r="B28" s="63" t="str">
        <f>'Sovereign Ratings (Moody''s,S&amp;P)'!C28</f>
        <v>B2</v>
      </c>
      <c r="C28" s="135">
        <f t="shared" si="1"/>
        <v>3.56E-2</v>
      </c>
      <c r="D28" s="64">
        <f t="shared" si="0"/>
        <v>3.3700000000000001E-2</v>
      </c>
      <c r="H28" s="51" t="s">
        <v>85</v>
      </c>
      <c r="I28" s="53">
        <v>2.3E-3</v>
      </c>
      <c r="J28" s="26">
        <f t="shared" si="2"/>
        <v>3.9999999999999996E-4</v>
      </c>
    </row>
    <row r="29" spans="1:10" ht="16">
      <c r="A29" s="51" t="str">
        <f>'Sovereign Ratings (Moody''s,S&amp;P)'!A29</f>
        <v>Canada</v>
      </c>
      <c r="B29" s="63" t="str">
        <f>'Sovereign Ratings (Moody''s,S&amp;P)'!C29</f>
        <v>Aaa</v>
      </c>
      <c r="C29" s="135">
        <f t="shared" si="1"/>
        <v>2.8E-3</v>
      </c>
      <c r="D29" s="64">
        <f t="shared" si="0"/>
        <v>8.9999999999999998E-4</v>
      </c>
      <c r="H29" s="51" t="s">
        <v>176</v>
      </c>
      <c r="I29" s="53">
        <v>1.9E-3</v>
      </c>
      <c r="J29" s="26">
        <f t="shared" si="2"/>
        <v>0</v>
      </c>
    </row>
    <row r="30" spans="1:10" ht="16">
      <c r="A30" s="51" t="str">
        <f>'Sovereign Ratings (Moody''s,S&amp;P)'!A30</f>
        <v>Cape Verde</v>
      </c>
      <c r="B30" s="63" t="str">
        <f>'Sovereign Ratings (Moody''s,S&amp;P)'!C30</f>
        <v>B3</v>
      </c>
      <c r="C30" s="135" t="s">
        <v>143</v>
      </c>
      <c r="D30" s="64" t="str">
        <f t="shared" si="0"/>
        <v>NA</v>
      </c>
      <c r="H30" s="51" t="s">
        <v>87</v>
      </c>
      <c r="I30" s="53">
        <v>3.4000000000000002E-2</v>
      </c>
      <c r="J30" s="26">
        <f t="shared" si="2"/>
        <v>3.2100000000000004E-2</v>
      </c>
    </row>
    <row r="31" spans="1:10" ht="16">
      <c r="A31" s="51" t="str">
        <f>'Sovereign Ratings (Moody''s,S&amp;P)'!A31</f>
        <v>Cayman Islands</v>
      </c>
      <c r="B31" s="63" t="str">
        <f>'Sovereign Ratings (Moody''s,S&amp;P)'!C31</f>
        <v>Aa3</v>
      </c>
      <c r="C31" s="135" t="s">
        <v>143</v>
      </c>
      <c r="D31" s="64" t="str">
        <f t="shared" si="0"/>
        <v>NA</v>
      </c>
      <c r="H31" s="51" t="s">
        <v>177</v>
      </c>
      <c r="I31" s="53">
        <v>2.0999999999999999E-3</v>
      </c>
      <c r="J31" s="26">
        <f t="shared" si="2"/>
        <v>1.9999999999999987E-4</v>
      </c>
    </row>
    <row r="32" spans="1:10" ht="16">
      <c r="A32" s="51" t="str">
        <f>'Sovereign Ratings (Moody''s,S&amp;P)'!A32</f>
        <v>Chile</v>
      </c>
      <c r="B32" s="63" t="str">
        <f>'Sovereign Ratings (Moody''s,S&amp;P)'!C32</f>
        <v>A1</v>
      </c>
      <c r="C32" s="135">
        <f t="shared" si="1"/>
        <v>1.2500000000000001E-2</v>
      </c>
      <c r="D32" s="64">
        <f t="shared" si="0"/>
        <v>1.06E-2</v>
      </c>
      <c r="H32" s="51" t="s">
        <v>92</v>
      </c>
      <c r="I32" s="53">
        <v>2.9100000000000001E-2</v>
      </c>
      <c r="J32" s="26">
        <f t="shared" si="2"/>
        <v>2.7200000000000002E-2</v>
      </c>
    </row>
    <row r="33" spans="1:10" ht="16">
      <c r="A33" s="51" t="str">
        <f>'Sovereign Ratings (Moody''s,S&amp;P)'!A33</f>
        <v>China</v>
      </c>
      <c r="B33" s="63" t="str">
        <f>'Sovereign Ratings (Moody''s,S&amp;P)'!C33</f>
        <v>A1</v>
      </c>
      <c r="C33" s="135">
        <f t="shared" si="1"/>
        <v>7.4000000000000003E-3</v>
      </c>
      <c r="D33" s="64">
        <f t="shared" si="0"/>
        <v>5.5000000000000005E-3</v>
      </c>
      <c r="H33" s="51" t="s">
        <v>94</v>
      </c>
      <c r="I33" s="53">
        <v>8.0999999999999996E-3</v>
      </c>
      <c r="J33" s="26">
        <f t="shared" si="2"/>
        <v>6.1999999999999998E-3</v>
      </c>
    </row>
    <row r="34" spans="1:10" ht="16">
      <c r="A34" s="51" t="str">
        <f>'Sovereign Ratings (Moody''s,S&amp;P)'!A34</f>
        <v>Colombia</v>
      </c>
      <c r="B34" s="63" t="str">
        <f>'Sovereign Ratings (Moody''s,S&amp;P)'!C34</f>
        <v>Baa2</v>
      </c>
      <c r="C34" s="135">
        <f t="shared" si="1"/>
        <v>2.7699999999999999E-2</v>
      </c>
      <c r="D34" s="64">
        <f t="shared" si="0"/>
        <v>2.58E-2</v>
      </c>
      <c r="H34" s="141" t="s">
        <v>212</v>
      </c>
      <c r="I34" s="53">
        <v>3.56E-2</v>
      </c>
      <c r="J34" s="26">
        <f t="shared" si="2"/>
        <v>3.3700000000000001E-2</v>
      </c>
    </row>
    <row r="35" spans="1:10" ht="16">
      <c r="A35" s="51" t="str">
        <f>'Sovereign Ratings (Moody''s,S&amp;P)'!A35</f>
        <v>Congo (Democratic Republic of)</v>
      </c>
      <c r="B35" s="63" t="str">
        <f>'Sovereign Ratings (Moody''s,S&amp;P)'!C35</f>
        <v>Caa1</v>
      </c>
      <c r="C35" s="135" t="s">
        <v>143</v>
      </c>
      <c r="D35" s="64" t="str">
        <f t="shared" si="0"/>
        <v>NA</v>
      </c>
      <c r="H35" s="141" t="s">
        <v>95</v>
      </c>
      <c r="I35" s="53">
        <v>2.8E-3</v>
      </c>
      <c r="J35" s="26">
        <f t="shared" si="2"/>
        <v>8.9999999999999998E-4</v>
      </c>
    </row>
    <row r="36" spans="1:10" ht="16">
      <c r="A36" s="51" t="str">
        <f>'Sovereign Ratings (Moody''s,S&amp;P)'!A36</f>
        <v>Congo (Republic of)</v>
      </c>
      <c r="B36" s="63" t="str">
        <f>'Sovereign Ratings (Moody''s,S&amp;P)'!C36</f>
        <v>Caa2</v>
      </c>
      <c r="C36" s="135" t="s">
        <v>143</v>
      </c>
      <c r="D36" s="64" t="str">
        <f t="shared" si="0"/>
        <v>NA</v>
      </c>
      <c r="H36" s="51" t="s">
        <v>96</v>
      </c>
      <c r="I36" s="53">
        <v>1.2500000000000001E-2</v>
      </c>
      <c r="J36" s="26">
        <f t="shared" si="2"/>
        <v>1.06E-2</v>
      </c>
    </row>
    <row r="37" spans="1:10" ht="16">
      <c r="A37" s="51" t="str">
        <f>'Sovereign Ratings (Moody''s,S&amp;P)'!A37</f>
        <v>Cook Islands</v>
      </c>
      <c r="B37" s="63" t="str">
        <f>'Sovereign Ratings (Moody''s,S&amp;P)'!C37</f>
        <v>B1</v>
      </c>
      <c r="C37" s="135" t="s">
        <v>143</v>
      </c>
      <c r="D37" s="64" t="str">
        <f t="shared" si="0"/>
        <v>NA</v>
      </c>
      <c r="H37" s="51" t="s">
        <v>97</v>
      </c>
      <c r="I37" s="53">
        <v>7.4000000000000003E-3</v>
      </c>
      <c r="J37" s="26">
        <f t="shared" si="2"/>
        <v>5.5000000000000005E-3</v>
      </c>
    </row>
    <row r="38" spans="1:10" ht="16">
      <c r="A38" s="51" t="str">
        <f>'Sovereign Ratings (Moody''s,S&amp;P)'!A38</f>
        <v>Costa Rica</v>
      </c>
      <c r="B38" s="63" t="str">
        <f>'Sovereign Ratings (Moody''s,S&amp;P)'!C38</f>
        <v>B2</v>
      </c>
      <c r="C38" s="135">
        <f t="shared" si="1"/>
        <v>3.9199999999999999E-2</v>
      </c>
      <c r="D38" s="64">
        <f t="shared" si="0"/>
        <v>3.73E-2</v>
      </c>
      <c r="H38" s="51" t="s">
        <v>50</v>
      </c>
      <c r="I38" s="53">
        <v>2.7699999999999999E-2</v>
      </c>
      <c r="J38" s="26">
        <f t="shared" si="2"/>
        <v>2.58E-2</v>
      </c>
    </row>
    <row r="39" spans="1:10" ht="16">
      <c r="A39" s="51" t="str">
        <f>'Sovereign Ratings (Moody''s,S&amp;P)'!A39</f>
        <v>Côte d'Ivoire</v>
      </c>
      <c r="B39" s="63" t="str">
        <f>'Sovereign Ratings (Moody''s,S&amp;P)'!C39</f>
        <v>Ba3</v>
      </c>
      <c r="C39" s="135" t="s">
        <v>143</v>
      </c>
      <c r="D39" s="64" t="str">
        <f t="shared" si="0"/>
        <v>NA</v>
      </c>
      <c r="H39" s="51" t="s">
        <v>56</v>
      </c>
      <c r="I39" s="53">
        <v>3.9199999999999999E-2</v>
      </c>
      <c r="J39" s="26">
        <f t="shared" si="2"/>
        <v>3.73E-2</v>
      </c>
    </row>
    <row r="40" spans="1:10" ht="16">
      <c r="A40" s="51" t="str">
        <f>'Sovereign Ratings (Moody''s,S&amp;P)'!A40</f>
        <v>Croatia</v>
      </c>
      <c r="B40" s="63" t="str">
        <f>'Sovereign Ratings (Moody''s,S&amp;P)'!C40</f>
        <v>Ba1</v>
      </c>
      <c r="C40" s="135">
        <f t="shared" si="1"/>
        <v>1.11E-2</v>
      </c>
      <c r="D40" s="64">
        <f t="shared" si="0"/>
        <v>9.1999999999999998E-3</v>
      </c>
      <c r="H40" s="51" t="s">
        <v>98</v>
      </c>
      <c r="I40" s="53">
        <v>1.11E-2</v>
      </c>
      <c r="J40" s="26">
        <f t="shared" si="2"/>
        <v>9.1999999999999998E-3</v>
      </c>
    </row>
    <row r="41" spans="1:10" ht="16">
      <c r="A41" s="51" t="str">
        <f>'Sovereign Ratings (Moody''s,S&amp;P)'!A41</f>
        <v>Cuba</v>
      </c>
      <c r="B41" s="63" t="str">
        <f>'Sovereign Ratings (Moody''s,S&amp;P)'!C41</f>
        <v>Ca</v>
      </c>
      <c r="C41" s="135" t="s">
        <v>143</v>
      </c>
      <c r="D41" s="64" t="str">
        <f t="shared" si="0"/>
        <v>NA</v>
      </c>
      <c r="H41" s="51" t="s">
        <v>178</v>
      </c>
      <c r="I41" s="53">
        <v>7.4000000000000003E-3</v>
      </c>
      <c r="J41" s="26">
        <f t="shared" si="2"/>
        <v>5.5000000000000005E-3</v>
      </c>
    </row>
    <row r="42" spans="1:10" ht="16">
      <c r="A42" s="51" t="str">
        <f>'Sovereign Ratings (Moody''s,S&amp;P)'!A42</f>
        <v>Curacao</v>
      </c>
      <c r="B42" s="63" t="str">
        <f>'Sovereign Ratings (Moody''s,S&amp;P)'!C42</f>
        <v>Baa2</v>
      </c>
      <c r="C42" s="135" t="s">
        <v>143</v>
      </c>
      <c r="D42" s="64" t="str">
        <f t="shared" si="0"/>
        <v>NA</v>
      </c>
      <c r="H42" s="51" t="s">
        <v>101</v>
      </c>
      <c r="I42" s="53">
        <v>4.7000000000000002E-3</v>
      </c>
      <c r="J42" s="26">
        <f t="shared" si="2"/>
        <v>2.8000000000000004E-3</v>
      </c>
    </row>
    <row r="43" spans="1:10" ht="16">
      <c r="A43" s="51" t="str">
        <f>'Sovereign Ratings (Moody''s,S&amp;P)'!A43</f>
        <v>Cyprus</v>
      </c>
      <c r="B43" s="63" t="str">
        <f>'Sovereign Ratings (Moody''s,S&amp;P)'!C43</f>
        <v>Ba1</v>
      </c>
      <c r="C43" s="135">
        <f t="shared" si="1"/>
        <v>7.4000000000000003E-3</v>
      </c>
      <c r="D43" s="64">
        <f t="shared" si="0"/>
        <v>5.5000000000000005E-3</v>
      </c>
      <c r="H43" s="51" t="s">
        <v>102</v>
      </c>
      <c r="I43" s="53">
        <v>1.5E-3</v>
      </c>
      <c r="J43" s="26">
        <f t="shared" si="2"/>
        <v>0</v>
      </c>
    </row>
    <row r="44" spans="1:10" ht="16">
      <c r="A44" s="51" t="str">
        <f>'Sovereign Ratings (Moody''s,S&amp;P)'!A44</f>
        <v>Czech Republic</v>
      </c>
      <c r="B44" s="63" t="str">
        <f>'Sovereign Ratings (Moody''s,S&amp;P)'!C44</f>
        <v>Aa3</v>
      </c>
      <c r="C44" s="135">
        <f t="shared" si="1"/>
        <v>4.7000000000000002E-3</v>
      </c>
      <c r="D44" s="64">
        <f t="shared" si="0"/>
        <v>2.8000000000000004E-3</v>
      </c>
      <c r="H44" s="51" t="s">
        <v>470</v>
      </c>
      <c r="I44" s="53">
        <v>1.3299999999999999E-2</v>
      </c>
      <c r="J44" s="26">
        <f t="shared" si="2"/>
        <v>1.1399999999999999E-2</v>
      </c>
    </row>
    <row r="45" spans="1:10" ht="16">
      <c r="A45" s="51" t="str">
        <f>'Sovereign Ratings (Moody''s,S&amp;P)'!A45</f>
        <v>Denmark</v>
      </c>
      <c r="B45" s="63" t="str">
        <f>'Sovereign Ratings (Moody''s,S&amp;P)'!C45</f>
        <v>Aaa</v>
      </c>
      <c r="C45" s="135">
        <f t="shared" si="1"/>
        <v>1.5E-3</v>
      </c>
      <c r="D45" s="64">
        <f t="shared" si="0"/>
        <v>0</v>
      </c>
      <c r="H45" s="204" t="s">
        <v>104</v>
      </c>
      <c r="I45" s="211">
        <v>7.5700000000000003E-2</v>
      </c>
      <c r="J45" s="212">
        <f t="shared" si="2"/>
        <v>7.3800000000000004E-2</v>
      </c>
    </row>
    <row r="46" spans="1:10" ht="16">
      <c r="A46" s="51" t="str">
        <f>'Sovereign Ratings (Moody''s,S&amp;P)'!A46</f>
        <v>Dominican Republic</v>
      </c>
      <c r="B46" s="63" t="str">
        <f>'Sovereign Ratings (Moody''s,S&amp;P)'!C46</f>
        <v>Ba3</v>
      </c>
      <c r="C46" s="135" t="s">
        <v>143</v>
      </c>
      <c r="D46" s="64" t="str">
        <f t="shared" si="0"/>
        <v>NA</v>
      </c>
      <c r="H46" s="210" t="s">
        <v>105</v>
      </c>
      <c r="I46" s="53">
        <v>5.74E-2</v>
      </c>
      <c r="J46" s="26">
        <f t="shared" si="2"/>
        <v>5.5500000000000001E-2</v>
      </c>
    </row>
    <row r="47" spans="1:10" ht="16">
      <c r="A47" s="51" t="str">
        <f>'Sovereign Ratings (Moody''s,S&amp;P)'!A47</f>
        <v>Ecuador</v>
      </c>
      <c r="B47" s="63" t="str">
        <f>'Sovereign Ratings (Moody''s,S&amp;P)'!C47</f>
        <v>Caa3</v>
      </c>
      <c r="C47" s="135">
        <f t="shared" si="1"/>
        <v>7.5700000000000003E-2</v>
      </c>
      <c r="D47" s="64">
        <f t="shared" si="0"/>
        <v>7.3800000000000004E-2</v>
      </c>
      <c r="H47" s="141" t="s">
        <v>31</v>
      </c>
      <c r="I47" s="53">
        <v>0.18329999999999999</v>
      </c>
      <c r="J47" s="26">
        <f t="shared" si="2"/>
        <v>0.18139999999999998</v>
      </c>
    </row>
    <row r="48" spans="1:10" ht="16">
      <c r="A48" s="51" t="str">
        <f>'Sovereign Ratings (Moody''s,S&amp;P)'!A48</f>
        <v>Egypt</v>
      </c>
      <c r="B48" s="63" t="str">
        <f>'Sovereign Ratings (Moody''s,S&amp;P)'!C48</f>
        <v>B2</v>
      </c>
      <c r="C48" s="135">
        <f t="shared" si="1"/>
        <v>5.74E-2</v>
      </c>
      <c r="D48" s="64">
        <f t="shared" si="0"/>
        <v>5.5500000000000001E-2</v>
      </c>
      <c r="H48" s="51" t="s">
        <v>106</v>
      </c>
      <c r="I48" s="53">
        <v>8.5000000000000006E-3</v>
      </c>
      <c r="J48" s="26">
        <f t="shared" si="2"/>
        <v>6.6000000000000008E-3</v>
      </c>
    </row>
    <row r="49" spans="1:10" ht="16">
      <c r="A49" s="51" t="str">
        <f>'Sovereign Ratings (Moody''s,S&amp;P)'!A49</f>
        <v>El Salvador</v>
      </c>
      <c r="B49" s="63" t="str">
        <f>'Sovereign Ratings (Moody''s,S&amp;P)'!C49</f>
        <v>Caa1</v>
      </c>
      <c r="C49" s="135">
        <f t="shared" si="1"/>
        <v>0.18329999999999999</v>
      </c>
      <c r="D49" s="64">
        <f t="shared" si="0"/>
        <v>0.18139999999999998</v>
      </c>
      <c r="H49" s="51" t="s">
        <v>284</v>
      </c>
      <c r="I49" s="53">
        <v>0.20399999999999999</v>
      </c>
      <c r="J49" s="26">
        <f t="shared" si="2"/>
        <v>0.20209999999999997</v>
      </c>
    </row>
    <row r="50" spans="1:10" ht="16">
      <c r="A50" s="51" t="str">
        <f>'Sovereign Ratings (Moody''s,S&amp;P)'!A50</f>
        <v>Estonia</v>
      </c>
      <c r="B50" s="63" t="str">
        <f>'Sovereign Ratings (Moody''s,S&amp;P)'!C50</f>
        <v>A1</v>
      </c>
      <c r="C50" s="135">
        <f t="shared" si="1"/>
        <v>8.5000000000000006E-3</v>
      </c>
      <c r="D50" s="64">
        <f t="shared" si="0"/>
        <v>6.6000000000000008E-3</v>
      </c>
      <c r="H50" s="51" t="s">
        <v>179</v>
      </c>
      <c r="I50" s="53">
        <v>2E-3</v>
      </c>
      <c r="J50" s="26">
        <f t="shared" si="2"/>
        <v>1.0000000000000005E-4</v>
      </c>
    </row>
    <row r="51" spans="1:10" ht="16">
      <c r="A51" s="51" t="str">
        <f>'Sovereign Ratings (Moody''s,S&amp;P)'!A51</f>
        <v>Ethiopia</v>
      </c>
      <c r="B51" s="63" t="str">
        <f>'Sovereign Ratings (Moody''s,S&amp;P)'!C51</f>
        <v>Caa2</v>
      </c>
      <c r="C51" s="135">
        <f t="shared" si="1"/>
        <v>0.20399999999999999</v>
      </c>
      <c r="D51" s="64">
        <f t="shared" si="0"/>
        <v>0.20209999999999997</v>
      </c>
      <c r="H51" s="51" t="s">
        <v>180</v>
      </c>
      <c r="I51" s="53">
        <v>3.3999999999999998E-3</v>
      </c>
      <c r="J51" s="26">
        <f t="shared" si="2"/>
        <v>1.4999999999999998E-3</v>
      </c>
    </row>
    <row r="52" spans="1:10" ht="16">
      <c r="A52" s="51" t="str">
        <f>'Sovereign Ratings (Moody''s,S&amp;P)'!A52</f>
        <v>Fiji</v>
      </c>
      <c r="B52" s="63" t="str">
        <f>'Sovereign Ratings (Moody''s,S&amp;P)'!C52</f>
        <v>B1</v>
      </c>
      <c r="C52" s="135" t="s">
        <v>143</v>
      </c>
      <c r="D52" s="64" t="str">
        <f t="shared" si="0"/>
        <v>NA</v>
      </c>
      <c r="H52" s="51" t="s">
        <v>181</v>
      </c>
      <c r="I52" s="53">
        <v>1.8E-3</v>
      </c>
      <c r="J52" s="26">
        <f t="shared" si="2"/>
        <v>0</v>
      </c>
    </row>
    <row r="53" spans="1:10" ht="16">
      <c r="A53" s="51" t="str">
        <f>'Sovereign Ratings (Moody''s,S&amp;P)'!A53</f>
        <v>Finland</v>
      </c>
      <c r="B53" s="63" t="str">
        <f>'Sovereign Ratings (Moody''s,S&amp;P)'!C53</f>
        <v>Aa1</v>
      </c>
      <c r="C53" s="135">
        <f t="shared" si="1"/>
        <v>2E-3</v>
      </c>
      <c r="D53" s="64">
        <f t="shared" si="0"/>
        <v>1.0000000000000005E-4</v>
      </c>
      <c r="H53" s="51" t="s">
        <v>182</v>
      </c>
      <c r="I53" s="53">
        <v>1.6899999999999998E-2</v>
      </c>
      <c r="J53" s="26">
        <f t="shared" si="2"/>
        <v>1.4999999999999998E-2</v>
      </c>
    </row>
    <row r="54" spans="1:10" ht="16">
      <c r="A54" s="51" t="str">
        <f>'Sovereign Ratings (Moody''s,S&amp;P)'!A54</f>
        <v>France</v>
      </c>
      <c r="B54" s="63" t="str">
        <f>'Sovereign Ratings (Moody''s,S&amp;P)'!C54</f>
        <v>Aa2</v>
      </c>
      <c r="C54" s="135">
        <f t="shared" si="1"/>
        <v>3.3999999999999998E-3</v>
      </c>
      <c r="D54" s="64">
        <f t="shared" si="0"/>
        <v>1.4999999999999998E-3</v>
      </c>
      <c r="H54" s="141" t="s">
        <v>482</v>
      </c>
      <c r="I54" s="53">
        <v>2.06E-2</v>
      </c>
      <c r="J54" s="26">
        <f t="shared" si="2"/>
        <v>1.8700000000000001E-2</v>
      </c>
    </row>
    <row r="55" spans="1:10" ht="16">
      <c r="A55" s="51" t="str">
        <f>'Sovereign Ratings (Moody''s,S&amp;P)'!A55</f>
        <v>Gabon</v>
      </c>
      <c r="B55" s="63" t="str">
        <f>'Sovereign Ratings (Moody''s,S&amp;P)'!C55</f>
        <v>Caa1</v>
      </c>
      <c r="C55" s="135" t="s">
        <v>143</v>
      </c>
      <c r="D55" s="64" t="str">
        <f t="shared" si="0"/>
        <v>NA</v>
      </c>
      <c r="H55" s="51" t="s">
        <v>59</v>
      </c>
      <c r="I55" s="53">
        <v>4.1000000000000003E-3</v>
      </c>
      <c r="J55" s="26">
        <f t="shared" si="2"/>
        <v>2.2000000000000006E-3</v>
      </c>
    </row>
    <row r="56" spans="1:10" ht="16">
      <c r="A56" s="51" t="str">
        <f>'Sovereign Ratings (Moody''s,S&amp;P)'!A56</f>
        <v>Georgia</v>
      </c>
      <c r="B56" s="63" t="str">
        <f>'Sovereign Ratings (Moody''s,S&amp;P)'!C56</f>
        <v>Ba2</v>
      </c>
      <c r="C56" s="135" t="s">
        <v>143</v>
      </c>
      <c r="D56" s="64" t="str">
        <f t="shared" si="0"/>
        <v>NA</v>
      </c>
      <c r="H56" s="51" t="s">
        <v>109</v>
      </c>
      <c r="I56" s="53">
        <v>6.8999999999999999E-3</v>
      </c>
      <c r="J56" s="26">
        <f t="shared" si="2"/>
        <v>5.0000000000000001E-3</v>
      </c>
    </row>
    <row r="57" spans="1:10" ht="16">
      <c r="A57" s="51" t="str">
        <f>'Sovereign Ratings (Moody''s,S&amp;P)'!A57</f>
        <v>Germany</v>
      </c>
      <c r="B57" s="63" t="str">
        <f>'Sovereign Ratings (Moody''s,S&amp;P)'!C57</f>
        <v>Aaa</v>
      </c>
      <c r="C57" s="135">
        <f t="shared" si="1"/>
        <v>1.8E-3</v>
      </c>
      <c r="D57" s="64">
        <f t="shared" si="0"/>
        <v>0</v>
      </c>
      <c r="H57" s="51" t="s">
        <v>110</v>
      </c>
      <c r="I57" s="53">
        <v>7.3000000000000001E-3</v>
      </c>
      <c r="J57" s="26">
        <f t="shared" si="2"/>
        <v>5.4000000000000003E-3</v>
      </c>
    </row>
    <row r="58" spans="1:10" ht="16">
      <c r="A58" s="51" t="str">
        <f>'Sovereign Ratings (Moody''s,S&amp;P)'!A58</f>
        <v>Ghana</v>
      </c>
      <c r="B58" s="63" t="str">
        <f>'Sovereign Ratings (Moody''s,S&amp;P)'!C58</f>
        <v>B3</v>
      </c>
      <c r="C58" s="135" t="s">
        <v>143</v>
      </c>
      <c r="D58" s="64" t="str">
        <f t="shared" si="0"/>
        <v>NA</v>
      </c>
      <c r="H58" s="51" t="s">
        <v>111</v>
      </c>
      <c r="I58" s="53">
        <v>1.44E-2</v>
      </c>
      <c r="J58" s="26">
        <f t="shared" si="2"/>
        <v>1.2499999999999999E-2</v>
      </c>
    </row>
    <row r="59" spans="1:10" ht="16">
      <c r="A59" s="51" t="str">
        <f>'Sovereign Ratings (Moody''s,S&amp;P)'!A59</f>
        <v>Greece</v>
      </c>
      <c r="B59" s="63" t="str">
        <f>'Sovereign Ratings (Moody''s,S&amp;P)'!C59</f>
        <v>Ba3</v>
      </c>
      <c r="C59" s="135">
        <f t="shared" si="1"/>
        <v>1.6899999999999998E-2</v>
      </c>
      <c r="D59" s="64">
        <f t="shared" si="0"/>
        <v>1.4999999999999998E-2</v>
      </c>
      <c r="H59" s="51" t="s">
        <v>112</v>
      </c>
      <c r="I59" s="53">
        <v>1.3599999999999999E-2</v>
      </c>
      <c r="J59" s="26">
        <f t="shared" si="2"/>
        <v>1.1699999999999999E-2</v>
      </c>
    </row>
    <row r="60" spans="1:10" ht="16">
      <c r="A60" s="51" t="str">
        <f>'Sovereign Ratings (Moody''s,S&amp;P)'!A60</f>
        <v>Guatemala</v>
      </c>
      <c r="B60" s="63" t="str">
        <f>'Sovereign Ratings (Moody''s,S&amp;P)'!C60</f>
        <v>Ba1</v>
      </c>
      <c r="C60" s="135" t="s">
        <v>143</v>
      </c>
      <c r="D60" s="64" t="str">
        <f t="shared" si="0"/>
        <v>NA</v>
      </c>
      <c r="H60" s="141" t="s">
        <v>331</v>
      </c>
      <c r="I60" s="53">
        <v>5.6300000000000003E-2</v>
      </c>
      <c r="J60" s="26">
        <f t="shared" si="2"/>
        <v>5.4400000000000004E-2</v>
      </c>
    </row>
    <row r="61" spans="1:10" ht="16">
      <c r="A61" s="51" t="str">
        <f>'Sovereign Ratings (Moody''s,S&amp;P)'!A61</f>
        <v>Guernsey (States of)</v>
      </c>
      <c r="B61" s="63" t="str">
        <f>'Sovereign Ratings (Moody''s,S&amp;P)'!C61</f>
        <v>Aa3</v>
      </c>
      <c r="C61" s="135" t="s">
        <v>143</v>
      </c>
      <c r="D61" s="64" t="str">
        <f t="shared" si="0"/>
        <v>NA</v>
      </c>
      <c r="H61" s="51" t="s">
        <v>183</v>
      </c>
      <c r="I61" s="53">
        <v>2.7000000000000001E-3</v>
      </c>
      <c r="J61" s="26">
        <f t="shared" si="2"/>
        <v>8.0000000000000015E-4</v>
      </c>
    </row>
    <row r="62" spans="1:10" ht="16">
      <c r="A62" s="51" t="str">
        <f>'Sovereign Ratings (Moody''s,S&amp;P)'!A62</f>
        <v>Honduras</v>
      </c>
      <c r="B62" s="63" t="str">
        <f>'Sovereign Ratings (Moody''s,S&amp;P)'!C62</f>
        <v>B1</v>
      </c>
      <c r="C62" s="135" t="s">
        <v>143</v>
      </c>
      <c r="D62" s="64" t="str">
        <f t="shared" si="0"/>
        <v>NA</v>
      </c>
      <c r="H62" s="51" t="s">
        <v>114</v>
      </c>
      <c r="I62" s="53">
        <v>7.1999999999999998E-3</v>
      </c>
      <c r="J62" s="26">
        <f t="shared" si="2"/>
        <v>5.3E-3</v>
      </c>
    </row>
    <row r="63" spans="1:10" ht="16">
      <c r="A63" s="51" t="str">
        <f>'Sovereign Ratings (Moody''s,S&amp;P)'!A63</f>
        <v>Hong Kong</v>
      </c>
      <c r="B63" s="63" t="str">
        <f>'Sovereign Ratings (Moody''s,S&amp;P)'!C63</f>
        <v>Aa3</v>
      </c>
      <c r="C63" s="135">
        <f t="shared" si="1"/>
        <v>4.1000000000000003E-3</v>
      </c>
      <c r="D63" s="64">
        <f t="shared" si="0"/>
        <v>2.2000000000000006E-3</v>
      </c>
      <c r="H63" s="51" t="s">
        <v>145</v>
      </c>
      <c r="I63" s="53">
        <v>1.41E-2</v>
      </c>
      <c r="J63" s="26">
        <f t="shared" si="2"/>
        <v>1.2199999999999999E-2</v>
      </c>
    </row>
    <row r="64" spans="1:10" ht="16">
      <c r="A64" s="51" t="str">
        <f>'Sovereign Ratings (Moody''s,S&amp;P)'!A64</f>
        <v>Hungary</v>
      </c>
      <c r="B64" s="63" t="str">
        <f>'Sovereign Ratings (Moody''s,S&amp;P)'!C64</f>
        <v>Baa2</v>
      </c>
      <c r="C64" s="135">
        <f t="shared" si="1"/>
        <v>6.8999999999999999E-3</v>
      </c>
      <c r="D64" s="64">
        <f t="shared" si="0"/>
        <v>5.0000000000000001E-3</v>
      </c>
      <c r="H64" s="51" t="s">
        <v>116</v>
      </c>
      <c r="I64" s="53">
        <v>3.3E-3</v>
      </c>
      <c r="J64" s="26">
        <f t="shared" si="2"/>
        <v>1.4E-3</v>
      </c>
    </row>
    <row r="65" spans="1:10" ht="16">
      <c r="A65" s="51" t="str">
        <f>'Sovereign Ratings (Moody''s,S&amp;P)'!A65</f>
        <v>Iceland</v>
      </c>
      <c r="B65" s="63" t="str">
        <f>'Sovereign Ratings (Moody''s,S&amp;P)'!C65</f>
        <v>A2</v>
      </c>
      <c r="C65" s="135">
        <f t="shared" si="1"/>
        <v>7.3000000000000001E-3</v>
      </c>
      <c r="D65" s="64">
        <f t="shared" si="0"/>
        <v>5.4000000000000003E-3</v>
      </c>
      <c r="H65" s="51" t="s">
        <v>118</v>
      </c>
      <c r="I65" s="53">
        <v>9.9000000000000008E-3</v>
      </c>
      <c r="J65" s="26">
        <f t="shared" si="2"/>
        <v>8.0000000000000002E-3</v>
      </c>
    </row>
    <row r="66" spans="1:10" ht="16">
      <c r="A66" s="51" t="str">
        <f>'Sovereign Ratings (Moody''s,S&amp;P)'!A66</f>
        <v>India</v>
      </c>
      <c r="B66" s="63" t="str">
        <f>'Sovereign Ratings (Moody''s,S&amp;P)'!C66</f>
        <v>Baa3</v>
      </c>
      <c r="C66" s="135">
        <f t="shared" si="1"/>
        <v>1.44E-2</v>
      </c>
      <c r="D66" s="64">
        <f t="shared" ref="D66:D129" si="3">IF(C66="NA","NA",IF(C66&gt;$C$153,C66-$C$153,0))</f>
        <v>1.2499999999999999E-2</v>
      </c>
      <c r="H66" s="141" t="s">
        <v>184</v>
      </c>
      <c r="I66" s="53">
        <v>4.4400000000000002E-2</v>
      </c>
      <c r="J66" s="26">
        <f t="shared" si="2"/>
        <v>4.2500000000000003E-2</v>
      </c>
    </row>
    <row r="67" spans="1:10" ht="16">
      <c r="A67" s="51" t="str">
        <f>'Sovereign Ratings (Moody''s,S&amp;P)'!A67</f>
        <v>Indonesia</v>
      </c>
      <c r="B67" s="63" t="str">
        <f>'Sovereign Ratings (Moody''s,S&amp;P)'!C67</f>
        <v>Baa2</v>
      </c>
      <c r="C67" s="135">
        <f t="shared" ref="C67:C129" si="4">VLOOKUP(A67,$H$24:$J$110,2,FALSE)</f>
        <v>1.3599999999999999E-2</v>
      </c>
      <c r="D67" s="64">
        <f t="shared" si="3"/>
        <v>1.1699999999999999E-2</v>
      </c>
      <c r="H67" s="51" t="s">
        <v>119</v>
      </c>
      <c r="I67" s="53">
        <v>3.5000000000000001E-3</v>
      </c>
      <c r="J67" s="26">
        <f t="shared" si="2"/>
        <v>1.6000000000000001E-3</v>
      </c>
    </row>
    <row r="68" spans="1:10" ht="16">
      <c r="A68" s="51" t="str">
        <f>'Sovereign Ratings (Moody''s,S&amp;P)'!A68</f>
        <v>Iraq</v>
      </c>
      <c r="B68" s="63" t="str">
        <f>'Sovereign Ratings (Moody''s,S&amp;P)'!C68</f>
        <v>Caa1</v>
      </c>
      <c r="C68" s="135">
        <f t="shared" si="4"/>
        <v>5.6300000000000003E-2</v>
      </c>
      <c r="D68" s="64">
        <f t="shared" si="3"/>
        <v>5.4400000000000004E-2</v>
      </c>
      <c r="H68" s="51" t="s">
        <v>120</v>
      </c>
      <c r="I68" s="53">
        <v>8.6E-3</v>
      </c>
      <c r="J68" s="26">
        <f t="shared" si="2"/>
        <v>6.7000000000000002E-3</v>
      </c>
    </row>
    <row r="69" spans="1:10" ht="16">
      <c r="A69" s="51" t="str">
        <f>'Sovereign Ratings (Moody''s,S&amp;P)'!A69</f>
        <v>Ireland</v>
      </c>
      <c r="B69" s="63" t="str">
        <f>'Sovereign Ratings (Moody''s,S&amp;P)'!C69</f>
        <v>A2</v>
      </c>
      <c r="C69" s="135">
        <f t="shared" si="4"/>
        <v>2.7000000000000001E-3</v>
      </c>
      <c r="D69" s="64">
        <f t="shared" si="3"/>
        <v>8.0000000000000015E-4</v>
      </c>
      <c r="H69" s="51" t="s">
        <v>121</v>
      </c>
      <c r="I69" s="53">
        <v>7.4000000000000003E-3</v>
      </c>
      <c r="J69" s="26">
        <f t="shared" si="2"/>
        <v>5.5000000000000005E-3</v>
      </c>
    </row>
    <row r="70" spans="1:10" ht="16">
      <c r="A70" s="51" t="str">
        <f>'Sovereign Ratings (Moody''s,S&amp;P)'!A70</f>
        <v>Isle of Man</v>
      </c>
      <c r="B70" s="63" t="str">
        <f>'Sovereign Ratings (Moody''s,S&amp;P)'!C70</f>
        <v>Aa3</v>
      </c>
      <c r="C70" s="135" t="s">
        <v>143</v>
      </c>
      <c r="D70" s="64" t="str">
        <f t="shared" si="3"/>
        <v>NA</v>
      </c>
      <c r="H70" s="51" t="s">
        <v>122</v>
      </c>
      <c r="I70" s="53" t="s">
        <v>143</v>
      </c>
      <c r="J70" s="26" t="s">
        <v>143</v>
      </c>
    </row>
    <row r="71" spans="1:10" ht="16">
      <c r="A71" s="51" t="str">
        <f>'Sovereign Ratings (Moody''s,S&amp;P)'!A71</f>
        <v>Israel</v>
      </c>
      <c r="B71" s="63" t="str">
        <f>'Sovereign Ratings (Moody''s,S&amp;P)'!C71</f>
        <v>A1</v>
      </c>
      <c r="C71" s="135">
        <f t="shared" si="4"/>
        <v>7.1999999999999998E-3</v>
      </c>
      <c r="D71" s="64">
        <f t="shared" si="3"/>
        <v>5.3E-3</v>
      </c>
      <c r="H71" s="51" t="s">
        <v>13</v>
      </c>
      <c r="I71" s="53">
        <v>7.9000000000000008E-3</v>
      </c>
      <c r="J71" s="26">
        <f t="shared" ref="J71:J107" si="5">IF(I71&lt;$I$106,0,I71-$I$106)</f>
        <v>6.000000000000001E-3</v>
      </c>
    </row>
    <row r="72" spans="1:10" ht="16">
      <c r="A72" s="51" t="str">
        <f>'Sovereign Ratings (Moody''s,S&amp;P)'!A72</f>
        <v>Italy</v>
      </c>
      <c r="B72" s="63" t="str">
        <f>'Sovereign Ratings (Moody''s,S&amp;P)'!C72</f>
        <v>Baa3</v>
      </c>
      <c r="C72" s="135">
        <f t="shared" si="4"/>
        <v>1.41E-2</v>
      </c>
      <c r="D72" s="64">
        <f t="shared" si="3"/>
        <v>1.2199999999999999E-2</v>
      </c>
      <c r="H72" s="51" t="s">
        <v>14</v>
      </c>
      <c r="I72" s="53">
        <v>8.0999999999999996E-3</v>
      </c>
      <c r="J72" s="26">
        <f t="shared" si="5"/>
        <v>6.1999999999999998E-3</v>
      </c>
    </row>
    <row r="73" spans="1:10" ht="16">
      <c r="A73" s="51" t="str">
        <f>'Sovereign Ratings (Moody''s,S&amp;P)'!A73</f>
        <v>Jamaica</v>
      </c>
      <c r="B73" s="63" t="str">
        <f>'Sovereign Ratings (Moody''s,S&amp;P)'!C73</f>
        <v>B2</v>
      </c>
      <c r="C73" s="135" t="s">
        <v>143</v>
      </c>
      <c r="D73" s="64" t="str">
        <f t="shared" si="3"/>
        <v>NA</v>
      </c>
      <c r="H73" s="51" t="s">
        <v>16</v>
      </c>
      <c r="I73" s="53">
        <v>1.5800000000000002E-2</v>
      </c>
      <c r="J73" s="26">
        <f t="shared" si="5"/>
        <v>1.3900000000000001E-2</v>
      </c>
    </row>
    <row r="74" spans="1:10" ht="16">
      <c r="A74" s="51" t="str">
        <f>'Sovereign Ratings (Moody''s,S&amp;P)'!A74</f>
        <v>Japan</v>
      </c>
      <c r="B74" s="63" t="str">
        <f>'Sovereign Ratings (Moody''s,S&amp;P)'!C74</f>
        <v>A1</v>
      </c>
      <c r="C74" s="135">
        <f t="shared" si="4"/>
        <v>3.3E-3</v>
      </c>
      <c r="D74" s="64">
        <f t="shared" si="3"/>
        <v>1.4E-3</v>
      </c>
      <c r="H74" s="51" t="s">
        <v>18</v>
      </c>
      <c r="I74" s="53">
        <v>1.32E-2</v>
      </c>
      <c r="J74" s="26">
        <f t="shared" si="5"/>
        <v>1.1299999999999999E-2</v>
      </c>
    </row>
    <row r="75" spans="1:10" ht="16">
      <c r="A75" s="51" t="str">
        <f>'Sovereign Ratings (Moody''s,S&amp;P)'!A75</f>
        <v>Jersey (States of)</v>
      </c>
      <c r="B75" s="63" t="str">
        <f>'Sovereign Ratings (Moody''s,S&amp;P)'!C75</f>
        <v>Aaa</v>
      </c>
      <c r="C75" s="135" t="s">
        <v>143</v>
      </c>
      <c r="D75" s="64" t="str">
        <f t="shared" si="3"/>
        <v>NA</v>
      </c>
      <c r="H75" s="51" t="s">
        <v>187</v>
      </c>
      <c r="I75" s="53">
        <v>1.9E-3</v>
      </c>
      <c r="J75" s="26">
        <f t="shared" si="5"/>
        <v>0</v>
      </c>
    </row>
    <row r="76" spans="1:10" ht="16">
      <c r="A76" s="51" t="str">
        <f>'Sovereign Ratings (Moody''s,S&amp;P)'!A76</f>
        <v>Jordan</v>
      </c>
      <c r="B76" s="63" t="str">
        <f>'Sovereign Ratings (Moody''s,S&amp;P)'!C76</f>
        <v>B1</v>
      </c>
      <c r="C76" s="135" t="s">
        <v>143</v>
      </c>
      <c r="D76" s="64" t="str">
        <f t="shared" si="3"/>
        <v>NA</v>
      </c>
      <c r="H76" s="51" t="s">
        <v>21</v>
      </c>
      <c r="I76" s="53">
        <v>2.0999999999999999E-3</v>
      </c>
      <c r="J76" s="26">
        <f t="shared" si="5"/>
        <v>1.9999999999999987E-4</v>
      </c>
    </row>
    <row r="77" spans="1:10" ht="16">
      <c r="A77" s="51" t="str">
        <f>'Sovereign Ratings (Moody''s,S&amp;P)'!A77</f>
        <v>Kazakhstan</v>
      </c>
      <c r="B77" s="63" t="str">
        <f>'Sovereign Ratings (Moody''s,S&amp;P)'!C77</f>
        <v>Baa2</v>
      </c>
      <c r="C77" s="135">
        <f t="shared" si="4"/>
        <v>9.9000000000000008E-3</v>
      </c>
      <c r="D77" s="64">
        <f t="shared" si="3"/>
        <v>8.0000000000000002E-3</v>
      </c>
      <c r="H77" s="204" t="s">
        <v>22</v>
      </c>
      <c r="I77" s="211">
        <v>4.36E-2</v>
      </c>
      <c r="J77" s="212">
        <f t="shared" si="5"/>
        <v>4.1700000000000001E-2</v>
      </c>
    </row>
    <row r="78" spans="1:10" ht="16">
      <c r="A78" s="51" t="str">
        <f>'Sovereign Ratings (Moody''s,S&amp;P)'!A78</f>
        <v>Kenya</v>
      </c>
      <c r="B78" s="63" t="str">
        <f>'Sovereign Ratings (Moody''s,S&amp;P)'!C78</f>
        <v>B2</v>
      </c>
      <c r="C78" s="135">
        <f t="shared" si="4"/>
        <v>4.4400000000000002E-2</v>
      </c>
      <c r="D78" s="64">
        <f t="shared" si="3"/>
        <v>4.2500000000000003E-2</v>
      </c>
      <c r="H78" s="51" t="s">
        <v>188</v>
      </c>
      <c r="I78" s="53">
        <v>5.5300000000000002E-2</v>
      </c>
      <c r="J78" s="26">
        <f t="shared" si="5"/>
        <v>5.3400000000000003E-2</v>
      </c>
    </row>
    <row r="79" spans="1:10" ht="16">
      <c r="A79" s="51" t="str">
        <f>'Sovereign Ratings (Moody''s,S&amp;P)'!A79</f>
        <v>Korea</v>
      </c>
      <c r="B79" s="63" t="str">
        <f>'Sovereign Ratings (Moody''s,S&amp;P)'!C79</f>
        <v>Aa2</v>
      </c>
      <c r="C79" s="135">
        <f t="shared" si="4"/>
        <v>3.5000000000000001E-3</v>
      </c>
      <c r="D79" s="64">
        <f t="shared" si="3"/>
        <v>1.6000000000000001E-3</v>
      </c>
      <c r="H79" s="51" t="s">
        <v>23</v>
      </c>
      <c r="I79" s="53">
        <v>1.9E-3</v>
      </c>
      <c r="J79" s="26">
        <f t="shared" si="5"/>
        <v>0</v>
      </c>
    </row>
    <row r="80" spans="1:10" ht="16">
      <c r="A80" s="51" t="str">
        <f>'Sovereign Ratings (Moody''s,S&amp;P)'!A80</f>
        <v>Kuwait</v>
      </c>
      <c r="B80" s="63" t="str">
        <f>'Sovereign Ratings (Moody''s,S&amp;P)'!C80</f>
        <v>A1</v>
      </c>
      <c r="C80" s="135">
        <f t="shared" si="4"/>
        <v>8.6E-3</v>
      </c>
      <c r="D80" s="64">
        <f t="shared" si="3"/>
        <v>6.7000000000000002E-3</v>
      </c>
      <c r="H80" s="141" t="s">
        <v>24</v>
      </c>
      <c r="I80" s="53">
        <v>3.1899999999999998E-2</v>
      </c>
      <c r="J80" s="26">
        <f t="shared" si="5"/>
        <v>0.03</v>
      </c>
    </row>
    <row r="81" spans="1:10" ht="16">
      <c r="A81" s="51" t="str">
        <f>'Sovereign Ratings (Moody''s,S&amp;P)'!A81</f>
        <v>Kyrgyzstan</v>
      </c>
      <c r="B81" s="63" t="str">
        <f>'Sovereign Ratings (Moody''s,S&amp;P)'!C81</f>
        <v>B2</v>
      </c>
      <c r="C81" s="135" t="s">
        <v>143</v>
      </c>
      <c r="D81" s="64" t="str">
        <f t="shared" si="3"/>
        <v>NA</v>
      </c>
      <c r="H81" s="51" t="s">
        <v>25</v>
      </c>
      <c r="I81" s="53">
        <v>3.6700000000000003E-2</v>
      </c>
      <c r="J81" s="26">
        <f t="shared" si="5"/>
        <v>3.4800000000000005E-2</v>
      </c>
    </row>
    <row r="82" spans="1:10" ht="16">
      <c r="A82" s="51" t="str">
        <f>'Sovereign Ratings (Moody''s,S&amp;P)'!A82</f>
        <v>Laos</v>
      </c>
      <c r="B82" s="63" t="str">
        <f>'Sovereign Ratings (Moody''s,S&amp;P)'!C82</f>
        <v>Caa2</v>
      </c>
      <c r="C82" s="135" t="s">
        <v>143</v>
      </c>
      <c r="D82" s="64" t="str">
        <f t="shared" si="3"/>
        <v>NA</v>
      </c>
      <c r="H82" s="51" t="s">
        <v>26</v>
      </c>
      <c r="I82" s="53">
        <v>1.26E-2</v>
      </c>
      <c r="J82" s="26">
        <f t="shared" si="5"/>
        <v>1.0699999999999999E-2</v>
      </c>
    </row>
    <row r="83" spans="1:10" ht="16">
      <c r="A83" s="51" t="str">
        <f>'Sovereign Ratings (Moody''s,S&amp;P)'!A83</f>
        <v>Latvia</v>
      </c>
      <c r="B83" s="63" t="str">
        <f>'Sovereign Ratings (Moody''s,S&amp;P)'!C83</f>
        <v>A3</v>
      </c>
      <c r="C83" s="135">
        <f t="shared" si="4"/>
        <v>7.4000000000000003E-3</v>
      </c>
      <c r="D83" s="64">
        <f t="shared" si="3"/>
        <v>5.5000000000000005E-3</v>
      </c>
      <c r="H83" s="51" t="s">
        <v>28</v>
      </c>
      <c r="I83" s="53">
        <v>1.3100000000000001E-2</v>
      </c>
      <c r="J83" s="26">
        <f t="shared" si="5"/>
        <v>1.12E-2</v>
      </c>
    </row>
    <row r="84" spans="1:10" ht="16">
      <c r="A84" s="51" t="str">
        <f>'Sovereign Ratings (Moody''s,S&amp;P)'!A84</f>
        <v>Lebanon</v>
      </c>
      <c r="B84" s="63" t="str">
        <f>'Sovereign Ratings (Moody''s,S&amp;P)'!C84</f>
        <v>C</v>
      </c>
      <c r="C84" s="135" t="str">
        <f t="shared" si="4"/>
        <v>NA</v>
      </c>
      <c r="D84" s="64" t="str">
        <f t="shared" si="3"/>
        <v>NA</v>
      </c>
      <c r="H84" s="51" t="s">
        <v>29</v>
      </c>
      <c r="I84" s="53">
        <v>9.1999999999999998E-3</v>
      </c>
      <c r="J84" s="26">
        <f t="shared" si="5"/>
        <v>7.3000000000000001E-3</v>
      </c>
    </row>
    <row r="85" spans="1:10" ht="16">
      <c r="A85" s="51" t="str">
        <f>'Sovereign Ratings (Moody''s,S&amp;P)'!A85</f>
        <v>Liechtenstein</v>
      </c>
      <c r="B85" s="63" t="str">
        <f>'Sovereign Ratings (Moody''s,S&amp;P)'!C85</f>
        <v>Aaa</v>
      </c>
      <c r="C85" s="135" t="s">
        <v>143</v>
      </c>
      <c r="D85" s="64" t="str">
        <f t="shared" si="3"/>
        <v>NA</v>
      </c>
      <c r="H85" s="51" t="s">
        <v>30</v>
      </c>
      <c r="I85" s="53">
        <v>6.7999999999999996E-3</v>
      </c>
      <c r="J85" s="26">
        <f t="shared" si="5"/>
        <v>4.8999999999999998E-3</v>
      </c>
    </row>
    <row r="86" spans="1:10" ht="16">
      <c r="A86" s="51" t="str">
        <f>'Sovereign Ratings (Moody''s,S&amp;P)'!A86</f>
        <v>Lithuania</v>
      </c>
      <c r="B86" s="63" t="str">
        <f>'Sovereign Ratings (Moody''s,S&amp;P)'!C86</f>
        <v>A2</v>
      </c>
      <c r="C86" s="135">
        <f t="shared" si="4"/>
        <v>7.9000000000000008E-3</v>
      </c>
      <c r="D86" s="64">
        <f t="shared" si="3"/>
        <v>6.000000000000001E-3</v>
      </c>
      <c r="H86" s="51" t="s">
        <v>189</v>
      </c>
      <c r="I86" s="53">
        <v>5.5999999999999999E-3</v>
      </c>
      <c r="J86" s="26">
        <f t="shared" si="5"/>
        <v>3.7000000000000002E-3</v>
      </c>
    </row>
    <row r="87" spans="1:10" ht="16">
      <c r="A87" s="51" t="str">
        <f>'Sovereign Ratings (Moody''s,S&amp;P)'!A87</f>
        <v>Luxembourg</v>
      </c>
      <c r="B87" s="63" t="str">
        <f>'Sovereign Ratings (Moody''s,S&amp;P)'!C87</f>
        <v>Aaa</v>
      </c>
      <c r="C87" s="135" t="s">
        <v>143</v>
      </c>
      <c r="D87" s="64" t="str">
        <f t="shared" si="3"/>
        <v>NA</v>
      </c>
      <c r="H87" s="51" t="s">
        <v>74</v>
      </c>
      <c r="I87" s="53">
        <v>7.4000000000000003E-3</v>
      </c>
      <c r="J87" s="26">
        <f t="shared" si="5"/>
        <v>5.5000000000000005E-3</v>
      </c>
    </row>
    <row r="88" spans="1:10" ht="16">
      <c r="A88" s="51" t="str">
        <f>'Sovereign Ratings (Moody''s,S&amp;P)'!A88</f>
        <v>Macao</v>
      </c>
      <c r="B88" s="63" t="str">
        <f>'Sovereign Ratings (Moody''s,S&amp;P)'!C88</f>
        <v>Aa3</v>
      </c>
      <c r="C88" s="135" t="s">
        <v>143</v>
      </c>
      <c r="D88" s="64" t="str">
        <f t="shared" si="3"/>
        <v>NA</v>
      </c>
      <c r="H88" s="51" t="s">
        <v>0</v>
      </c>
      <c r="I88" s="53">
        <v>1.24E-2</v>
      </c>
      <c r="J88" s="26">
        <f t="shared" si="5"/>
        <v>1.0499999999999999E-2</v>
      </c>
    </row>
    <row r="89" spans="1:10" ht="16">
      <c r="A89" s="51" t="str">
        <f>'Sovereign Ratings (Moody''s,S&amp;P)'!A89</f>
        <v>Macedonia</v>
      </c>
      <c r="B89" s="63" t="str">
        <f>'Sovereign Ratings (Moody''s,S&amp;P)'!C89</f>
        <v>Ba3</v>
      </c>
      <c r="C89" s="135" t="s">
        <v>143</v>
      </c>
      <c r="D89" s="64" t="str">
        <f t="shared" si="3"/>
        <v>NA</v>
      </c>
      <c r="H89" s="51" t="s">
        <v>1</v>
      </c>
      <c r="I89" s="53">
        <v>1.7000000000000001E-2</v>
      </c>
      <c r="J89" s="26">
        <f t="shared" si="5"/>
        <v>1.5100000000000001E-2</v>
      </c>
    </row>
    <row r="90" spans="1:10" ht="16">
      <c r="A90" s="51" t="str">
        <f>'Sovereign Ratings (Moody''s,S&amp;P)'!A90</f>
        <v>Malaysia</v>
      </c>
      <c r="B90" s="63" t="str">
        <f>'Sovereign Ratings (Moody''s,S&amp;P)'!C90</f>
        <v>A3</v>
      </c>
      <c r="C90" s="135">
        <f t="shared" si="4"/>
        <v>8.0999999999999996E-3</v>
      </c>
      <c r="D90" s="64">
        <f t="shared" si="3"/>
        <v>6.1999999999999998E-3</v>
      </c>
      <c r="H90" s="141" t="s">
        <v>227</v>
      </c>
      <c r="I90" s="53">
        <v>3.3599999999999998E-2</v>
      </c>
      <c r="J90" s="26">
        <f t="shared" si="5"/>
        <v>3.1699999999999999E-2</v>
      </c>
    </row>
    <row r="91" spans="1:10" ht="16">
      <c r="A91" s="51" t="str">
        <f>'Sovereign Ratings (Moody''s,S&amp;P)'!A91</f>
        <v>Maldives</v>
      </c>
      <c r="B91" s="63" t="str">
        <f>'Sovereign Ratings (Moody''s,S&amp;P)'!C91</f>
        <v>Caa1</v>
      </c>
      <c r="C91" s="135" t="s">
        <v>143</v>
      </c>
      <c r="D91" s="64" t="str">
        <f t="shared" si="3"/>
        <v>NA</v>
      </c>
      <c r="H91" s="51" t="s">
        <v>2</v>
      </c>
      <c r="I91" s="53">
        <v>8.8000000000000005E-3</v>
      </c>
      <c r="J91" s="26">
        <f t="shared" si="5"/>
        <v>6.9000000000000008E-3</v>
      </c>
    </row>
    <row r="92" spans="1:10" ht="16">
      <c r="A92" s="51" t="str">
        <f>'Sovereign Ratings (Moody''s,S&amp;P)'!A92</f>
        <v>Mali</v>
      </c>
      <c r="B92" s="63" t="str">
        <f>'Sovereign Ratings (Moody''s,S&amp;P)'!C92</f>
        <v>Caa1</v>
      </c>
      <c r="C92" s="135" t="s">
        <v>143</v>
      </c>
      <c r="D92" s="64" t="str">
        <f t="shared" si="3"/>
        <v>NA</v>
      </c>
      <c r="H92" s="141" t="s">
        <v>135</v>
      </c>
      <c r="I92" s="53">
        <v>2.6599999999999999E-2</v>
      </c>
      <c r="J92" s="26">
        <f t="shared" si="5"/>
        <v>2.47E-2</v>
      </c>
    </row>
    <row r="93" spans="1:10" ht="16">
      <c r="A93" s="51" t="str">
        <f>'Sovereign Ratings (Moody''s,S&amp;P)'!A93</f>
        <v>Malta</v>
      </c>
      <c r="B93" s="63" t="str">
        <f>'Sovereign Ratings (Moody''s,S&amp;P)'!C93</f>
        <v>A2</v>
      </c>
      <c r="C93" s="135" t="s">
        <v>143</v>
      </c>
      <c r="D93" s="64" t="str">
        <f t="shared" si="3"/>
        <v>NA</v>
      </c>
      <c r="H93" s="141" t="s">
        <v>147</v>
      </c>
      <c r="I93" s="53">
        <v>1.37E-2</v>
      </c>
      <c r="J93" s="26">
        <f t="shared" si="5"/>
        <v>1.18E-2</v>
      </c>
    </row>
    <row r="94" spans="1:10" ht="16">
      <c r="A94" s="51" t="str">
        <f>'Sovereign Ratings (Moody''s,S&amp;P)'!A94</f>
        <v>Mauritius</v>
      </c>
      <c r="B94" s="63" t="str">
        <f>'Sovereign Ratings (Moody''s,S&amp;P)'!C94</f>
        <v>Baa2</v>
      </c>
      <c r="C94" s="135" t="s">
        <v>143</v>
      </c>
      <c r="D94" s="64" t="str">
        <f t="shared" si="3"/>
        <v>NA</v>
      </c>
      <c r="H94" s="51" t="s">
        <v>61</v>
      </c>
      <c r="I94" s="53">
        <v>6.3E-3</v>
      </c>
      <c r="J94" s="26">
        <f t="shared" si="5"/>
        <v>4.4000000000000003E-3</v>
      </c>
    </row>
    <row r="95" spans="1:10" ht="16">
      <c r="A95" s="51" t="str">
        <f>'Sovereign Ratings (Moody''s,S&amp;P)'!A95</f>
        <v>Mexico</v>
      </c>
      <c r="B95" s="63" t="str">
        <f>'Sovereign Ratings (Moody''s,S&amp;P)'!C95</f>
        <v>Baa1</v>
      </c>
      <c r="C95" s="135">
        <f t="shared" si="4"/>
        <v>1.5800000000000002E-2</v>
      </c>
      <c r="D95" s="64">
        <f t="shared" si="3"/>
        <v>1.3900000000000001E-2</v>
      </c>
      <c r="H95" s="51" t="s">
        <v>190</v>
      </c>
      <c r="I95" s="53">
        <v>8.6999999999999994E-3</v>
      </c>
      <c r="J95" s="26">
        <f t="shared" si="5"/>
        <v>6.7999999999999996E-3</v>
      </c>
    </row>
    <row r="96" spans="1:10" ht="16">
      <c r="A96" s="51" t="str">
        <f>'Sovereign Ratings (Moody''s,S&amp;P)'!A96</f>
        <v>Moldova</v>
      </c>
      <c r="B96" s="63" t="str">
        <f>'Sovereign Ratings (Moody''s,S&amp;P)'!C96</f>
        <v>B3</v>
      </c>
      <c r="C96" s="135" t="s">
        <v>143</v>
      </c>
      <c r="D96" s="64" t="str">
        <f t="shared" si="3"/>
        <v>NA</v>
      </c>
      <c r="H96" s="51" t="s">
        <v>76</v>
      </c>
      <c r="I96" s="53">
        <v>2.8500000000000001E-2</v>
      </c>
      <c r="J96" s="26">
        <f t="shared" si="5"/>
        <v>2.6600000000000002E-2</v>
      </c>
    </row>
    <row r="97" spans="1:10" ht="16">
      <c r="A97" s="51" t="str">
        <f>'Sovereign Ratings (Moody''s,S&amp;P)'!A97</f>
        <v>Mongolia</v>
      </c>
      <c r="B97" s="63" t="str">
        <f>'Sovereign Ratings (Moody''s,S&amp;P)'!C97</f>
        <v>B3</v>
      </c>
      <c r="C97" s="135" t="s">
        <v>143</v>
      </c>
      <c r="D97" s="64" t="str">
        <f t="shared" si="3"/>
        <v>NA</v>
      </c>
      <c r="H97" s="51" t="s">
        <v>138</v>
      </c>
      <c r="I97" s="53">
        <v>6.0000000000000001E-3</v>
      </c>
      <c r="J97" s="26">
        <f t="shared" si="5"/>
        <v>4.1000000000000003E-3</v>
      </c>
    </row>
    <row r="98" spans="1:10" ht="16">
      <c r="A98" s="51" t="str">
        <f>'Sovereign Ratings (Moody''s,S&amp;P)'!A98</f>
        <v>Montenegro</v>
      </c>
      <c r="B98" s="63" t="str">
        <f>'Sovereign Ratings (Moody''s,S&amp;P)'!C98</f>
        <v>B1</v>
      </c>
      <c r="C98" s="135" t="s">
        <v>143</v>
      </c>
      <c r="D98" s="64" t="str">
        <f t="shared" si="3"/>
        <v>NA</v>
      </c>
      <c r="H98" s="51" t="s">
        <v>134</v>
      </c>
      <c r="I98" s="53">
        <v>0.19689999999999999</v>
      </c>
      <c r="J98" s="26">
        <f t="shared" si="5"/>
        <v>0.19499999999999998</v>
      </c>
    </row>
    <row r="99" spans="1:10" ht="16">
      <c r="A99" s="51" t="str">
        <f>'Sovereign Ratings (Moody''s,S&amp;P)'!A99</f>
        <v>Montserrat</v>
      </c>
      <c r="B99" s="63" t="str">
        <f>'Sovereign Ratings (Moody''s,S&amp;P)'!C99</f>
        <v>Baa3</v>
      </c>
      <c r="C99" s="135" t="s">
        <v>143</v>
      </c>
      <c r="D99" s="64" t="str">
        <f t="shared" si="3"/>
        <v>NA</v>
      </c>
      <c r="H99" s="51" t="s">
        <v>34</v>
      </c>
      <c r="I99" s="53">
        <v>1.9E-3</v>
      </c>
      <c r="J99" s="26">
        <f t="shared" si="5"/>
        <v>0</v>
      </c>
    </row>
    <row r="100" spans="1:10" ht="16">
      <c r="A100" s="51" t="str">
        <f>'Sovereign Ratings (Moody''s,S&amp;P)'!A100</f>
        <v>Morocco</v>
      </c>
      <c r="B100" s="63" t="str">
        <f>'Sovereign Ratings (Moody''s,S&amp;P)'!C100</f>
        <v>Ba1</v>
      </c>
      <c r="C100" s="135">
        <f t="shared" si="4"/>
        <v>1.32E-2</v>
      </c>
      <c r="D100" s="64">
        <f t="shared" si="3"/>
        <v>1.1299999999999999E-2</v>
      </c>
      <c r="H100" s="51" t="s">
        <v>35</v>
      </c>
      <c r="I100" s="53">
        <v>1.1000000000000001E-3</v>
      </c>
      <c r="J100" s="26">
        <f t="shared" si="5"/>
        <v>0</v>
      </c>
    </row>
    <row r="101" spans="1:10" ht="16">
      <c r="A101" s="51" t="str">
        <f>'Sovereign Ratings (Moody''s,S&amp;P)'!A101</f>
        <v>Mozambique</v>
      </c>
      <c r="B101" s="63" t="str">
        <f>'Sovereign Ratings (Moody''s,S&amp;P)'!C101</f>
        <v>Caa2</v>
      </c>
      <c r="C101" s="135" t="s">
        <v>143</v>
      </c>
      <c r="D101" s="64" t="str">
        <f t="shared" si="3"/>
        <v>NA</v>
      </c>
      <c r="H101" s="51" t="s">
        <v>65</v>
      </c>
      <c r="I101" s="53">
        <v>5.1999999999999998E-3</v>
      </c>
      <c r="J101" s="26">
        <f t="shared" si="5"/>
        <v>3.3E-3</v>
      </c>
    </row>
    <row r="102" spans="1:10" ht="16">
      <c r="A102" s="51" t="str">
        <f>'Sovereign Ratings (Moody''s,S&amp;P)'!A102</f>
        <v>Namibia</v>
      </c>
      <c r="B102" s="63" t="str">
        <f>'Sovereign Ratings (Moody''s,S&amp;P)'!C102</f>
        <v>Ba3</v>
      </c>
      <c r="C102" s="135" t="s">
        <v>143</v>
      </c>
      <c r="D102" s="64" t="str">
        <f t="shared" si="3"/>
        <v>NA</v>
      </c>
      <c r="H102" s="51" t="s">
        <v>77</v>
      </c>
      <c r="I102" s="53">
        <v>8.8200000000000001E-2</v>
      </c>
      <c r="J102" s="26">
        <f t="shared" si="5"/>
        <v>8.6300000000000002E-2</v>
      </c>
    </row>
    <row r="103" spans="1:10" ht="16">
      <c r="A103" s="51" t="str">
        <f>'Sovereign Ratings (Moody''s,S&amp;P)'!A103</f>
        <v>Netherlands</v>
      </c>
      <c r="B103" s="63" t="str">
        <f>'Sovereign Ratings (Moody''s,S&amp;P)'!C103</f>
        <v>Aaa</v>
      </c>
      <c r="C103" s="135">
        <f t="shared" si="4"/>
        <v>1.9E-3</v>
      </c>
      <c r="D103" s="64">
        <f t="shared" si="3"/>
        <v>0</v>
      </c>
      <c r="H103" s="51" t="s">
        <v>66</v>
      </c>
      <c r="I103" s="53">
        <v>5.5100000000000003E-2</v>
      </c>
      <c r="J103" s="26">
        <f t="shared" si="5"/>
        <v>5.3200000000000004E-2</v>
      </c>
    </row>
    <row r="104" spans="1:10" ht="16">
      <c r="A104" s="51" t="str">
        <f>'Sovereign Ratings (Moody''s,S&amp;P)'!A104</f>
        <v>New Zealand</v>
      </c>
      <c r="B104" s="63" t="str">
        <f>'Sovereign Ratings (Moody''s,S&amp;P)'!C104</f>
        <v>Aaa</v>
      </c>
      <c r="C104" s="135">
        <f t="shared" si="4"/>
        <v>2.0999999999999999E-3</v>
      </c>
      <c r="D104" s="64">
        <f t="shared" si="3"/>
        <v>1.9999999999999987E-4</v>
      </c>
      <c r="H104" s="51" t="s">
        <v>68</v>
      </c>
      <c r="I104" s="53">
        <v>6.1699999999999998E-2</v>
      </c>
      <c r="J104" s="26">
        <f t="shared" si="5"/>
        <v>5.9799999999999999E-2</v>
      </c>
    </row>
    <row r="105" spans="1:10" ht="16">
      <c r="A105" s="51" t="str">
        <f>'Sovereign Ratings (Moody''s,S&amp;P)'!A105</f>
        <v>Nicaragua</v>
      </c>
      <c r="B105" s="63" t="str">
        <f>'Sovereign Ratings (Moody''s,S&amp;P)'!C105</f>
        <v>B3</v>
      </c>
      <c r="C105" s="135">
        <f t="shared" si="4"/>
        <v>4.36E-2</v>
      </c>
      <c r="D105" s="64">
        <f t="shared" si="3"/>
        <v>4.1700000000000001E-2</v>
      </c>
      <c r="H105" s="51" t="s">
        <v>57</v>
      </c>
      <c r="I105" s="53">
        <v>1.8E-3</v>
      </c>
      <c r="J105" s="26">
        <f t="shared" si="5"/>
        <v>0</v>
      </c>
    </row>
    <row r="106" spans="1:10" ht="16">
      <c r="A106" s="51" t="s">
        <v>321</v>
      </c>
      <c r="B106" s="63" t="str">
        <f>'Sovereign Ratings (Moody''s,S&amp;P)'!C106</f>
        <v>B3</v>
      </c>
      <c r="C106" s="135" t="s">
        <v>143</v>
      </c>
      <c r="D106" s="64" t="str">
        <f t="shared" si="3"/>
        <v>NA</v>
      </c>
      <c r="H106" s="51" t="s">
        <v>356</v>
      </c>
      <c r="I106" s="53">
        <v>1.9E-3</v>
      </c>
      <c r="J106" s="26">
        <f t="shared" si="5"/>
        <v>0</v>
      </c>
    </row>
    <row r="107" spans="1:10" ht="16">
      <c r="A107" s="51" t="str">
        <f>'Sovereign Ratings (Moody''s,S&amp;P)'!A107</f>
        <v>Nigeria</v>
      </c>
      <c r="B107" s="63" t="str">
        <f>'Sovereign Ratings (Moody''s,S&amp;P)'!C107</f>
        <v>B2</v>
      </c>
      <c r="C107" s="135">
        <f t="shared" si="4"/>
        <v>5.5300000000000002E-2</v>
      </c>
      <c r="D107" s="64">
        <f t="shared" si="3"/>
        <v>5.3400000000000003E-2</v>
      </c>
      <c r="H107" s="141" t="s">
        <v>69</v>
      </c>
      <c r="I107" s="53">
        <v>1.46E-2</v>
      </c>
      <c r="J107" s="26">
        <f t="shared" si="5"/>
        <v>1.2699999999999999E-2</v>
      </c>
    </row>
    <row r="108" spans="1:10" ht="16">
      <c r="A108" s="51" t="str">
        <f>'Sovereign Ratings (Moody''s,S&amp;P)'!A108</f>
        <v>Norway</v>
      </c>
      <c r="B108" s="63" t="str">
        <f>'Sovereign Ratings (Moody''s,S&amp;P)'!C108</f>
        <v>Aaa</v>
      </c>
      <c r="C108" s="135">
        <f t="shared" si="4"/>
        <v>1.9E-3</v>
      </c>
      <c r="D108" s="64">
        <f t="shared" si="3"/>
        <v>0</v>
      </c>
      <c r="H108" s="51" t="s">
        <v>70</v>
      </c>
      <c r="I108" s="53" t="s">
        <v>143</v>
      </c>
      <c r="J108" s="26" t="s">
        <v>143</v>
      </c>
    </row>
    <row r="109" spans="1:10" ht="16">
      <c r="A109" s="51" t="str">
        <f>'Sovereign Ratings (Moody''s,S&amp;P)'!A109</f>
        <v>Oman</v>
      </c>
      <c r="B109" s="63" t="str">
        <f>'Sovereign Ratings (Moody''s,S&amp;P)'!C109</f>
        <v>Ba3</v>
      </c>
      <c r="C109" s="135">
        <f t="shared" si="4"/>
        <v>3.1899999999999998E-2</v>
      </c>
      <c r="D109" s="64">
        <f t="shared" si="3"/>
        <v>0.03</v>
      </c>
      <c r="H109" s="51" t="s">
        <v>71</v>
      </c>
      <c r="I109" s="53">
        <v>1.5599999999999999E-2</v>
      </c>
      <c r="J109" s="26">
        <f>IF(I109&lt;$I$106,0,I109-$I$106)</f>
        <v>1.3699999999999999E-2</v>
      </c>
    </row>
    <row r="110" spans="1:10" ht="16">
      <c r="A110" s="51" t="str">
        <f>'Sovereign Ratings (Moody''s,S&amp;P)'!A110</f>
        <v>Pakistan</v>
      </c>
      <c r="B110" s="63" t="str">
        <f>'Sovereign Ratings (Moody''s,S&amp;P)'!C110</f>
        <v>B3</v>
      </c>
      <c r="C110" s="135">
        <f t="shared" si="4"/>
        <v>3.6700000000000003E-2</v>
      </c>
      <c r="D110" s="64">
        <f t="shared" si="3"/>
        <v>3.4800000000000005E-2</v>
      </c>
      <c r="H110" s="171" t="s">
        <v>192</v>
      </c>
      <c r="I110" s="53" t="s">
        <v>143</v>
      </c>
      <c r="J110" s="26" t="s">
        <v>143</v>
      </c>
    </row>
    <row r="111" spans="1:10" ht="16">
      <c r="A111" s="51" t="str">
        <f>'Sovereign Ratings (Moody''s,S&amp;P)'!A111</f>
        <v>Panama</v>
      </c>
      <c r="B111" s="63" t="str">
        <f>'Sovereign Ratings (Moody''s,S&amp;P)'!C111</f>
        <v>Baa2</v>
      </c>
      <c r="C111" s="135">
        <f t="shared" si="4"/>
        <v>1.26E-2</v>
      </c>
      <c r="D111" s="64">
        <f t="shared" si="3"/>
        <v>1.0699999999999999E-2</v>
      </c>
    </row>
    <row r="112" spans="1:10" ht="16">
      <c r="A112" s="51" t="str">
        <f>'Sovereign Ratings (Moody''s,S&amp;P)'!A112</f>
        <v>Papua New Guinea</v>
      </c>
      <c r="B112" s="63" t="str">
        <f>'Sovereign Ratings (Moody''s,S&amp;P)'!C112</f>
        <v>B2</v>
      </c>
      <c r="C112" s="135" t="s">
        <v>143</v>
      </c>
      <c r="D112" s="64" t="str">
        <f t="shared" si="3"/>
        <v>NA</v>
      </c>
    </row>
    <row r="113" spans="1:4" ht="16">
      <c r="A113" s="51" t="str">
        <f>'Sovereign Ratings (Moody''s,S&amp;P)'!A113</f>
        <v>Paraguay</v>
      </c>
      <c r="B113" s="63" t="str">
        <f>'Sovereign Ratings (Moody''s,S&amp;P)'!C113</f>
        <v>Ba1</v>
      </c>
      <c r="C113" s="135" t="s">
        <v>143</v>
      </c>
      <c r="D113" s="64" t="str">
        <f t="shared" si="3"/>
        <v>NA</v>
      </c>
    </row>
    <row r="114" spans="1:4" ht="16">
      <c r="A114" s="51" t="str">
        <f>'Sovereign Ratings (Moody''s,S&amp;P)'!A114</f>
        <v>Peru</v>
      </c>
      <c r="B114" s="63" t="str">
        <f>'Sovereign Ratings (Moody''s,S&amp;P)'!C114</f>
        <v>Baa1</v>
      </c>
      <c r="C114" s="135">
        <f t="shared" si="4"/>
        <v>1.3100000000000001E-2</v>
      </c>
      <c r="D114" s="64">
        <f t="shared" si="3"/>
        <v>1.12E-2</v>
      </c>
    </row>
    <row r="115" spans="1:4" ht="16">
      <c r="A115" s="51" t="str">
        <f>'Sovereign Ratings (Moody''s,S&amp;P)'!A115</f>
        <v>Philippines</v>
      </c>
      <c r="B115" s="63" t="str">
        <f>'Sovereign Ratings (Moody''s,S&amp;P)'!C115</f>
        <v>Baa2</v>
      </c>
      <c r="C115" s="135">
        <f t="shared" si="4"/>
        <v>9.1999999999999998E-3</v>
      </c>
      <c r="D115" s="64">
        <f t="shared" si="3"/>
        <v>7.3000000000000001E-3</v>
      </c>
    </row>
    <row r="116" spans="1:4" ht="16">
      <c r="A116" s="51" t="str">
        <f>'Sovereign Ratings (Moody''s,S&amp;P)'!A116</f>
        <v>Poland</v>
      </c>
      <c r="B116" s="63" t="str">
        <f>'Sovereign Ratings (Moody''s,S&amp;P)'!C116</f>
        <v>A2</v>
      </c>
      <c r="C116" s="135">
        <f t="shared" si="4"/>
        <v>6.7999999999999996E-3</v>
      </c>
      <c r="D116" s="64">
        <f t="shared" si="3"/>
        <v>4.8999999999999998E-3</v>
      </c>
    </row>
    <row r="117" spans="1:4" ht="16">
      <c r="A117" s="51" t="str">
        <f>'Sovereign Ratings (Moody''s,S&amp;P)'!A117</f>
        <v>Portugal</v>
      </c>
      <c r="B117" s="63" t="str">
        <f>'Sovereign Ratings (Moody''s,S&amp;P)'!C117</f>
        <v>Baa2</v>
      </c>
      <c r="C117" s="135">
        <f t="shared" si="4"/>
        <v>5.5999999999999999E-3</v>
      </c>
      <c r="D117" s="64">
        <f t="shared" si="3"/>
        <v>3.7000000000000002E-3</v>
      </c>
    </row>
    <row r="118" spans="1:4" ht="16">
      <c r="A118" s="51" t="str">
        <f>'Sovereign Ratings (Moody''s,S&amp;P)'!A118</f>
        <v>Qatar</v>
      </c>
      <c r="B118" s="63" t="str">
        <f>'Sovereign Ratings (Moody''s,S&amp;P)'!C118</f>
        <v>Aa3</v>
      </c>
      <c r="C118" s="135">
        <f t="shared" si="4"/>
        <v>7.4000000000000003E-3</v>
      </c>
      <c r="D118" s="64">
        <f t="shared" si="3"/>
        <v>5.5000000000000005E-3</v>
      </c>
    </row>
    <row r="119" spans="1:4" ht="16">
      <c r="A119" s="51" t="str">
        <f>'Sovereign Ratings (Moody''s,S&amp;P)'!A119</f>
        <v>Ras Al Khaimah (Emirate of)</v>
      </c>
      <c r="B119" s="63" t="str">
        <f>'Sovereign Ratings (Moody''s,S&amp;P)'!C119</f>
        <v>A3</v>
      </c>
      <c r="C119" s="135" t="s">
        <v>143</v>
      </c>
      <c r="D119" s="64" t="str">
        <f t="shared" si="3"/>
        <v>NA</v>
      </c>
    </row>
    <row r="120" spans="1:4" ht="16">
      <c r="A120" s="51" t="str">
        <f>'Sovereign Ratings (Moody''s,S&amp;P)'!A120</f>
        <v>Romania</v>
      </c>
      <c r="B120" s="63" t="str">
        <f>'Sovereign Ratings (Moody''s,S&amp;P)'!C120</f>
        <v>Baa3</v>
      </c>
      <c r="C120" s="135">
        <f t="shared" si="4"/>
        <v>1.24E-2</v>
      </c>
      <c r="D120" s="64">
        <f t="shared" si="3"/>
        <v>1.0499999999999999E-2</v>
      </c>
    </row>
    <row r="121" spans="1:4" ht="16">
      <c r="A121" s="51" t="str">
        <f>'Sovereign Ratings (Moody''s,S&amp;P)'!A121</f>
        <v>Russia</v>
      </c>
      <c r="B121" s="63" t="str">
        <f>'Sovereign Ratings (Moody''s,S&amp;P)'!C121</f>
        <v>Baa3</v>
      </c>
      <c r="C121" s="135">
        <f t="shared" si="4"/>
        <v>1.7000000000000001E-2</v>
      </c>
      <c r="D121" s="64">
        <f t="shared" si="3"/>
        <v>1.5100000000000001E-2</v>
      </c>
    </row>
    <row r="122" spans="1:4" ht="16">
      <c r="A122" s="51" t="str">
        <f>'Sovereign Ratings (Moody''s,S&amp;P)'!A122</f>
        <v>Rwanda</v>
      </c>
      <c r="B122" s="63" t="str">
        <f>'Sovereign Ratings (Moody''s,S&amp;P)'!C122</f>
        <v>B2</v>
      </c>
      <c r="C122" s="135">
        <f t="shared" si="4"/>
        <v>3.3599999999999998E-2</v>
      </c>
      <c r="D122" s="64">
        <f t="shared" si="3"/>
        <v>3.1699999999999999E-2</v>
      </c>
    </row>
    <row r="123" spans="1:4" ht="16">
      <c r="A123" s="51" t="str">
        <f>'Sovereign Ratings (Moody''s,S&amp;P)'!A123</f>
        <v>Saudi Arabia</v>
      </c>
      <c r="B123" s="63" t="str">
        <f>'Sovereign Ratings (Moody''s,S&amp;P)'!C123</f>
        <v>A1</v>
      </c>
      <c r="C123" s="135">
        <f t="shared" si="4"/>
        <v>8.8000000000000005E-3</v>
      </c>
      <c r="D123" s="64">
        <f t="shared" si="3"/>
        <v>6.9000000000000008E-3</v>
      </c>
    </row>
    <row r="124" spans="1:4" ht="16">
      <c r="A124" s="51" t="str">
        <f>'Sovereign Ratings (Moody''s,S&amp;P)'!A124</f>
        <v>Senegal</v>
      </c>
      <c r="B124" s="63" t="str">
        <f>'Sovereign Ratings (Moody''s,S&amp;P)'!C124</f>
        <v>Ba3</v>
      </c>
      <c r="C124" s="135">
        <f t="shared" si="4"/>
        <v>2.6599999999999999E-2</v>
      </c>
      <c r="D124" s="64">
        <f t="shared" si="3"/>
        <v>2.47E-2</v>
      </c>
    </row>
    <row r="125" spans="1:4" ht="16">
      <c r="A125" s="51" t="str">
        <f>'Sovereign Ratings (Moody''s,S&amp;P)'!A125</f>
        <v>Serbia</v>
      </c>
      <c r="B125" s="63" t="str">
        <f>'Sovereign Ratings (Moody''s,S&amp;P)'!C125</f>
        <v>Ba2</v>
      </c>
      <c r="C125" s="135">
        <f t="shared" si="4"/>
        <v>1.37E-2</v>
      </c>
      <c r="D125" s="64">
        <f t="shared" si="3"/>
        <v>1.18E-2</v>
      </c>
    </row>
    <row r="126" spans="1:4" ht="16">
      <c r="A126" s="51" t="str">
        <f>'Sovereign Ratings (Moody''s,S&amp;P)'!A126</f>
        <v>Sharjah</v>
      </c>
      <c r="B126" s="63" t="str">
        <f>'Sovereign Ratings (Moody''s,S&amp;P)'!C126</f>
        <v>Baa3</v>
      </c>
      <c r="C126" s="135" t="s">
        <v>143</v>
      </c>
      <c r="D126" s="64" t="str">
        <f t="shared" si="3"/>
        <v>NA</v>
      </c>
    </row>
    <row r="127" spans="1:4" ht="16">
      <c r="A127" s="51" t="str">
        <f>'Sovereign Ratings (Moody''s,S&amp;P)'!A127</f>
        <v>Singapore</v>
      </c>
      <c r="B127" s="63" t="str">
        <f>'Sovereign Ratings (Moody''s,S&amp;P)'!C127</f>
        <v>Aaa</v>
      </c>
      <c r="C127" s="135" t="s">
        <v>143</v>
      </c>
      <c r="D127" s="64" t="str">
        <f t="shared" si="3"/>
        <v>NA</v>
      </c>
    </row>
    <row r="128" spans="1:4" ht="16">
      <c r="A128" s="51" t="str">
        <f>'Sovereign Ratings (Moody''s,S&amp;P)'!A128</f>
        <v>Slovakia</v>
      </c>
      <c r="B128" s="63" t="str">
        <f>'Sovereign Ratings (Moody''s,S&amp;P)'!C128</f>
        <v>A2</v>
      </c>
      <c r="C128" s="135">
        <f t="shared" si="4"/>
        <v>6.3E-3</v>
      </c>
      <c r="D128" s="64">
        <f t="shared" si="3"/>
        <v>4.4000000000000003E-3</v>
      </c>
    </row>
    <row r="129" spans="1:4" ht="16">
      <c r="A129" s="51" t="str">
        <f>'Sovereign Ratings (Moody''s,S&amp;P)'!A129</f>
        <v>Slovenia</v>
      </c>
      <c r="B129" s="63" t="str">
        <f>'Sovereign Ratings (Moody''s,S&amp;P)'!C129</f>
        <v>A3</v>
      </c>
      <c r="C129" s="135">
        <f t="shared" si="4"/>
        <v>8.6999999999999994E-3</v>
      </c>
      <c r="D129" s="64">
        <f t="shared" si="3"/>
        <v>6.7999999999999996E-3</v>
      </c>
    </row>
    <row r="130" spans="1:4" ht="16">
      <c r="A130" s="51" t="str">
        <f>'Sovereign Ratings (Moody''s,S&amp;P)'!A130</f>
        <v>Solomon Islands</v>
      </c>
      <c r="B130" s="63" t="str">
        <f>'Sovereign Ratings (Moody''s,S&amp;P)'!C130</f>
        <v>Caa1</v>
      </c>
      <c r="C130" s="135" t="s">
        <v>143</v>
      </c>
      <c r="D130" s="64" t="str">
        <f t="shared" ref="D130:D140" si="6">IF(C130="NA","NA",IF(C130&gt;$C$153,C130-$C$153,0))</f>
        <v>NA</v>
      </c>
    </row>
    <row r="131" spans="1:4" ht="16">
      <c r="A131" s="51" t="str">
        <f>'Sovereign Ratings (Moody''s,S&amp;P)'!A131</f>
        <v>South Africa</v>
      </c>
      <c r="B131" s="63" t="str">
        <f>'Sovereign Ratings (Moody''s,S&amp;P)'!C131</f>
        <v>Ba2</v>
      </c>
      <c r="C131" s="135">
        <f t="shared" ref="C131:C158" si="7">VLOOKUP(A131,$H$24:$J$110,2,FALSE)</f>
        <v>2.8500000000000001E-2</v>
      </c>
      <c r="D131" s="64">
        <f t="shared" si="6"/>
        <v>2.6600000000000002E-2</v>
      </c>
    </row>
    <row r="132" spans="1:4" ht="16">
      <c r="A132" s="51" t="str">
        <f>'Sovereign Ratings (Moody''s,S&amp;P)'!A132</f>
        <v>Spain</v>
      </c>
      <c r="B132" s="63" t="str">
        <f>'Sovereign Ratings (Moody''s,S&amp;P)'!C132</f>
        <v>Baa1</v>
      </c>
      <c r="C132" s="135">
        <f t="shared" si="7"/>
        <v>6.0000000000000001E-3</v>
      </c>
      <c r="D132" s="64">
        <f t="shared" si="6"/>
        <v>4.1000000000000003E-3</v>
      </c>
    </row>
    <row r="133" spans="1:4" ht="16">
      <c r="A133" s="51" t="str">
        <f>'Sovereign Ratings (Moody''s,S&amp;P)'!A133</f>
        <v>Sri Lanka</v>
      </c>
      <c r="B133" s="63" t="str">
        <f>'Sovereign Ratings (Moody''s,S&amp;P)'!C133</f>
        <v>Caa2</v>
      </c>
      <c r="C133" s="135">
        <f t="shared" si="7"/>
        <v>0.19689999999999999</v>
      </c>
      <c r="D133" s="64">
        <f t="shared" si="6"/>
        <v>0.19499999999999998</v>
      </c>
    </row>
    <row r="134" spans="1:4" ht="16">
      <c r="A134" s="51" t="str">
        <f>'Sovereign Ratings (Moody''s,S&amp;P)'!A134</f>
        <v>St. Maarten</v>
      </c>
      <c r="B134" s="63" t="str">
        <f>'Sovereign Ratings (Moody''s,S&amp;P)'!C134</f>
        <v>Ba2</v>
      </c>
      <c r="C134" s="135" t="s">
        <v>143</v>
      </c>
      <c r="D134" s="64" t="str">
        <f t="shared" si="6"/>
        <v>NA</v>
      </c>
    </row>
    <row r="135" spans="1:4" ht="16">
      <c r="A135" s="51" t="str">
        <f>'Sovereign Ratings (Moody''s,S&amp;P)'!A135</f>
        <v>St. Vincent &amp; the Grenadines</v>
      </c>
      <c r="B135" s="63" t="str">
        <f>'Sovereign Ratings (Moody''s,S&amp;P)'!C135</f>
        <v>B3</v>
      </c>
      <c r="C135" s="135" t="s">
        <v>143</v>
      </c>
      <c r="D135" s="64" t="str">
        <f t="shared" si="6"/>
        <v>NA</v>
      </c>
    </row>
    <row r="136" spans="1:4" ht="16">
      <c r="A136" s="51" t="str">
        <f>'Sovereign Ratings (Moody''s,S&amp;P)'!A136</f>
        <v>Suriname</v>
      </c>
      <c r="B136" s="63" t="str">
        <f>'Sovereign Ratings (Moody''s,S&amp;P)'!C136</f>
        <v>Caa3</v>
      </c>
      <c r="C136" s="135" t="s">
        <v>143</v>
      </c>
      <c r="D136" s="64" t="str">
        <f t="shared" si="6"/>
        <v>NA</v>
      </c>
    </row>
    <row r="137" spans="1:4" ht="16">
      <c r="A137" s="51" t="str">
        <f>'Sovereign Ratings (Moody''s,S&amp;P)'!A137</f>
        <v>Swaziland</v>
      </c>
      <c r="B137" s="63" t="str">
        <f>'Sovereign Ratings (Moody''s,S&amp;P)'!C137</f>
        <v>B3</v>
      </c>
      <c r="C137" s="135" t="s">
        <v>143</v>
      </c>
      <c r="D137" s="64" t="str">
        <f t="shared" si="6"/>
        <v>NA</v>
      </c>
    </row>
    <row r="138" spans="1:4" ht="16">
      <c r="A138" s="51" t="str">
        <f>'Sovereign Ratings (Moody''s,S&amp;P)'!A138</f>
        <v>Sweden</v>
      </c>
      <c r="B138" s="63" t="str">
        <f>'Sovereign Ratings (Moody''s,S&amp;P)'!C138</f>
        <v>Aaa</v>
      </c>
      <c r="C138" s="135">
        <f t="shared" si="7"/>
        <v>1.9E-3</v>
      </c>
      <c r="D138" s="64">
        <f t="shared" si="6"/>
        <v>0</v>
      </c>
    </row>
    <row r="139" spans="1:4" ht="16">
      <c r="A139" s="51" t="str">
        <f>'Sovereign Ratings (Moody''s,S&amp;P)'!A139</f>
        <v>Switzerland</v>
      </c>
      <c r="B139" s="63" t="str">
        <f>'Sovereign Ratings (Moody''s,S&amp;P)'!C139</f>
        <v>Aaa</v>
      </c>
      <c r="C139" s="135">
        <f t="shared" si="7"/>
        <v>1.1000000000000001E-3</v>
      </c>
      <c r="D139" s="64">
        <f t="shared" si="6"/>
        <v>0</v>
      </c>
    </row>
    <row r="140" spans="1:4" ht="16">
      <c r="A140" s="51" t="str">
        <f>'Sovereign Ratings (Moody''s,S&amp;P)'!A140</f>
        <v>Taiwan</v>
      </c>
      <c r="B140" s="63" t="str">
        <f>'Sovereign Ratings (Moody''s,S&amp;P)'!C140</f>
        <v>Aa3</v>
      </c>
      <c r="C140" s="135" t="s">
        <v>143</v>
      </c>
      <c r="D140" s="64" t="str">
        <f t="shared" si="6"/>
        <v>NA</v>
      </c>
    </row>
    <row r="141" spans="1:4" ht="16">
      <c r="A141" s="51" t="str">
        <f>'Sovereign Ratings (Moody''s,S&amp;P)'!A141</f>
        <v>Tajikistan</v>
      </c>
      <c r="B141" s="63" t="str">
        <f>'Sovereign Ratings (Moody''s,S&amp;P)'!C141</f>
        <v>B3</v>
      </c>
      <c r="C141" s="135" t="s">
        <v>143</v>
      </c>
      <c r="D141" s="64" t="str">
        <f>IF(C141="NA","NA",IF(C141&gt;$C$153,C141-$C$153,0))</f>
        <v>NA</v>
      </c>
    </row>
    <row r="142" spans="1:4" ht="16">
      <c r="A142" s="51" t="str">
        <f>'Sovereign Ratings (Moody''s,S&amp;P)'!A142</f>
        <v>Tanzania</v>
      </c>
      <c r="B142" s="63" t="str">
        <f>'Sovereign Ratings (Moody''s,S&amp;P)'!C142</f>
        <v>B2</v>
      </c>
      <c r="C142" s="135" t="s">
        <v>143</v>
      </c>
      <c r="D142" s="64" t="str">
        <f t="shared" ref="D142:D158" si="8">IF(C142="NA","NA",IF(C142&gt;$C$153,C142-$C$153,0))</f>
        <v>NA</v>
      </c>
    </row>
    <row r="143" spans="1:4" ht="16">
      <c r="A143" s="51" t="str">
        <f>'Sovereign Ratings (Moody''s,S&amp;P)'!A143</f>
        <v>Thailand</v>
      </c>
      <c r="B143" s="63" t="str">
        <f>'Sovereign Ratings (Moody''s,S&amp;P)'!C143</f>
        <v>Baa1</v>
      </c>
      <c r="C143" s="135">
        <f t="shared" si="7"/>
        <v>5.1999999999999998E-3</v>
      </c>
      <c r="D143" s="64">
        <f t="shared" si="8"/>
        <v>3.3E-3</v>
      </c>
    </row>
    <row r="144" spans="1:4" ht="16">
      <c r="A144" s="51" t="str">
        <f>'Sovereign Ratings (Moody''s,S&amp;P)'!A144</f>
        <v>Togo</v>
      </c>
      <c r="B144" s="63" t="str">
        <f>'Sovereign Ratings (Moody''s,S&amp;P)'!C144</f>
        <v>B3</v>
      </c>
      <c r="C144" s="135" t="s">
        <v>143</v>
      </c>
      <c r="D144" s="64" t="str">
        <f t="shared" si="8"/>
        <v>NA</v>
      </c>
    </row>
    <row r="145" spans="1:4" ht="16">
      <c r="A145" s="51" t="str">
        <f>'Sovereign Ratings (Moody''s,S&amp;P)'!A145</f>
        <v>Trinidad and Tobago</v>
      </c>
      <c r="B145" s="63" t="str">
        <f>'Sovereign Ratings (Moody''s,S&amp;P)'!C145</f>
        <v>Ba2</v>
      </c>
      <c r="C145" s="135" t="s">
        <v>143</v>
      </c>
      <c r="D145" s="64" t="str">
        <f t="shared" si="8"/>
        <v>NA</v>
      </c>
    </row>
    <row r="146" spans="1:4" ht="16">
      <c r="A146" s="51" t="str">
        <f>'Sovereign Ratings (Moody''s,S&amp;P)'!A146</f>
        <v>Tunisia</v>
      </c>
      <c r="B146" s="63" t="str">
        <f>'Sovereign Ratings (Moody''s,S&amp;P)'!C146</f>
        <v>Caa1</v>
      </c>
      <c r="C146" s="135">
        <f t="shared" si="7"/>
        <v>8.8200000000000001E-2</v>
      </c>
      <c r="D146" s="64">
        <f t="shared" si="8"/>
        <v>8.6300000000000002E-2</v>
      </c>
    </row>
    <row r="147" spans="1:4" ht="16">
      <c r="A147" s="51" t="str">
        <f>'Sovereign Ratings (Moody''s,S&amp;P)'!A147</f>
        <v>Turkey</v>
      </c>
      <c r="B147" s="63" t="str">
        <f>'Sovereign Ratings (Moody''s,S&amp;P)'!C147</f>
        <v>B2</v>
      </c>
      <c r="C147" s="135">
        <f t="shared" si="7"/>
        <v>5.5100000000000003E-2</v>
      </c>
      <c r="D147" s="64">
        <f t="shared" si="8"/>
        <v>5.3200000000000004E-2</v>
      </c>
    </row>
    <row r="148" spans="1:4" ht="16">
      <c r="A148" s="51" t="str">
        <f>'Sovereign Ratings (Moody''s,S&amp;P)'!A148</f>
        <v>Turks and Caicos Islands</v>
      </c>
      <c r="B148" s="63" t="str">
        <f>'Sovereign Ratings (Moody''s,S&amp;P)'!C148</f>
        <v>Baa1</v>
      </c>
      <c r="C148" s="135" t="s">
        <v>143</v>
      </c>
      <c r="D148" s="64" t="str">
        <f t="shared" si="8"/>
        <v>NA</v>
      </c>
    </row>
    <row r="149" spans="1:4" ht="16">
      <c r="A149" s="51" t="str">
        <f>'Sovereign Ratings (Moody''s,S&amp;P)'!A149</f>
        <v>Uganda</v>
      </c>
      <c r="B149" s="63" t="str">
        <f>'Sovereign Ratings (Moody''s,S&amp;P)'!C149</f>
        <v>B2</v>
      </c>
      <c r="C149" s="135" t="s">
        <v>143</v>
      </c>
      <c r="D149" s="64" t="str">
        <f t="shared" si="8"/>
        <v>NA</v>
      </c>
    </row>
    <row r="150" spans="1:4" ht="16">
      <c r="A150" s="51" t="str">
        <f>'Sovereign Ratings (Moody''s,S&amp;P)'!A150</f>
        <v>Ukraine</v>
      </c>
      <c r="B150" s="63" t="str">
        <f>'Sovereign Ratings (Moody''s,S&amp;P)'!C150</f>
        <v>B3</v>
      </c>
      <c r="C150" s="135">
        <f t="shared" si="7"/>
        <v>6.1699999999999998E-2</v>
      </c>
      <c r="D150" s="64">
        <f t="shared" si="8"/>
        <v>5.9799999999999999E-2</v>
      </c>
    </row>
    <row r="151" spans="1:4" ht="16">
      <c r="A151" s="51" t="str">
        <f>'Sovereign Ratings (Moody''s,S&amp;P)'!A151</f>
        <v>United Arab Emirates</v>
      </c>
      <c r="B151" s="63" t="str">
        <f>'Sovereign Ratings (Moody''s,S&amp;P)'!C151</f>
        <v>Aa2</v>
      </c>
      <c r="C151" s="135" t="s">
        <v>143</v>
      </c>
      <c r="D151" s="64" t="str">
        <f t="shared" si="8"/>
        <v>NA</v>
      </c>
    </row>
    <row r="152" spans="1:4" ht="16">
      <c r="A152" s="51" t="str">
        <f>'Sovereign Ratings (Moody''s,S&amp;P)'!A152</f>
        <v>United Kingdom</v>
      </c>
      <c r="B152" s="63" t="str">
        <f>'Sovereign Ratings (Moody''s,S&amp;P)'!C152</f>
        <v>Aa3</v>
      </c>
      <c r="C152" s="135">
        <f t="shared" si="7"/>
        <v>1.8E-3</v>
      </c>
      <c r="D152" s="64">
        <f t="shared" si="8"/>
        <v>0</v>
      </c>
    </row>
    <row r="153" spans="1:4" ht="16">
      <c r="A153" s="51" t="str">
        <f>'Sovereign Ratings (Moody''s,S&amp;P)'!A153</f>
        <v>United States</v>
      </c>
      <c r="B153" s="63" t="str">
        <f>'Sovereign Ratings (Moody''s,S&amp;P)'!C153</f>
        <v>Aaa</v>
      </c>
      <c r="C153" s="135">
        <f t="shared" si="7"/>
        <v>1.9E-3</v>
      </c>
      <c r="D153" s="64">
        <f t="shared" si="8"/>
        <v>0</v>
      </c>
    </row>
    <row r="154" spans="1:4" ht="16">
      <c r="A154" s="51" t="str">
        <f>'Sovereign Ratings (Moody''s,S&amp;P)'!A154</f>
        <v>Uruguay</v>
      </c>
      <c r="B154" s="63" t="str">
        <f>'Sovereign Ratings (Moody''s,S&amp;P)'!C154</f>
        <v>Baa2</v>
      </c>
      <c r="C154" s="135">
        <f t="shared" si="7"/>
        <v>1.46E-2</v>
      </c>
      <c r="D154" s="64">
        <f t="shared" si="8"/>
        <v>1.2699999999999999E-2</v>
      </c>
    </row>
    <row r="155" spans="1:4" ht="16">
      <c r="A155" s="51" t="str">
        <f>'Sovereign Ratings (Moody''s,S&amp;P)'!A155</f>
        <v>Uzbekistan</v>
      </c>
      <c r="B155" s="63" t="str">
        <f>'Sovereign Ratings (Moody''s,S&amp;P)'!C155</f>
        <v>B1</v>
      </c>
      <c r="C155" s="135" t="s">
        <v>143</v>
      </c>
      <c r="D155" s="64" t="str">
        <f t="shared" si="8"/>
        <v>NA</v>
      </c>
    </row>
    <row r="156" spans="1:4" ht="16">
      <c r="A156" s="51" t="str">
        <f>'Sovereign Ratings (Moody''s,S&amp;P)'!A156</f>
        <v>Venezuela</v>
      </c>
      <c r="B156" s="63" t="str">
        <f>'Sovereign Ratings (Moody''s,S&amp;P)'!C156</f>
        <v>C</v>
      </c>
      <c r="C156" s="135" t="str">
        <f t="shared" si="7"/>
        <v>NA</v>
      </c>
      <c r="D156" s="64" t="str">
        <f t="shared" si="8"/>
        <v>NA</v>
      </c>
    </row>
    <row r="157" spans="1:4" ht="16">
      <c r="A157" s="51" t="str">
        <f>'Sovereign Ratings (Moody''s,S&amp;P)'!A157</f>
        <v>Vietnam</v>
      </c>
      <c r="B157" s="63" t="str">
        <f>'Sovereign Ratings (Moody''s,S&amp;P)'!C157</f>
        <v>Ba3</v>
      </c>
      <c r="C157" s="135">
        <f t="shared" si="7"/>
        <v>1.5599999999999999E-2</v>
      </c>
      <c r="D157" s="64">
        <f t="shared" si="8"/>
        <v>1.3699999999999999E-2</v>
      </c>
    </row>
    <row r="158" spans="1:4" ht="16">
      <c r="A158" s="51" t="str">
        <f>'Sovereign Ratings (Moody''s,S&amp;P)'!A158</f>
        <v>Zambia</v>
      </c>
      <c r="B158" s="63" t="str">
        <f>'Sovereign Ratings (Moody''s,S&amp;P)'!C158</f>
        <v>Ca</v>
      </c>
      <c r="C158" s="135" t="str">
        <f t="shared" si="7"/>
        <v>NA</v>
      </c>
      <c r="D158" s="64" t="str">
        <f t="shared" si="8"/>
        <v>NA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4"/>
  <sheetViews>
    <sheetView workbookViewId="0">
      <selection activeCell="H84" sqref="A1:H84"/>
    </sheetView>
  </sheetViews>
  <sheetFormatPr baseColWidth="10" defaultRowHeight="13"/>
  <cols>
    <col min="1" max="1" width="12.1640625" style="21" bestFit="1" customWidth="1"/>
    <col min="2" max="2" width="35.5" bestFit="1" customWidth="1"/>
    <col min="3" max="3" width="21" bestFit="1" customWidth="1"/>
    <col min="4" max="4" width="21.33203125" bestFit="1" customWidth="1"/>
  </cols>
  <sheetData>
    <row r="1" spans="1:8" s="186" customFormat="1" ht="19">
      <c r="A1" s="184" t="s">
        <v>504</v>
      </c>
      <c r="B1" s="185">
        <v>42766</v>
      </c>
    </row>
    <row r="2" spans="1:8" ht="14" thickBot="1">
      <c r="A2" s="182"/>
      <c r="B2" s="183"/>
    </row>
    <row r="3" spans="1:8" ht="19" thickBot="1">
      <c r="A3" s="222" t="s">
        <v>75</v>
      </c>
      <c r="B3" s="223" t="s">
        <v>399</v>
      </c>
      <c r="C3" s="224" t="s">
        <v>553</v>
      </c>
      <c r="D3" s="224" t="s">
        <v>554</v>
      </c>
      <c r="E3" s="224" t="s">
        <v>555</v>
      </c>
      <c r="F3" s="225" t="s">
        <v>397</v>
      </c>
      <c r="G3" s="226" t="s">
        <v>503</v>
      </c>
      <c r="H3" s="227" t="s">
        <v>556</v>
      </c>
    </row>
    <row r="4" spans="1:8" ht="18" thickBot="1">
      <c r="A4" s="228" t="s">
        <v>337</v>
      </c>
      <c r="B4" s="229" t="s">
        <v>143</v>
      </c>
      <c r="C4" s="230" t="s">
        <v>143</v>
      </c>
      <c r="D4" s="230" t="str">
        <f t="shared" ref="D4:D67" si="0">IF(C4="NA","NA",IF(B4="NA","NA",B4/C4))</f>
        <v>NA</v>
      </c>
      <c r="E4" s="231">
        <v>1.6999999999999999E-3</v>
      </c>
      <c r="F4" s="232">
        <v>1.0999999999999999E-2</v>
      </c>
      <c r="G4" s="231">
        <f t="shared" ref="G4:G67" si="1">IF(F4="NA","NA",E4/F4)</f>
        <v>0.15454545454545454</v>
      </c>
      <c r="H4" s="233" t="str">
        <f t="shared" ref="H4:H67" si="2">IF(G4="NA","NA",IF(B4="NA","NA",B4/G4))</f>
        <v>NA</v>
      </c>
    </row>
    <row r="5" spans="1:8" ht="18" thickBot="1">
      <c r="A5" s="228" t="s">
        <v>131</v>
      </c>
      <c r="B5" s="229" t="s">
        <v>143</v>
      </c>
      <c r="C5" s="230" t="s">
        <v>143</v>
      </c>
      <c r="D5" s="234" t="str">
        <f t="shared" si="0"/>
        <v>NA</v>
      </c>
      <c r="E5" s="231">
        <v>6.7999999999999996E-3</v>
      </c>
      <c r="F5" s="232">
        <v>7.4999999999999997E-2</v>
      </c>
      <c r="G5" s="232">
        <f t="shared" si="1"/>
        <v>9.0666666666666659E-2</v>
      </c>
      <c r="H5" s="233" t="str">
        <f t="shared" si="2"/>
        <v>NA</v>
      </c>
    </row>
    <row r="6" spans="1:8" ht="18" thickBot="1">
      <c r="A6" s="228" t="s">
        <v>84</v>
      </c>
      <c r="B6" s="229">
        <v>0.53159999999999996</v>
      </c>
      <c r="C6" s="230" t="s">
        <v>143</v>
      </c>
      <c r="D6" s="234" t="str">
        <f t="shared" si="0"/>
        <v>NA</v>
      </c>
      <c r="E6" s="231">
        <v>3.6999999999999998E-2</v>
      </c>
      <c r="F6" s="232">
        <v>0.19550000000000001</v>
      </c>
      <c r="G6" s="232">
        <f t="shared" si="1"/>
        <v>0.18925831202046034</v>
      </c>
      <c r="H6" s="233">
        <f t="shared" si="2"/>
        <v>2.8088594594594594</v>
      </c>
    </row>
    <row r="7" spans="1:8" ht="18" thickBot="1">
      <c r="A7" s="228" t="s">
        <v>87</v>
      </c>
      <c r="B7" s="229">
        <v>0.12759999999999999</v>
      </c>
      <c r="C7" s="230" t="s">
        <v>143</v>
      </c>
      <c r="D7" s="234" t="str">
        <f t="shared" si="0"/>
        <v>NA</v>
      </c>
      <c r="E7" s="231">
        <v>4.4999999999999997E-3</v>
      </c>
      <c r="F7" s="232">
        <v>3.1800000000000002E-2</v>
      </c>
      <c r="G7" s="232">
        <f t="shared" si="1"/>
        <v>0.14150943396226412</v>
      </c>
      <c r="H7" s="233">
        <f t="shared" si="2"/>
        <v>0.90170666666666677</v>
      </c>
    </row>
    <row r="8" spans="1:8" ht="18" thickBot="1">
      <c r="A8" s="228" t="s">
        <v>132</v>
      </c>
      <c r="B8" s="229">
        <v>0.13550000000000001</v>
      </c>
      <c r="C8" s="230" t="s">
        <v>143</v>
      </c>
      <c r="D8" s="234" t="str">
        <f t="shared" si="0"/>
        <v>NA</v>
      </c>
      <c r="E8" s="230" t="s">
        <v>143</v>
      </c>
      <c r="F8" s="232" t="s">
        <v>143</v>
      </c>
      <c r="G8" s="232" t="str">
        <f t="shared" si="1"/>
        <v>NA</v>
      </c>
      <c r="H8" s="233" t="str">
        <f t="shared" si="2"/>
        <v>NA</v>
      </c>
    </row>
    <row r="9" spans="1:8" ht="18" thickBot="1">
      <c r="A9" s="228" t="s">
        <v>144</v>
      </c>
      <c r="B9" s="229">
        <v>0.15690000000000001</v>
      </c>
      <c r="C9" s="230" t="s">
        <v>143</v>
      </c>
      <c r="D9" s="234" t="str">
        <f t="shared" si="0"/>
        <v>NA</v>
      </c>
      <c r="E9" s="230" t="s">
        <v>143</v>
      </c>
      <c r="F9" s="232" t="s">
        <v>143</v>
      </c>
      <c r="G9" s="232" t="str">
        <f t="shared" si="1"/>
        <v>NA</v>
      </c>
      <c r="H9" s="233" t="str">
        <f t="shared" si="2"/>
        <v>NA</v>
      </c>
    </row>
    <row r="10" spans="1:8" ht="18" thickBot="1">
      <c r="A10" s="228" t="s">
        <v>123</v>
      </c>
      <c r="B10" s="229">
        <v>2.9100000000000001E-2</v>
      </c>
      <c r="C10" s="230" t="s">
        <v>143</v>
      </c>
      <c r="D10" s="234" t="str">
        <f t="shared" si="0"/>
        <v>NA</v>
      </c>
      <c r="E10" s="230" t="s">
        <v>143</v>
      </c>
      <c r="F10" s="232" t="s">
        <v>143</v>
      </c>
      <c r="G10" s="232" t="str">
        <f t="shared" si="1"/>
        <v>NA</v>
      </c>
      <c r="H10" s="233" t="str">
        <f t="shared" si="2"/>
        <v>NA</v>
      </c>
    </row>
    <row r="11" spans="1:8" ht="18" thickBot="1">
      <c r="A11" s="228" t="s">
        <v>92</v>
      </c>
      <c r="B11" s="229">
        <v>0.45369999999999999</v>
      </c>
      <c r="C11" s="231">
        <v>0.26619999999999999</v>
      </c>
      <c r="D11" s="234">
        <f t="shared" si="0"/>
        <v>1.7043576258452291</v>
      </c>
      <c r="E11" s="231">
        <v>3.8E-3</v>
      </c>
      <c r="F11" s="232">
        <v>2.1499999999999998E-2</v>
      </c>
      <c r="G11" s="232">
        <f t="shared" si="1"/>
        <v>0.17674418604651165</v>
      </c>
      <c r="H11" s="233">
        <f t="shared" si="2"/>
        <v>2.5669868421052628</v>
      </c>
    </row>
    <row r="12" spans="1:8" ht="18" thickBot="1">
      <c r="A12" s="228" t="s">
        <v>94</v>
      </c>
      <c r="B12" s="229">
        <v>0.19800000000000001</v>
      </c>
      <c r="C12" s="231">
        <v>5.3699999999999998E-2</v>
      </c>
      <c r="D12" s="234">
        <f t="shared" si="0"/>
        <v>3.6871508379888271</v>
      </c>
      <c r="E12" s="231">
        <v>4.3E-3</v>
      </c>
      <c r="F12" s="232">
        <v>7.0000000000000001E-3</v>
      </c>
      <c r="G12" s="232">
        <f t="shared" si="1"/>
        <v>0.61428571428571432</v>
      </c>
      <c r="H12" s="233">
        <f t="shared" si="2"/>
        <v>0.32232558139534884</v>
      </c>
    </row>
    <row r="13" spans="1:8" ht="18" thickBot="1">
      <c r="A13" s="228" t="s">
        <v>212</v>
      </c>
      <c r="B13" s="229" t="s">
        <v>143</v>
      </c>
      <c r="C13" s="230" t="s">
        <v>143</v>
      </c>
      <c r="D13" s="234" t="str">
        <f t="shared" si="0"/>
        <v>NA</v>
      </c>
      <c r="E13" s="231">
        <v>3.3999999999999998E-3</v>
      </c>
      <c r="F13" s="232">
        <v>5.8700000000000002E-2</v>
      </c>
      <c r="G13" s="232">
        <f t="shared" si="1"/>
        <v>5.7921635434412262E-2</v>
      </c>
      <c r="H13" s="233" t="str">
        <f t="shared" si="2"/>
        <v>NA</v>
      </c>
    </row>
    <row r="14" spans="1:8" ht="18" thickBot="1">
      <c r="A14" s="228" t="s">
        <v>96</v>
      </c>
      <c r="B14" s="229">
        <v>0.35370000000000001</v>
      </c>
      <c r="C14" s="231">
        <v>0.31580000000000003</v>
      </c>
      <c r="D14" s="234">
        <f t="shared" si="0"/>
        <v>1.1200126662444585</v>
      </c>
      <c r="E14" s="231">
        <v>3.0999999999999999E-3</v>
      </c>
      <c r="F14" s="232">
        <v>8.9999999999999993E-3</v>
      </c>
      <c r="G14" s="232">
        <f t="shared" si="1"/>
        <v>0.34444444444444444</v>
      </c>
      <c r="H14" s="233">
        <f t="shared" si="2"/>
        <v>1.0268709677419354</v>
      </c>
    </row>
    <row r="15" spans="1:8" ht="18" thickBot="1">
      <c r="A15" s="228" t="s">
        <v>97</v>
      </c>
      <c r="B15" s="229">
        <v>0.25059999999999999</v>
      </c>
      <c r="C15" s="230" t="s">
        <v>143</v>
      </c>
      <c r="D15" s="234" t="str">
        <f t="shared" si="0"/>
        <v>NA</v>
      </c>
      <c r="E15" s="231">
        <v>5.1000000000000004E-3</v>
      </c>
      <c r="F15" s="232">
        <v>5.5999999999999999E-3</v>
      </c>
      <c r="G15" s="232">
        <f t="shared" si="1"/>
        <v>0.91071428571428581</v>
      </c>
      <c r="H15" s="233">
        <f t="shared" si="2"/>
        <v>0.27516862745098036</v>
      </c>
    </row>
    <row r="16" spans="1:8" ht="18" thickBot="1">
      <c r="A16" s="228" t="s">
        <v>50</v>
      </c>
      <c r="B16" s="229">
        <v>0.37169999999999997</v>
      </c>
      <c r="C16" s="231">
        <v>0.31130000000000002</v>
      </c>
      <c r="D16" s="234">
        <f t="shared" si="0"/>
        <v>1.1940250562158687</v>
      </c>
      <c r="E16" s="231">
        <v>4.1000000000000003E-3</v>
      </c>
      <c r="F16" s="232">
        <v>1.52E-2</v>
      </c>
      <c r="G16" s="232">
        <f t="shared" si="1"/>
        <v>0.26973684210526316</v>
      </c>
      <c r="H16" s="233">
        <f t="shared" si="2"/>
        <v>1.3780097560975608</v>
      </c>
    </row>
    <row r="17" spans="1:8" ht="18" thickBot="1">
      <c r="A17" s="228" t="s">
        <v>56</v>
      </c>
      <c r="B17" s="229">
        <v>0.19850000000000001</v>
      </c>
      <c r="C17" s="230" t="s">
        <v>143</v>
      </c>
      <c r="D17" s="234" t="str">
        <f t="shared" si="0"/>
        <v>NA</v>
      </c>
      <c r="E17" s="231">
        <v>3.8999999999999998E-3</v>
      </c>
      <c r="F17" s="232">
        <v>6.13E-2</v>
      </c>
      <c r="G17" s="232">
        <f t="shared" si="1"/>
        <v>6.3621533442088082E-2</v>
      </c>
      <c r="H17" s="233">
        <f t="shared" si="2"/>
        <v>3.1200128205128212</v>
      </c>
    </row>
    <row r="18" spans="1:8" ht="18" thickBot="1">
      <c r="A18" s="228" t="s">
        <v>98</v>
      </c>
      <c r="B18" s="229">
        <v>0.2253</v>
      </c>
      <c r="C18" s="230" t="s">
        <v>143</v>
      </c>
      <c r="D18" s="234" t="str">
        <f t="shared" si="0"/>
        <v>NA</v>
      </c>
      <c r="E18" s="231">
        <v>3.5000000000000001E-3</v>
      </c>
      <c r="F18" s="232">
        <v>1.2800000000000001E-2</v>
      </c>
      <c r="G18" s="232">
        <f t="shared" si="1"/>
        <v>0.2734375</v>
      </c>
      <c r="H18" s="233">
        <f t="shared" si="2"/>
        <v>0.82395428571428575</v>
      </c>
    </row>
    <row r="19" spans="1:8" ht="18" thickBot="1">
      <c r="A19" s="228" t="s">
        <v>178</v>
      </c>
      <c r="B19" s="229">
        <v>0.19120000000000001</v>
      </c>
      <c r="C19" s="231">
        <v>4.8300000000000003E-2</v>
      </c>
      <c r="D19" s="234">
        <f t="shared" si="0"/>
        <v>3.9585921325051761</v>
      </c>
      <c r="E19" s="231">
        <v>4.8999999999999998E-3</v>
      </c>
      <c r="F19" s="232">
        <v>1.1900000000000001E-2</v>
      </c>
      <c r="G19" s="232">
        <f t="shared" si="1"/>
        <v>0.41176470588235292</v>
      </c>
      <c r="H19" s="233">
        <f t="shared" si="2"/>
        <v>0.46434285714285717</v>
      </c>
    </row>
    <row r="20" spans="1:8" ht="35" thickBot="1">
      <c r="A20" s="228" t="s">
        <v>101</v>
      </c>
      <c r="B20" s="229">
        <v>0.25159999999999999</v>
      </c>
      <c r="C20" s="231">
        <v>4.6399999999999997E-2</v>
      </c>
      <c r="D20" s="234">
        <f t="shared" si="0"/>
        <v>5.4224137931034484</v>
      </c>
      <c r="E20" s="231">
        <v>4.3E-3</v>
      </c>
      <c r="F20" s="232">
        <v>5.1000000000000004E-3</v>
      </c>
      <c r="G20" s="232">
        <f t="shared" si="1"/>
        <v>0.84313725490196068</v>
      </c>
      <c r="H20" s="233">
        <f t="shared" si="2"/>
        <v>0.29840930232558144</v>
      </c>
    </row>
    <row r="21" spans="1:8" ht="18" thickBot="1">
      <c r="A21" s="228" t="s">
        <v>105</v>
      </c>
      <c r="B21" s="229">
        <v>0.25490000000000002</v>
      </c>
      <c r="C21" s="230" t="s">
        <v>143</v>
      </c>
      <c r="D21" s="234" t="str">
        <f t="shared" si="0"/>
        <v>NA</v>
      </c>
      <c r="E21" s="231">
        <v>3.7000000000000002E-3</v>
      </c>
      <c r="F21" s="232">
        <v>4.0800000000000003E-2</v>
      </c>
      <c r="G21" s="232">
        <f t="shared" si="1"/>
        <v>9.0686274509803919E-2</v>
      </c>
      <c r="H21" s="233">
        <f t="shared" si="2"/>
        <v>2.8107891891891894</v>
      </c>
    </row>
    <row r="22" spans="1:8" ht="18" thickBot="1">
      <c r="A22" s="228" t="s">
        <v>31</v>
      </c>
      <c r="B22" s="229" t="s">
        <v>143</v>
      </c>
      <c r="C22" s="230" t="s">
        <v>143</v>
      </c>
      <c r="D22" s="234" t="str">
        <f t="shared" si="0"/>
        <v>NA</v>
      </c>
      <c r="E22" s="231">
        <v>5.0000000000000001E-3</v>
      </c>
      <c r="F22" s="232">
        <v>7.7799999999999994E-2</v>
      </c>
      <c r="G22" s="232">
        <f t="shared" si="1"/>
        <v>6.4267352185089985E-2</v>
      </c>
      <c r="H22" s="233" t="str">
        <f t="shared" si="2"/>
        <v>NA</v>
      </c>
    </row>
    <row r="23" spans="1:8" ht="18" thickBot="1">
      <c r="A23" s="228" t="s">
        <v>106</v>
      </c>
      <c r="B23" s="229">
        <v>0.20669999999999999</v>
      </c>
      <c r="C23" s="230" t="s">
        <v>143</v>
      </c>
      <c r="D23" s="234" t="str">
        <f t="shared" si="0"/>
        <v>NA</v>
      </c>
      <c r="E23" s="231">
        <v>5.1999999999999998E-3</v>
      </c>
      <c r="F23" s="232">
        <v>7.0000000000000001E-3</v>
      </c>
      <c r="G23" s="232">
        <f t="shared" si="1"/>
        <v>0.74285714285714277</v>
      </c>
      <c r="H23" s="233">
        <f t="shared" si="2"/>
        <v>0.27825000000000005</v>
      </c>
    </row>
    <row r="24" spans="1:8" ht="18" thickBot="1">
      <c r="A24" s="228" t="s">
        <v>221</v>
      </c>
      <c r="B24" s="229">
        <v>0.1293</v>
      </c>
      <c r="C24" s="230" t="s">
        <v>143</v>
      </c>
      <c r="D24" s="234" t="str">
        <f t="shared" si="0"/>
        <v>NA</v>
      </c>
      <c r="E24" s="231">
        <v>5.4000000000000003E-3</v>
      </c>
      <c r="F24" s="232">
        <v>5.0799999999999998E-2</v>
      </c>
      <c r="G24" s="232">
        <f t="shared" si="1"/>
        <v>0.1062992125984252</v>
      </c>
      <c r="H24" s="233">
        <f t="shared" si="2"/>
        <v>1.2163777777777778</v>
      </c>
    </row>
    <row r="25" spans="1:8" ht="18" thickBot="1">
      <c r="A25" s="228" t="s">
        <v>182</v>
      </c>
      <c r="B25" s="229">
        <v>0.43440000000000001</v>
      </c>
      <c r="C25" s="231">
        <v>0.26369999999999999</v>
      </c>
      <c r="D25" s="234">
        <f t="shared" si="0"/>
        <v>1.6473265073947669</v>
      </c>
      <c r="E25" s="231">
        <v>3.3E-3</v>
      </c>
      <c r="F25" s="232">
        <v>1.61E-2</v>
      </c>
      <c r="G25" s="232">
        <f t="shared" si="1"/>
        <v>0.20496894409937888</v>
      </c>
      <c r="H25" s="233">
        <f t="shared" si="2"/>
        <v>2.1193454545454546</v>
      </c>
    </row>
    <row r="26" spans="1:8" ht="18" thickBot="1">
      <c r="A26" s="228" t="s">
        <v>557</v>
      </c>
      <c r="B26" s="229" t="s">
        <v>143</v>
      </c>
      <c r="C26" s="230" t="s">
        <v>143</v>
      </c>
      <c r="D26" s="234" t="str">
        <f t="shared" si="0"/>
        <v>NA</v>
      </c>
      <c r="E26" s="231">
        <v>2.7000000000000001E-3</v>
      </c>
      <c r="F26" s="232">
        <v>2.1499999999999998E-2</v>
      </c>
      <c r="G26" s="232">
        <f t="shared" si="1"/>
        <v>0.12558139534883722</v>
      </c>
      <c r="H26" s="233" t="str">
        <f t="shared" si="2"/>
        <v>NA</v>
      </c>
    </row>
    <row r="27" spans="1:8" ht="18" thickBot="1">
      <c r="A27" s="228" t="s">
        <v>109</v>
      </c>
      <c r="B27" s="229">
        <v>0.29530000000000001</v>
      </c>
      <c r="C27" s="231">
        <v>0.31759999999999999</v>
      </c>
      <c r="D27" s="234">
        <f t="shared" si="0"/>
        <v>0.92978589420654911</v>
      </c>
      <c r="E27" s="231">
        <v>2.2000000000000001E-3</v>
      </c>
      <c r="F27" s="232">
        <v>9.4000000000000004E-3</v>
      </c>
      <c r="G27" s="232">
        <f t="shared" si="1"/>
        <v>0.23404255319148937</v>
      </c>
      <c r="H27" s="233">
        <f t="shared" si="2"/>
        <v>1.2617363636363637</v>
      </c>
    </row>
    <row r="28" spans="1:8" ht="18" thickBot="1">
      <c r="A28" s="228" t="s">
        <v>111</v>
      </c>
      <c r="B28" s="229">
        <v>0.33129999999999998</v>
      </c>
      <c r="C28" s="231">
        <v>0.1074</v>
      </c>
      <c r="D28" s="234">
        <f t="shared" si="0"/>
        <v>3.0847299813780262</v>
      </c>
      <c r="E28" s="231">
        <v>3.8E-3</v>
      </c>
      <c r="F28" s="232">
        <v>1.24E-2</v>
      </c>
      <c r="G28" s="232">
        <f t="shared" si="1"/>
        <v>0.30645161290322581</v>
      </c>
      <c r="H28" s="233">
        <f t="shared" si="2"/>
        <v>1.0810842105263156</v>
      </c>
    </row>
    <row r="29" spans="1:8" ht="18" thickBot="1">
      <c r="A29" s="228" t="s">
        <v>112</v>
      </c>
      <c r="B29" s="229">
        <v>0.27229999999999999</v>
      </c>
      <c r="C29" s="231">
        <v>0.1394</v>
      </c>
      <c r="D29" s="234">
        <f t="shared" si="0"/>
        <v>1.9533715925394548</v>
      </c>
      <c r="E29" s="231">
        <v>4.1000000000000003E-3</v>
      </c>
      <c r="F29" s="232">
        <v>1.2800000000000001E-2</v>
      </c>
      <c r="G29" s="232">
        <f t="shared" si="1"/>
        <v>0.3203125</v>
      </c>
      <c r="H29" s="233">
        <f t="shared" si="2"/>
        <v>0.85010731707317067</v>
      </c>
    </row>
    <row r="30" spans="1:8" ht="18" thickBot="1">
      <c r="A30" s="228" t="s">
        <v>331</v>
      </c>
      <c r="B30" s="229" t="s">
        <v>143</v>
      </c>
      <c r="C30" s="230" t="s">
        <v>143</v>
      </c>
      <c r="D30" s="234" t="str">
        <f t="shared" si="0"/>
        <v>NA</v>
      </c>
      <c r="E30" s="231">
        <v>4.7000000000000002E-3</v>
      </c>
      <c r="F30" s="232">
        <v>6.9800000000000001E-2</v>
      </c>
      <c r="G30" s="232">
        <f t="shared" si="1"/>
        <v>6.73352435530086E-2</v>
      </c>
      <c r="H30" s="233" t="str">
        <f t="shared" si="2"/>
        <v>NA</v>
      </c>
    </row>
    <row r="31" spans="1:8" ht="18" thickBot="1">
      <c r="A31" s="228" t="s">
        <v>114</v>
      </c>
      <c r="B31" s="229">
        <v>0.26629999999999998</v>
      </c>
      <c r="C31" s="231">
        <v>0.4743</v>
      </c>
      <c r="D31" s="234">
        <f t="shared" si="0"/>
        <v>0.56145899219903006</v>
      </c>
      <c r="E31" s="231">
        <v>3.2000000000000002E-3</v>
      </c>
      <c r="F31" s="232">
        <v>7.7000000000000002E-3</v>
      </c>
      <c r="G31" s="232">
        <f t="shared" si="1"/>
        <v>0.41558441558441561</v>
      </c>
      <c r="H31" s="233">
        <f t="shared" si="2"/>
        <v>0.64078437499999996</v>
      </c>
    </row>
    <row r="32" spans="1:8" ht="18" thickBot="1">
      <c r="A32" s="228" t="s">
        <v>145</v>
      </c>
      <c r="B32" s="229">
        <v>0.33160000000000001</v>
      </c>
      <c r="C32" s="231">
        <v>0.1555</v>
      </c>
      <c r="D32" s="234">
        <f t="shared" si="0"/>
        <v>2.1324758842443732</v>
      </c>
      <c r="E32" s="231">
        <v>3.5000000000000001E-3</v>
      </c>
      <c r="F32" s="232">
        <v>1.43E-2</v>
      </c>
      <c r="G32" s="232">
        <f t="shared" si="1"/>
        <v>0.24475524475524477</v>
      </c>
      <c r="H32" s="233">
        <f t="shared" si="2"/>
        <v>1.3548228571428571</v>
      </c>
    </row>
    <row r="33" spans="1:8" ht="18" thickBot="1">
      <c r="A33" s="228" t="s">
        <v>115</v>
      </c>
      <c r="B33" s="229">
        <v>8.8099999999999998E-2</v>
      </c>
      <c r="C33" s="230" t="s">
        <v>143</v>
      </c>
      <c r="D33" s="234" t="str">
        <f t="shared" si="0"/>
        <v>NA</v>
      </c>
      <c r="E33" s="230" t="s">
        <v>143</v>
      </c>
      <c r="F33" s="232" t="s">
        <v>143</v>
      </c>
      <c r="G33" s="232" t="str">
        <f t="shared" si="1"/>
        <v>NA</v>
      </c>
      <c r="H33" s="233" t="str">
        <f t="shared" si="2"/>
        <v>NA</v>
      </c>
    </row>
    <row r="34" spans="1:8" ht="18" thickBot="1">
      <c r="A34" s="228" t="s">
        <v>117</v>
      </c>
      <c r="B34" s="229">
        <v>9.7699999999999995E-2</v>
      </c>
      <c r="C34" s="230" t="s">
        <v>143</v>
      </c>
      <c r="D34" s="234" t="str">
        <f t="shared" si="0"/>
        <v>NA</v>
      </c>
      <c r="E34" s="230" t="s">
        <v>143</v>
      </c>
      <c r="F34" s="232" t="s">
        <v>143</v>
      </c>
      <c r="G34" s="232" t="str">
        <f t="shared" si="1"/>
        <v>NA</v>
      </c>
      <c r="H34" s="233" t="str">
        <f t="shared" si="2"/>
        <v>NA</v>
      </c>
    </row>
    <row r="35" spans="1:8" ht="18" thickBot="1">
      <c r="A35" s="228" t="s">
        <v>342</v>
      </c>
      <c r="B35" s="229" t="s">
        <v>143</v>
      </c>
      <c r="C35" s="230" t="s">
        <v>143</v>
      </c>
      <c r="D35" s="234" t="str">
        <f t="shared" si="0"/>
        <v>NA</v>
      </c>
      <c r="E35" s="231">
        <v>3.2000000000000002E-3</v>
      </c>
      <c r="F35" s="232">
        <v>9.9000000000000008E-3</v>
      </c>
      <c r="G35" s="232">
        <f t="shared" si="1"/>
        <v>0.3232323232323232</v>
      </c>
      <c r="H35" s="233" t="str">
        <f t="shared" si="2"/>
        <v>NA</v>
      </c>
    </row>
    <row r="36" spans="1:8" ht="18" thickBot="1">
      <c r="A36" s="228" t="s">
        <v>184</v>
      </c>
      <c r="B36" s="229">
        <v>0.19389999999999999</v>
      </c>
      <c r="C36" s="230" t="s">
        <v>143</v>
      </c>
      <c r="D36" s="234" t="str">
        <f t="shared" si="0"/>
        <v>NA</v>
      </c>
      <c r="E36" s="231">
        <v>3.3999999999999998E-3</v>
      </c>
      <c r="F36" s="232">
        <v>4.0599999999999997E-2</v>
      </c>
      <c r="G36" s="232">
        <f t="shared" si="1"/>
        <v>8.3743842364532015E-2</v>
      </c>
      <c r="H36" s="233">
        <f t="shared" si="2"/>
        <v>2.3153941176470587</v>
      </c>
    </row>
    <row r="37" spans="1:8" ht="18" thickBot="1">
      <c r="A37" s="228" t="s">
        <v>120</v>
      </c>
      <c r="B37" s="229">
        <v>0.28599999999999998</v>
      </c>
      <c r="C37" s="230" t="s">
        <v>143</v>
      </c>
      <c r="D37" s="234" t="str">
        <f t="shared" si="0"/>
        <v>NA</v>
      </c>
      <c r="E37" s="231">
        <v>2.5000000000000001E-3</v>
      </c>
      <c r="F37" s="232">
        <v>7.4999999999999997E-3</v>
      </c>
      <c r="G37" s="232">
        <f t="shared" si="1"/>
        <v>0.33333333333333337</v>
      </c>
      <c r="H37" s="233">
        <f t="shared" si="2"/>
        <v>0.85799999999999987</v>
      </c>
    </row>
    <row r="38" spans="1:8" ht="18" thickBot="1">
      <c r="A38" s="228" t="s">
        <v>343</v>
      </c>
      <c r="B38" s="229">
        <v>9.1499999999999998E-2</v>
      </c>
      <c r="C38" s="230" t="s">
        <v>143</v>
      </c>
      <c r="D38" s="234" t="str">
        <f t="shared" si="0"/>
        <v>NA</v>
      </c>
      <c r="E38" s="230" t="s">
        <v>143</v>
      </c>
      <c r="F38" s="232" t="s">
        <v>143</v>
      </c>
      <c r="G38" s="232" t="str">
        <f t="shared" si="1"/>
        <v>NA</v>
      </c>
      <c r="H38" s="233" t="str">
        <f t="shared" si="2"/>
        <v>NA</v>
      </c>
    </row>
    <row r="39" spans="1:8" ht="18" thickBot="1">
      <c r="A39" s="228" t="s">
        <v>121</v>
      </c>
      <c r="B39" s="229">
        <v>0.25919999999999999</v>
      </c>
      <c r="C39" s="230" t="s">
        <v>143</v>
      </c>
      <c r="D39" s="234" t="str">
        <f t="shared" si="0"/>
        <v>NA</v>
      </c>
      <c r="E39" s="231">
        <v>1.1000000000000001E-3</v>
      </c>
      <c r="F39" s="232">
        <v>9.2999999999999992E-3</v>
      </c>
      <c r="G39" s="232">
        <f t="shared" si="1"/>
        <v>0.11827956989247314</v>
      </c>
      <c r="H39" s="233">
        <f t="shared" si="2"/>
        <v>2.1914181818181815</v>
      </c>
    </row>
    <row r="40" spans="1:8" ht="18" thickBot="1">
      <c r="A40" s="228" t="s">
        <v>122</v>
      </c>
      <c r="B40" s="229">
        <v>0.15140000000000001</v>
      </c>
      <c r="C40" s="231">
        <v>0.12989999999999999</v>
      </c>
      <c r="D40" s="234">
        <f t="shared" si="0"/>
        <v>1.1655119322555814</v>
      </c>
      <c r="E40" s="231" t="s">
        <v>143</v>
      </c>
      <c r="F40" s="232" t="s">
        <v>143</v>
      </c>
      <c r="G40" s="232" t="str">
        <f t="shared" si="1"/>
        <v>NA</v>
      </c>
      <c r="H40" s="233" t="str">
        <f t="shared" si="2"/>
        <v>NA</v>
      </c>
    </row>
    <row r="41" spans="1:8" ht="18" thickBot="1">
      <c r="A41" s="228" t="s">
        <v>13</v>
      </c>
      <c r="B41" s="229">
        <v>0.16489999999999999</v>
      </c>
      <c r="C41" s="231">
        <v>0.16980000000000001</v>
      </c>
      <c r="D41" s="234">
        <f t="shared" si="0"/>
        <v>0.97114252061248518</v>
      </c>
      <c r="E41" s="231">
        <v>1.1999999999999999E-3</v>
      </c>
      <c r="F41" s="232">
        <v>8.9999999999999993E-3</v>
      </c>
      <c r="G41" s="232">
        <f t="shared" si="1"/>
        <v>0.13333333333333333</v>
      </c>
      <c r="H41" s="233">
        <f t="shared" si="2"/>
        <v>1.23675</v>
      </c>
    </row>
    <row r="42" spans="1:8" ht="18" thickBot="1">
      <c r="A42" s="228" t="s">
        <v>146</v>
      </c>
      <c r="B42" s="229">
        <v>0.25530000000000003</v>
      </c>
      <c r="C42" s="230" t="s">
        <v>143</v>
      </c>
      <c r="D42" s="234" t="str">
        <f t="shared" si="0"/>
        <v>NA</v>
      </c>
      <c r="E42" s="230" t="s">
        <v>143</v>
      </c>
      <c r="F42" s="232" t="s">
        <v>143</v>
      </c>
      <c r="G42" s="232" t="str">
        <f t="shared" si="1"/>
        <v>NA</v>
      </c>
      <c r="H42" s="233" t="str">
        <f t="shared" si="2"/>
        <v>NA</v>
      </c>
    </row>
    <row r="43" spans="1:8" ht="18" thickBot="1">
      <c r="A43" s="228" t="s">
        <v>14</v>
      </c>
      <c r="B43" s="229">
        <v>0.19589999999999999</v>
      </c>
      <c r="C43" s="231">
        <v>7.0400000000000004E-2</v>
      </c>
      <c r="D43" s="234">
        <f t="shared" si="0"/>
        <v>2.7826704545454541</v>
      </c>
      <c r="E43" s="231">
        <v>4.4999999999999997E-3</v>
      </c>
      <c r="F43" s="232">
        <v>7.0000000000000001E-3</v>
      </c>
      <c r="G43" s="232">
        <f t="shared" si="1"/>
        <v>0.64285714285714279</v>
      </c>
      <c r="H43" s="233">
        <f t="shared" si="2"/>
        <v>0.30473333333333336</v>
      </c>
    </row>
    <row r="44" spans="1:8" ht="18" thickBot="1">
      <c r="A44" s="228" t="s">
        <v>186</v>
      </c>
      <c r="B44" s="229">
        <v>0.14299999999999999</v>
      </c>
      <c r="C44" s="231" t="s">
        <v>143</v>
      </c>
      <c r="D44" s="234" t="str">
        <f t="shared" si="0"/>
        <v>NA</v>
      </c>
      <c r="E44" s="232" t="s">
        <v>143</v>
      </c>
      <c r="F44" s="232" t="s">
        <v>143</v>
      </c>
      <c r="G44" s="232" t="str">
        <f t="shared" si="1"/>
        <v>NA</v>
      </c>
      <c r="H44" s="233" t="str">
        <f t="shared" si="2"/>
        <v>NA</v>
      </c>
    </row>
    <row r="45" spans="1:8" ht="18" thickBot="1">
      <c r="A45" s="228" t="s">
        <v>15</v>
      </c>
      <c r="B45" s="229">
        <v>0.2346</v>
      </c>
      <c r="C45" s="230" t="s">
        <v>143</v>
      </c>
      <c r="D45" s="234" t="str">
        <f t="shared" si="0"/>
        <v>NA</v>
      </c>
      <c r="E45" s="232" t="s">
        <v>143</v>
      </c>
      <c r="F45" s="232" t="s">
        <v>143</v>
      </c>
      <c r="G45" s="232" t="str">
        <f t="shared" si="1"/>
        <v>NA</v>
      </c>
      <c r="H45" s="233" t="str">
        <f t="shared" si="2"/>
        <v>NA</v>
      </c>
    </row>
    <row r="46" spans="1:8" ht="18" thickBot="1">
      <c r="A46" s="228" t="s">
        <v>16</v>
      </c>
      <c r="B46" s="229">
        <v>0.25119999999999998</v>
      </c>
      <c r="C46" s="231">
        <v>0.1721</v>
      </c>
      <c r="D46" s="234">
        <f t="shared" si="0"/>
        <v>1.4596165020337011</v>
      </c>
      <c r="E46" s="231">
        <v>4.3E-3</v>
      </c>
      <c r="F46" s="232">
        <v>1.4500000000000001E-2</v>
      </c>
      <c r="G46" s="232">
        <f t="shared" si="1"/>
        <v>0.29655172413793102</v>
      </c>
      <c r="H46" s="233">
        <f t="shared" si="2"/>
        <v>0.84706976744186047</v>
      </c>
    </row>
    <row r="47" spans="1:8" ht="18" thickBot="1">
      <c r="A47" s="228" t="s">
        <v>63</v>
      </c>
      <c r="B47" s="229">
        <v>0.18990000000000001</v>
      </c>
      <c r="C47" s="230" t="s">
        <v>143</v>
      </c>
      <c r="D47" s="234" t="str">
        <f t="shared" si="0"/>
        <v>NA</v>
      </c>
      <c r="E47" s="232" t="s">
        <v>143</v>
      </c>
      <c r="F47" s="232" t="s">
        <v>143</v>
      </c>
      <c r="G47" s="232" t="str">
        <f t="shared" si="1"/>
        <v>NA</v>
      </c>
      <c r="H47" s="233" t="str">
        <f t="shared" si="2"/>
        <v>NA</v>
      </c>
    </row>
    <row r="48" spans="1:8" ht="18" thickBot="1">
      <c r="A48" s="228" t="s">
        <v>8</v>
      </c>
      <c r="B48" s="229">
        <v>0.16300000000000001</v>
      </c>
      <c r="C48" s="230" t="s">
        <v>143</v>
      </c>
      <c r="D48" s="234" t="str">
        <f t="shared" si="0"/>
        <v>NA</v>
      </c>
      <c r="E48" s="232" t="s">
        <v>143</v>
      </c>
      <c r="F48" s="232" t="s">
        <v>143</v>
      </c>
      <c r="G48" s="232" t="str">
        <f t="shared" si="1"/>
        <v>NA</v>
      </c>
      <c r="H48" s="233" t="str">
        <f t="shared" si="2"/>
        <v>NA</v>
      </c>
    </row>
    <row r="49" spans="1:8" ht="18" thickBot="1">
      <c r="A49" s="228" t="s">
        <v>18</v>
      </c>
      <c r="B49" s="229">
        <v>0.20150000000000001</v>
      </c>
      <c r="C49" s="230" t="s">
        <v>143</v>
      </c>
      <c r="D49" s="234" t="str">
        <f t="shared" si="0"/>
        <v>NA</v>
      </c>
      <c r="E49" s="231">
        <v>3.5999999999999999E-3</v>
      </c>
      <c r="F49" s="232">
        <v>1.5599999999999999E-2</v>
      </c>
      <c r="G49" s="232">
        <f t="shared" si="1"/>
        <v>0.23076923076923078</v>
      </c>
      <c r="H49" s="233">
        <f t="shared" si="2"/>
        <v>0.87316666666666665</v>
      </c>
    </row>
    <row r="50" spans="1:8" ht="18" thickBot="1">
      <c r="A50" s="228" t="s">
        <v>136</v>
      </c>
      <c r="B50" s="229">
        <v>8.9499999999999996E-2</v>
      </c>
      <c r="C50" s="230" t="s">
        <v>143</v>
      </c>
      <c r="D50" s="234" t="str">
        <f t="shared" si="0"/>
        <v>NA</v>
      </c>
      <c r="E50" s="230" t="s">
        <v>143</v>
      </c>
      <c r="F50" s="232" t="s">
        <v>143</v>
      </c>
      <c r="G50" s="232" t="str">
        <f t="shared" si="1"/>
        <v>NA</v>
      </c>
      <c r="H50" s="233" t="str">
        <f t="shared" si="2"/>
        <v>NA</v>
      </c>
    </row>
    <row r="51" spans="1:8" ht="18" thickBot="1">
      <c r="A51" s="228" t="s">
        <v>188</v>
      </c>
      <c r="B51" s="229">
        <v>0.18290000000000001</v>
      </c>
      <c r="C51" s="231">
        <v>0.2056</v>
      </c>
      <c r="D51" s="234">
        <f t="shared" si="0"/>
        <v>0.88959143968871601</v>
      </c>
      <c r="E51" s="231">
        <v>4.0000000000000001E-3</v>
      </c>
      <c r="F51" s="232">
        <v>3.5900000000000001E-2</v>
      </c>
      <c r="G51" s="232">
        <f t="shared" si="1"/>
        <v>0.11142061281337047</v>
      </c>
      <c r="H51" s="233">
        <f t="shared" si="2"/>
        <v>1.6415275</v>
      </c>
    </row>
    <row r="52" spans="1:8" ht="18" thickBot="1">
      <c r="A52" s="228" t="s">
        <v>24</v>
      </c>
      <c r="B52" s="229">
        <v>0.1135</v>
      </c>
      <c r="C52" s="230" t="s">
        <v>143</v>
      </c>
      <c r="D52" s="234" t="str">
        <f t="shared" si="0"/>
        <v>NA</v>
      </c>
      <c r="E52" s="231">
        <v>3.2000000000000002E-3</v>
      </c>
      <c r="F52" s="232">
        <v>3.9E-2</v>
      </c>
      <c r="G52" s="232">
        <f t="shared" si="1"/>
        <v>8.2051282051282051E-2</v>
      </c>
      <c r="H52" s="233">
        <f t="shared" si="2"/>
        <v>1.38328125</v>
      </c>
    </row>
    <row r="53" spans="1:8" ht="18" thickBot="1">
      <c r="A53" s="228" t="s">
        <v>25</v>
      </c>
      <c r="B53" s="229">
        <v>0.26569999999999999</v>
      </c>
      <c r="C53" s="231">
        <v>0.1404</v>
      </c>
      <c r="D53" s="234">
        <f t="shared" si="0"/>
        <v>1.8924501424501425</v>
      </c>
      <c r="E53" s="231">
        <v>2.7000000000000001E-3</v>
      </c>
      <c r="F53" s="232">
        <v>4.5100000000000001E-2</v>
      </c>
      <c r="G53" s="232">
        <f t="shared" si="1"/>
        <v>5.9866962305986697E-2</v>
      </c>
      <c r="H53" s="233">
        <f t="shared" si="2"/>
        <v>4.438174074074074</v>
      </c>
    </row>
    <row r="54" spans="1:8" ht="18" thickBot="1">
      <c r="A54" s="228" t="s">
        <v>344</v>
      </c>
      <c r="B54" s="229">
        <v>8.3500000000000005E-2</v>
      </c>
      <c r="C54" s="230" t="s">
        <v>143</v>
      </c>
      <c r="D54" s="234" t="str">
        <f t="shared" si="0"/>
        <v>NA</v>
      </c>
      <c r="E54" s="230" t="s">
        <v>143</v>
      </c>
      <c r="F54" s="232" t="s">
        <v>143</v>
      </c>
      <c r="G54" s="232" t="str">
        <f t="shared" si="1"/>
        <v>NA</v>
      </c>
      <c r="H54" s="233" t="str">
        <f t="shared" si="2"/>
        <v>NA</v>
      </c>
    </row>
    <row r="55" spans="1:8" ht="18" thickBot="1">
      <c r="A55" s="228" t="s">
        <v>26</v>
      </c>
      <c r="B55" s="229">
        <v>0.1082</v>
      </c>
      <c r="C55" s="230" t="s">
        <v>143</v>
      </c>
      <c r="D55" s="234" t="str">
        <f t="shared" si="0"/>
        <v>NA</v>
      </c>
      <c r="E55" s="231">
        <v>3.2000000000000002E-3</v>
      </c>
      <c r="F55" s="232">
        <v>9.4999999999999998E-3</v>
      </c>
      <c r="G55" s="232">
        <f t="shared" si="1"/>
        <v>0.33684210526315794</v>
      </c>
      <c r="H55" s="233">
        <f t="shared" si="2"/>
        <v>0.32121874999999994</v>
      </c>
    </row>
    <row r="56" spans="1:8" ht="18" thickBot="1">
      <c r="A56" s="228" t="s">
        <v>28</v>
      </c>
      <c r="B56" s="229">
        <v>0.21560000000000001</v>
      </c>
      <c r="C56" s="231">
        <v>0.2477</v>
      </c>
      <c r="D56" s="234">
        <f t="shared" si="0"/>
        <v>0.87040775131207104</v>
      </c>
      <c r="E56" s="231">
        <v>3.2000000000000002E-3</v>
      </c>
      <c r="F56" s="232">
        <v>1.04E-2</v>
      </c>
      <c r="G56" s="232">
        <f t="shared" si="1"/>
        <v>0.30769230769230771</v>
      </c>
      <c r="H56" s="233">
        <f t="shared" si="2"/>
        <v>0.70069999999999999</v>
      </c>
    </row>
    <row r="57" spans="1:8" ht="18" thickBot="1">
      <c r="A57" s="228" t="s">
        <v>29</v>
      </c>
      <c r="B57" s="229">
        <v>0.3362</v>
      </c>
      <c r="C57" s="231">
        <v>0.29830000000000001</v>
      </c>
      <c r="D57" s="234">
        <f t="shared" si="0"/>
        <v>1.1270533020449212</v>
      </c>
      <c r="E57" s="231">
        <v>4.1999999999999997E-3</v>
      </c>
      <c r="F57" s="232">
        <v>6.7000000000000002E-3</v>
      </c>
      <c r="G57" s="232">
        <f t="shared" si="1"/>
        <v>0.62686567164179097</v>
      </c>
      <c r="H57" s="233">
        <f t="shared" si="2"/>
        <v>0.5363190476190477</v>
      </c>
    </row>
    <row r="58" spans="1:8" ht="18" thickBot="1">
      <c r="A58" s="228" t="s">
        <v>74</v>
      </c>
      <c r="B58" s="229">
        <v>0.18629999999999999</v>
      </c>
      <c r="C58" s="230" t="s">
        <v>143</v>
      </c>
      <c r="D58" s="234" t="str">
        <f t="shared" si="0"/>
        <v>NA</v>
      </c>
      <c r="E58" s="231">
        <v>4.4999999999999997E-3</v>
      </c>
      <c r="F58" s="232">
        <v>7.4000000000000003E-3</v>
      </c>
      <c r="G58" s="232">
        <f t="shared" si="1"/>
        <v>0.608108108108108</v>
      </c>
      <c r="H58" s="233">
        <f t="shared" si="2"/>
        <v>0.30636000000000002</v>
      </c>
    </row>
    <row r="59" spans="1:8" ht="18" thickBot="1">
      <c r="A59" s="228" t="s">
        <v>0</v>
      </c>
      <c r="B59" s="229">
        <v>0.2424</v>
      </c>
      <c r="C59" s="231">
        <v>0.2364</v>
      </c>
      <c r="D59" s="234">
        <f t="shared" si="0"/>
        <v>1.0253807106598984</v>
      </c>
      <c r="E59" s="231">
        <v>4.3E-3</v>
      </c>
      <c r="F59" s="232">
        <v>1.2200000000000001E-2</v>
      </c>
      <c r="G59" s="232">
        <f t="shared" si="1"/>
        <v>0.35245901639344263</v>
      </c>
      <c r="H59" s="233">
        <f t="shared" si="2"/>
        <v>0.68773953488372097</v>
      </c>
    </row>
    <row r="60" spans="1:8" ht="18" thickBot="1">
      <c r="A60" s="228" t="s">
        <v>1</v>
      </c>
      <c r="B60" s="229">
        <v>0.2591</v>
      </c>
      <c r="C60" s="231">
        <v>0.1726</v>
      </c>
      <c r="D60" s="234">
        <f t="shared" si="0"/>
        <v>1.5011587485515643</v>
      </c>
      <c r="E60" s="231">
        <v>5.5999999999999999E-3</v>
      </c>
      <c r="F60" s="232">
        <v>1.47E-2</v>
      </c>
      <c r="G60" s="232">
        <f t="shared" si="1"/>
        <v>0.38095238095238099</v>
      </c>
      <c r="H60" s="233">
        <f t="shared" si="2"/>
        <v>0.68013749999999995</v>
      </c>
    </row>
    <row r="61" spans="1:8" ht="18" thickBot="1">
      <c r="A61" s="228" t="s">
        <v>227</v>
      </c>
      <c r="B61" s="229" t="s">
        <v>143</v>
      </c>
      <c r="C61" s="230" t="s">
        <v>143</v>
      </c>
      <c r="D61" s="234" t="str">
        <f t="shared" si="0"/>
        <v>NA</v>
      </c>
      <c r="E61" s="231">
        <v>4.7000000000000002E-3</v>
      </c>
      <c r="F61" s="232">
        <v>3.7199999999999997E-2</v>
      </c>
      <c r="G61" s="232">
        <f t="shared" si="1"/>
        <v>0.1263440860215054</v>
      </c>
      <c r="H61" s="233" t="str">
        <f t="shared" si="2"/>
        <v>NA</v>
      </c>
    </row>
    <row r="62" spans="1:8" ht="18" thickBot="1">
      <c r="A62" s="228" t="s">
        <v>2</v>
      </c>
      <c r="B62" s="229">
        <v>0.17960000000000001</v>
      </c>
      <c r="C62" s="231">
        <v>0.27960000000000002</v>
      </c>
      <c r="D62" s="234">
        <f t="shared" si="0"/>
        <v>0.64234620886981397</v>
      </c>
      <c r="E62" s="231">
        <v>4.7000000000000002E-3</v>
      </c>
      <c r="F62" s="232">
        <v>1.12E-2</v>
      </c>
      <c r="G62" s="232">
        <f t="shared" si="1"/>
        <v>0.41964285714285715</v>
      </c>
      <c r="H62" s="233">
        <f t="shared" si="2"/>
        <v>0.42798297872340429</v>
      </c>
    </row>
    <row r="63" spans="1:8" ht="18" thickBot="1">
      <c r="A63" s="228" t="s">
        <v>135</v>
      </c>
      <c r="B63" s="229" t="s">
        <v>143</v>
      </c>
      <c r="C63" s="230" t="s">
        <v>143</v>
      </c>
      <c r="D63" s="234" t="str">
        <f t="shared" si="0"/>
        <v>NA</v>
      </c>
      <c r="E63" s="231">
        <v>5.4000000000000003E-3</v>
      </c>
      <c r="F63" s="232">
        <v>2.9399999999999999E-2</v>
      </c>
      <c r="G63" s="232">
        <f t="shared" si="1"/>
        <v>0.18367346938775511</v>
      </c>
      <c r="H63" s="233" t="str">
        <f t="shared" si="2"/>
        <v>NA</v>
      </c>
    </row>
    <row r="64" spans="1:8" ht="18" thickBot="1">
      <c r="A64" s="228" t="s">
        <v>147</v>
      </c>
      <c r="B64" s="229">
        <v>0.1074</v>
      </c>
      <c r="C64" s="230" t="s">
        <v>143</v>
      </c>
      <c r="D64" s="234" t="str">
        <f t="shared" si="0"/>
        <v>NA</v>
      </c>
      <c r="E64" s="231">
        <v>1.6000000000000001E-3</v>
      </c>
      <c r="F64" s="232">
        <v>1.61E-2</v>
      </c>
      <c r="G64" s="232">
        <f t="shared" si="1"/>
        <v>9.9378881987577647E-2</v>
      </c>
      <c r="H64" s="233">
        <f t="shared" si="2"/>
        <v>1.0807125</v>
      </c>
    </row>
    <row r="65" spans="1:8" ht="18" thickBot="1">
      <c r="A65" s="228" t="s">
        <v>3</v>
      </c>
      <c r="B65" s="229">
        <v>0.22750000000000001</v>
      </c>
      <c r="C65" s="230" t="s">
        <v>143</v>
      </c>
      <c r="D65" s="234" t="str">
        <f t="shared" si="0"/>
        <v>NA</v>
      </c>
      <c r="E65" s="230" t="s">
        <v>143</v>
      </c>
      <c r="F65" s="232" t="s">
        <v>143</v>
      </c>
      <c r="G65" s="232" t="str">
        <f t="shared" si="1"/>
        <v>NA</v>
      </c>
      <c r="H65" s="233" t="str">
        <f t="shared" si="2"/>
        <v>NA</v>
      </c>
    </row>
    <row r="66" spans="1:8" ht="18" thickBot="1">
      <c r="A66" s="228" t="s">
        <v>61</v>
      </c>
      <c r="B66" s="229">
        <v>0.2107</v>
      </c>
      <c r="C66" s="230" t="s">
        <v>143</v>
      </c>
      <c r="D66" s="234" t="str">
        <f t="shared" si="0"/>
        <v>NA</v>
      </c>
      <c r="E66" s="231">
        <v>2.2000000000000001E-3</v>
      </c>
      <c r="F66" s="232">
        <v>7.9000000000000008E-3</v>
      </c>
      <c r="G66" s="232">
        <f t="shared" si="1"/>
        <v>0.27848101265822783</v>
      </c>
      <c r="H66" s="233">
        <f t="shared" si="2"/>
        <v>0.75660454545454547</v>
      </c>
    </row>
    <row r="67" spans="1:8" ht="18" thickBot="1">
      <c r="A67" s="228" t="s">
        <v>190</v>
      </c>
      <c r="B67" s="229">
        <v>0.20749999999999999</v>
      </c>
      <c r="C67" s="231">
        <v>0.05</v>
      </c>
      <c r="D67" s="234">
        <f t="shared" si="0"/>
        <v>4.1499999999999995</v>
      </c>
      <c r="E67" s="231">
        <v>2.0999999999999999E-3</v>
      </c>
      <c r="F67" s="232">
        <v>1.06E-2</v>
      </c>
      <c r="G67" s="232">
        <f t="shared" si="1"/>
        <v>0.1981132075471698</v>
      </c>
      <c r="H67" s="233">
        <f t="shared" si="2"/>
        <v>1.0473809523809525</v>
      </c>
    </row>
    <row r="68" spans="1:8" ht="18" thickBot="1">
      <c r="A68" s="228" t="s">
        <v>76</v>
      </c>
      <c r="B68" s="229">
        <v>0.2999</v>
      </c>
      <c r="C68" s="231">
        <v>0.17860000000000001</v>
      </c>
      <c r="D68" s="234">
        <f t="shared" ref="D68:D81" si="3">IF(C68="NA","NA",IF(B68="NA","NA",B68/C68))</f>
        <v>1.6791713325867861</v>
      </c>
      <c r="E68" s="231">
        <v>2.5999999999999999E-3</v>
      </c>
      <c r="F68" s="232">
        <v>2.93E-2</v>
      </c>
      <c r="G68" s="232">
        <f t="shared" ref="G68:G81" si="4">IF(F68="NA","NA",E68/F68)</f>
        <v>8.8737201365187715E-2</v>
      </c>
      <c r="H68" s="233">
        <f t="shared" ref="H68:H81" si="5">IF(G68="NA","NA",IF(B68="NA","NA",B68/G68))</f>
        <v>3.3796423076923077</v>
      </c>
    </row>
    <row r="69" spans="1:8" ht="18" thickBot="1">
      <c r="A69" s="228" t="s">
        <v>134</v>
      </c>
      <c r="B69" s="229">
        <v>0.2671</v>
      </c>
      <c r="C69" s="230" t="s">
        <v>143</v>
      </c>
      <c r="D69" s="234" t="str">
        <f t="shared" si="3"/>
        <v>NA</v>
      </c>
      <c r="E69" s="231">
        <v>4.7999999999999996E-3</v>
      </c>
      <c r="F69" s="232">
        <v>0.12189999999999999</v>
      </c>
      <c r="G69" s="232">
        <f t="shared" si="4"/>
        <v>3.937653814602133E-2</v>
      </c>
      <c r="H69" s="233">
        <f t="shared" si="5"/>
        <v>6.7832270833333332</v>
      </c>
    </row>
    <row r="70" spans="1:8" ht="18" thickBot="1">
      <c r="A70" s="228" t="s">
        <v>64</v>
      </c>
      <c r="B70" s="229">
        <v>0.21510000000000001</v>
      </c>
      <c r="C70" s="230" t="s">
        <v>143</v>
      </c>
      <c r="D70" s="234" t="str">
        <f t="shared" si="3"/>
        <v>NA</v>
      </c>
      <c r="E70" s="230" t="s">
        <v>143</v>
      </c>
      <c r="F70" s="232" t="s">
        <v>143</v>
      </c>
      <c r="G70" s="232" t="str">
        <f t="shared" si="4"/>
        <v>NA</v>
      </c>
      <c r="H70" s="233" t="str">
        <f t="shared" si="5"/>
        <v>NA</v>
      </c>
    </row>
    <row r="71" spans="1:8" ht="18" thickBot="1">
      <c r="A71" s="228" t="s">
        <v>332</v>
      </c>
      <c r="B71" s="229">
        <v>0.1061</v>
      </c>
      <c r="C71" s="230" t="s">
        <v>143</v>
      </c>
      <c r="D71" s="234" t="str">
        <f t="shared" si="3"/>
        <v>NA</v>
      </c>
      <c r="E71" s="230" t="s">
        <v>143</v>
      </c>
      <c r="F71" s="232" t="s">
        <v>143</v>
      </c>
      <c r="G71" s="232" t="str">
        <f t="shared" si="4"/>
        <v>NA</v>
      </c>
      <c r="H71" s="233" t="str">
        <f t="shared" si="5"/>
        <v>NA</v>
      </c>
    </row>
    <row r="72" spans="1:8" ht="18" thickBot="1">
      <c r="A72" s="228" t="s">
        <v>65</v>
      </c>
      <c r="B72" s="229">
        <v>0.30120000000000002</v>
      </c>
      <c r="C72" s="231">
        <v>0.31009999999999999</v>
      </c>
      <c r="D72" s="234">
        <f t="shared" si="3"/>
        <v>0.97129958078039358</v>
      </c>
      <c r="E72" s="231">
        <v>3.7000000000000002E-3</v>
      </c>
      <c r="F72" s="232">
        <v>6.1999999999999998E-3</v>
      </c>
      <c r="G72" s="232">
        <f t="shared" si="4"/>
        <v>0.59677419354838712</v>
      </c>
      <c r="H72" s="233">
        <f t="shared" si="5"/>
        <v>0.50471351351351357</v>
      </c>
    </row>
    <row r="73" spans="1:8" ht="18" thickBot="1">
      <c r="A73" s="228" t="s">
        <v>77</v>
      </c>
      <c r="B73" s="229">
        <v>0.1057</v>
      </c>
      <c r="C73" s="230" t="s">
        <v>143</v>
      </c>
      <c r="D73" s="234" t="str">
        <f t="shared" si="3"/>
        <v>NA</v>
      </c>
      <c r="E73" s="231">
        <v>4.7999999999999996E-3</v>
      </c>
      <c r="F73" s="232">
        <v>4.8500000000000001E-2</v>
      </c>
      <c r="G73" s="232">
        <f t="shared" si="4"/>
        <v>9.8969072164948435E-2</v>
      </c>
      <c r="H73" s="233">
        <f t="shared" si="5"/>
        <v>1.0680104166666669</v>
      </c>
    </row>
    <row r="74" spans="1:8" ht="18" thickBot="1">
      <c r="A74" s="228" t="s">
        <v>66</v>
      </c>
      <c r="B74" s="229">
        <v>0.26300000000000001</v>
      </c>
      <c r="C74" s="231">
        <v>0.16220000000000001</v>
      </c>
      <c r="D74" s="234">
        <f t="shared" si="3"/>
        <v>1.6214549938347718</v>
      </c>
      <c r="E74" s="231">
        <v>5.1999999999999998E-3</v>
      </c>
      <c r="F74" s="232">
        <v>3.3099999999999997E-2</v>
      </c>
      <c r="G74" s="232">
        <f t="shared" si="4"/>
        <v>0.15709969788519637</v>
      </c>
      <c r="H74" s="233">
        <f t="shared" si="5"/>
        <v>1.6740961538461541</v>
      </c>
    </row>
    <row r="75" spans="1:8" ht="18" thickBot="1">
      <c r="A75" s="228" t="s">
        <v>345</v>
      </c>
      <c r="B75" s="229">
        <v>0.28199999999999997</v>
      </c>
      <c r="C75" s="230" t="s">
        <v>143</v>
      </c>
      <c r="D75" s="234" t="str">
        <f t="shared" si="3"/>
        <v>NA</v>
      </c>
      <c r="E75" s="230" t="s">
        <v>143</v>
      </c>
      <c r="F75" s="232" t="s">
        <v>143</v>
      </c>
      <c r="G75" s="232" t="str">
        <f t="shared" si="4"/>
        <v>NA</v>
      </c>
      <c r="H75" s="233" t="str">
        <f t="shared" si="5"/>
        <v>NA</v>
      </c>
    </row>
    <row r="76" spans="1:8" ht="18" thickBot="1">
      <c r="A76" s="228" t="s">
        <v>68</v>
      </c>
      <c r="B76" s="229">
        <v>5.9700000000000003E-2</v>
      </c>
      <c r="C76" s="231">
        <v>0.13339999999999999</v>
      </c>
      <c r="D76" s="234">
        <f t="shared" si="3"/>
        <v>0.44752623688155929</v>
      </c>
      <c r="E76" s="231">
        <v>3.5999999999999999E-3</v>
      </c>
      <c r="F76" s="232">
        <v>4.1799999999999997E-2</v>
      </c>
      <c r="G76" s="232">
        <f t="shared" si="4"/>
        <v>8.6124401913875603E-2</v>
      </c>
      <c r="H76" s="233">
        <f t="shared" si="5"/>
        <v>0.69318333333333337</v>
      </c>
    </row>
    <row r="77" spans="1:8" ht="18" thickBot="1">
      <c r="A77" s="228" t="s">
        <v>69</v>
      </c>
      <c r="B77" s="229" t="s">
        <v>143</v>
      </c>
      <c r="C77" s="230" t="s">
        <v>143</v>
      </c>
      <c r="D77" s="234" t="str">
        <f t="shared" si="3"/>
        <v>NA</v>
      </c>
      <c r="E77" s="231">
        <v>5.7999999999999996E-3</v>
      </c>
      <c r="F77" s="232">
        <v>1.2699999999999999E-2</v>
      </c>
      <c r="G77" s="232">
        <f t="shared" si="4"/>
        <v>0.45669291338582674</v>
      </c>
      <c r="H77" s="233" t="str">
        <f t="shared" si="5"/>
        <v>NA</v>
      </c>
    </row>
    <row r="78" spans="1:8" ht="18" thickBot="1">
      <c r="A78" s="235" t="s">
        <v>193</v>
      </c>
      <c r="B78" s="229">
        <v>0.33850000000000002</v>
      </c>
      <c r="C78" s="230" t="s">
        <v>143</v>
      </c>
      <c r="D78" s="234" t="str">
        <f t="shared" si="3"/>
        <v>NA</v>
      </c>
      <c r="E78" s="230" t="s">
        <v>143</v>
      </c>
      <c r="F78" s="232" t="s">
        <v>143</v>
      </c>
      <c r="G78" s="232" t="str">
        <f t="shared" si="4"/>
        <v>NA</v>
      </c>
      <c r="H78" s="233" t="str">
        <f t="shared" si="5"/>
        <v>NA</v>
      </c>
    </row>
    <row r="79" spans="1:8" ht="18" thickBot="1">
      <c r="A79" s="228" t="s">
        <v>70</v>
      </c>
      <c r="B79" s="229">
        <v>0.64980000000000004</v>
      </c>
      <c r="C79" s="230" t="s">
        <v>143</v>
      </c>
      <c r="D79" s="234" t="str">
        <f t="shared" si="3"/>
        <v>NA</v>
      </c>
      <c r="E79" s="230" t="s">
        <v>143</v>
      </c>
      <c r="F79" s="232" t="s">
        <v>143</v>
      </c>
      <c r="G79" s="232" t="str">
        <f t="shared" si="4"/>
        <v>NA</v>
      </c>
      <c r="H79" s="233" t="str">
        <f t="shared" si="5"/>
        <v>NA</v>
      </c>
    </row>
    <row r="80" spans="1:8" ht="18" thickBot="1">
      <c r="A80" s="228" t="s">
        <v>71</v>
      </c>
      <c r="B80" s="229">
        <v>0.26119999999999999</v>
      </c>
      <c r="C80" s="230" t="s">
        <v>143</v>
      </c>
      <c r="D80" s="234" t="str">
        <f t="shared" si="3"/>
        <v>NA</v>
      </c>
      <c r="E80" s="231">
        <v>3.2000000000000002E-3</v>
      </c>
      <c r="F80" s="232">
        <v>1.49E-2</v>
      </c>
      <c r="G80" s="232">
        <f t="shared" si="4"/>
        <v>0.21476510067114096</v>
      </c>
      <c r="H80" s="233">
        <f t="shared" si="5"/>
        <v>1.2162124999999999</v>
      </c>
    </row>
    <row r="81" spans="1:8" ht="18" thickBot="1">
      <c r="A81" s="228" t="s">
        <v>192</v>
      </c>
      <c r="B81" s="229" t="s">
        <v>143</v>
      </c>
      <c r="C81" s="230" t="s">
        <v>143</v>
      </c>
      <c r="D81" s="234" t="str">
        <f t="shared" si="3"/>
        <v>NA</v>
      </c>
      <c r="E81" s="231">
        <v>5.4000000000000003E-3</v>
      </c>
      <c r="F81" s="232" t="s">
        <v>143</v>
      </c>
      <c r="G81" s="232" t="str">
        <f t="shared" si="4"/>
        <v>NA</v>
      </c>
      <c r="H81" s="233" t="str">
        <f t="shared" si="5"/>
        <v>NA</v>
      </c>
    </row>
    <row r="82" spans="1:8" ht="18" thickBot="1">
      <c r="A82" s="228" t="s">
        <v>148</v>
      </c>
      <c r="B82" s="236"/>
      <c r="C82" s="237"/>
      <c r="D82" s="233">
        <f>AVERAGE(D4:D81)</f>
        <v>1.8068743864633241</v>
      </c>
      <c r="E82" s="237"/>
      <c r="F82" s="238"/>
      <c r="G82" s="230"/>
      <c r="H82" s="233">
        <f>AVERAGE(H4:H81)</f>
        <v>1.3522063982964265</v>
      </c>
    </row>
    <row r="83" spans="1:8" ht="18" thickBot="1">
      <c r="A83" s="228" t="s">
        <v>149</v>
      </c>
      <c r="B83" s="236"/>
      <c r="C83" s="237"/>
      <c r="D83" s="233">
        <f>MEDIAN(D4:D81)</f>
        <v>1.4803876252926327</v>
      </c>
      <c r="E83" s="237"/>
      <c r="F83" s="238"/>
      <c r="G83" s="230"/>
      <c r="H83" s="233">
        <f>MEDIAN(H4:H81)</f>
        <v>1.0268709677419354</v>
      </c>
    </row>
    <row r="84" spans="1:8" ht="20" thickBot="1">
      <c r="A84" s="176" t="s">
        <v>149</v>
      </c>
      <c r="B84" s="177"/>
      <c r="C84" s="177"/>
      <c r="D84" s="178">
        <f>MEDIAN(D4:D83)</f>
        <v>1.4907731869220986</v>
      </c>
      <c r="E84" s="179"/>
      <c r="F84" s="179"/>
      <c r="G84" s="180"/>
      <c r="H84" s="181">
        <f>MEDIAN(H4:H83)</f>
        <v>1.0268709677419354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5"/>
  <sheetViews>
    <sheetView workbookViewId="0">
      <selection activeCell="B2" sqref="B2"/>
    </sheetView>
  </sheetViews>
  <sheetFormatPr baseColWidth="10" defaultRowHeight="16"/>
  <cols>
    <col min="1" max="1" width="26.5" style="22" bestFit="1" customWidth="1"/>
    <col min="2" max="2" width="26.5" style="22" customWidth="1"/>
    <col min="3" max="3" width="7.5" customWidth="1"/>
    <col min="4" max="4" width="11" bestFit="1" customWidth="1"/>
    <col min="5" max="5" width="23.33203125" customWidth="1"/>
  </cols>
  <sheetData>
    <row r="1" spans="1:8" s="1" customFormat="1" ht="17">
      <c r="A1" s="54" t="s">
        <v>75</v>
      </c>
      <c r="B1" s="54" t="s">
        <v>585</v>
      </c>
      <c r="E1" t="s">
        <v>75</v>
      </c>
      <c r="F1" t="s">
        <v>572</v>
      </c>
      <c r="G1"/>
      <c r="H1"/>
    </row>
    <row r="2" spans="1:8">
      <c r="A2" s="55" t="s">
        <v>272</v>
      </c>
      <c r="B2" s="173">
        <v>268</v>
      </c>
      <c r="E2" t="s">
        <v>405</v>
      </c>
      <c r="F2">
        <v>19.806999999999999</v>
      </c>
    </row>
    <row r="3" spans="1:8">
      <c r="A3" s="55" t="s">
        <v>4</v>
      </c>
      <c r="B3" s="173">
        <f t="shared" ref="B3:B65" si="0">VLOOKUP(A3,$E$2:$F$215,2,FALSE)</f>
        <v>14.8</v>
      </c>
      <c r="C3" s="35" t="s">
        <v>254</v>
      </c>
      <c r="D3" s="112" t="s">
        <v>255</v>
      </c>
      <c r="E3" t="s">
        <v>4</v>
      </c>
      <c r="F3">
        <v>14.8</v>
      </c>
    </row>
    <row r="4" spans="1:8">
      <c r="A4" s="55" t="s">
        <v>286</v>
      </c>
      <c r="B4" s="173">
        <v>3.16</v>
      </c>
      <c r="C4" s="35" t="s">
        <v>294</v>
      </c>
      <c r="D4" s="35">
        <v>2020</v>
      </c>
      <c r="E4" t="s">
        <v>337</v>
      </c>
      <c r="F4">
        <v>145.16399999999999</v>
      </c>
    </row>
    <row r="5" spans="1:8">
      <c r="A5" s="55" t="s">
        <v>131</v>
      </c>
      <c r="B5" s="173">
        <f t="shared" si="0"/>
        <v>62.307000000000002</v>
      </c>
      <c r="E5" t="s">
        <v>461</v>
      </c>
      <c r="F5">
        <v>0.63800000000000001</v>
      </c>
    </row>
    <row r="6" spans="1:8">
      <c r="A6" s="55" t="s">
        <v>84</v>
      </c>
      <c r="B6" s="173">
        <f t="shared" si="0"/>
        <v>383.06700000000001</v>
      </c>
      <c r="E6" t="s">
        <v>197</v>
      </c>
      <c r="F6">
        <v>3.1549999999999998</v>
      </c>
    </row>
    <row r="7" spans="1:8">
      <c r="A7" s="55" t="s">
        <v>19</v>
      </c>
      <c r="B7" s="173">
        <f t="shared" si="0"/>
        <v>12.645</v>
      </c>
      <c r="E7" t="s">
        <v>131</v>
      </c>
      <c r="F7">
        <v>62.307000000000002</v>
      </c>
    </row>
    <row r="8" spans="1:8">
      <c r="A8" s="55" t="s">
        <v>201</v>
      </c>
      <c r="B8" s="173">
        <f t="shared" si="0"/>
        <v>3.202</v>
      </c>
      <c r="E8" t="s">
        <v>425</v>
      </c>
      <c r="F8">
        <v>1.415</v>
      </c>
    </row>
    <row r="9" spans="1:8">
      <c r="A9" s="55" t="s">
        <v>85</v>
      </c>
      <c r="B9" s="173">
        <f t="shared" si="0"/>
        <v>1330.9010000000001</v>
      </c>
      <c r="E9" t="s">
        <v>84</v>
      </c>
      <c r="F9">
        <v>383.06700000000001</v>
      </c>
    </row>
    <row r="10" spans="1:8">
      <c r="A10" s="55" t="s">
        <v>176</v>
      </c>
      <c r="B10" s="173">
        <f t="shared" si="0"/>
        <v>428.96499999999997</v>
      </c>
      <c r="E10" t="s">
        <v>19</v>
      </c>
      <c r="F10">
        <v>12.645</v>
      </c>
    </row>
    <row r="11" spans="1:8">
      <c r="A11" s="55" t="s">
        <v>20</v>
      </c>
      <c r="B11" s="173">
        <f t="shared" si="0"/>
        <v>42.606999999999999</v>
      </c>
      <c r="E11" t="s">
        <v>201</v>
      </c>
      <c r="F11">
        <v>3.202</v>
      </c>
    </row>
    <row r="12" spans="1:8">
      <c r="A12" s="55" t="s">
        <v>86</v>
      </c>
      <c r="B12" s="173">
        <v>11.25</v>
      </c>
      <c r="E12" t="s">
        <v>85</v>
      </c>
      <c r="F12">
        <v>1330.9010000000001</v>
      </c>
    </row>
    <row r="13" spans="1:8">
      <c r="A13" s="55" t="s">
        <v>87</v>
      </c>
      <c r="B13" s="173">
        <f t="shared" si="0"/>
        <v>38.475000000000001</v>
      </c>
      <c r="E13" t="s">
        <v>176</v>
      </c>
      <c r="F13">
        <v>428.96499999999997</v>
      </c>
    </row>
    <row r="14" spans="1:8">
      <c r="A14" s="55" t="s">
        <v>132</v>
      </c>
      <c r="B14" s="173">
        <f t="shared" si="0"/>
        <v>324.23899999999998</v>
      </c>
      <c r="E14" t="s">
        <v>20</v>
      </c>
      <c r="F14">
        <v>42.606999999999999</v>
      </c>
    </row>
    <row r="15" spans="1:8">
      <c r="A15" s="55" t="s">
        <v>88</v>
      </c>
      <c r="B15" s="173">
        <f t="shared" si="0"/>
        <v>4.3659999999999997</v>
      </c>
      <c r="E15" t="s">
        <v>573</v>
      </c>
      <c r="F15">
        <v>11.25</v>
      </c>
    </row>
    <row r="16" spans="1:8">
      <c r="A16" s="55" t="s">
        <v>5</v>
      </c>
      <c r="B16" s="173">
        <f t="shared" si="0"/>
        <v>60.258000000000003</v>
      </c>
      <c r="E16" t="s">
        <v>87</v>
      </c>
      <c r="F16">
        <v>38.475000000000001</v>
      </c>
    </row>
    <row r="17" spans="1:6">
      <c r="A17" s="55" t="s">
        <v>177</v>
      </c>
      <c r="B17" s="173">
        <f t="shared" si="0"/>
        <v>515.33199999999999</v>
      </c>
      <c r="E17" t="s">
        <v>132</v>
      </c>
      <c r="F17">
        <v>324.23899999999998</v>
      </c>
    </row>
    <row r="18" spans="1:6">
      <c r="A18" s="55" t="s">
        <v>89</v>
      </c>
      <c r="B18" s="173">
        <f t="shared" si="0"/>
        <v>1.764</v>
      </c>
      <c r="E18" t="s">
        <v>88</v>
      </c>
      <c r="F18">
        <v>4.3659999999999997</v>
      </c>
    </row>
    <row r="19" spans="1:6">
      <c r="A19" s="55" t="s">
        <v>208</v>
      </c>
      <c r="B19" s="173">
        <f t="shared" si="0"/>
        <v>15.651999999999999</v>
      </c>
      <c r="E19" t="s">
        <v>5</v>
      </c>
      <c r="F19">
        <v>60.258000000000003</v>
      </c>
    </row>
    <row r="20" spans="1:6">
      <c r="A20" s="55" t="s">
        <v>90</v>
      </c>
      <c r="B20" s="173">
        <f t="shared" si="0"/>
        <v>7.484</v>
      </c>
      <c r="E20" t="s">
        <v>177</v>
      </c>
      <c r="F20">
        <v>515.33199999999999</v>
      </c>
    </row>
    <row r="21" spans="1:6">
      <c r="A21" s="55" t="s">
        <v>91</v>
      </c>
      <c r="B21" s="173">
        <f t="shared" si="0"/>
        <v>36.689</v>
      </c>
      <c r="E21" t="s">
        <v>89</v>
      </c>
      <c r="F21">
        <v>1.764</v>
      </c>
    </row>
    <row r="22" spans="1:6">
      <c r="A22" s="55" t="s">
        <v>7</v>
      </c>
      <c r="B22" s="173">
        <f t="shared" si="0"/>
        <v>19.788</v>
      </c>
      <c r="E22" t="s">
        <v>208</v>
      </c>
      <c r="F22">
        <v>15.651999999999999</v>
      </c>
    </row>
    <row r="23" spans="1:6">
      <c r="A23" s="55" t="s">
        <v>123</v>
      </c>
      <c r="B23" s="173">
        <f t="shared" si="0"/>
        <v>15.782</v>
      </c>
      <c r="E23" t="s">
        <v>90</v>
      </c>
      <c r="F23">
        <v>7.484</v>
      </c>
    </row>
    <row r="24" spans="1:6">
      <c r="A24" s="55" t="s">
        <v>92</v>
      </c>
      <c r="B24" s="173">
        <f t="shared" si="0"/>
        <v>1444.7329999999999</v>
      </c>
      <c r="E24" t="s">
        <v>419</v>
      </c>
      <c r="F24">
        <v>2.4089999999999998</v>
      </c>
    </row>
    <row r="25" spans="1:6">
      <c r="A25" s="55" t="s">
        <v>94</v>
      </c>
      <c r="B25" s="173">
        <f t="shared" si="0"/>
        <v>69.105000000000004</v>
      </c>
      <c r="E25" t="s">
        <v>91</v>
      </c>
      <c r="F25">
        <v>36.689</v>
      </c>
    </row>
    <row r="26" spans="1:6">
      <c r="A26" s="55" t="s">
        <v>211</v>
      </c>
      <c r="B26" s="173">
        <f t="shared" si="0"/>
        <v>17.369</v>
      </c>
      <c r="E26" t="s">
        <v>7</v>
      </c>
      <c r="F26">
        <v>19.788</v>
      </c>
    </row>
    <row r="27" spans="1:6">
      <c r="A27" s="55" t="s">
        <v>6</v>
      </c>
      <c r="B27" s="173">
        <f t="shared" si="0"/>
        <v>25.291</v>
      </c>
      <c r="E27" t="s">
        <v>123</v>
      </c>
      <c r="F27">
        <v>15.782</v>
      </c>
    </row>
    <row r="28" spans="1:6">
      <c r="A28" s="55" t="s">
        <v>212</v>
      </c>
      <c r="B28" s="173">
        <f t="shared" si="0"/>
        <v>39.802</v>
      </c>
      <c r="E28" t="s">
        <v>92</v>
      </c>
      <c r="F28">
        <v>1444.7329999999999</v>
      </c>
    </row>
    <row r="29" spans="1:6">
      <c r="A29" s="55" t="s">
        <v>95</v>
      </c>
      <c r="B29" s="173">
        <f t="shared" si="0"/>
        <v>1643.4079999999999</v>
      </c>
      <c r="E29" t="s">
        <v>406</v>
      </c>
      <c r="F29">
        <v>12.016</v>
      </c>
    </row>
    <row r="30" spans="1:6">
      <c r="A30" s="55" t="s">
        <v>213</v>
      </c>
      <c r="B30" s="173">
        <v>1.7</v>
      </c>
      <c r="E30" t="s">
        <v>94</v>
      </c>
      <c r="F30">
        <v>69.105000000000004</v>
      </c>
    </row>
    <row r="31" spans="1:6">
      <c r="A31" s="55" t="s">
        <v>55</v>
      </c>
      <c r="B31" s="173">
        <f t="shared" si="0"/>
        <v>5.9359999999999999</v>
      </c>
      <c r="E31" t="s">
        <v>211</v>
      </c>
      <c r="F31">
        <v>17.369</v>
      </c>
    </row>
    <row r="32" spans="1:6">
      <c r="A32" s="55" t="s">
        <v>96</v>
      </c>
      <c r="B32" s="173">
        <f t="shared" si="0"/>
        <v>252.94</v>
      </c>
      <c r="E32" t="s">
        <v>415</v>
      </c>
      <c r="F32">
        <v>3.258</v>
      </c>
    </row>
    <row r="33" spans="1:6">
      <c r="A33" s="55" t="s">
        <v>97</v>
      </c>
      <c r="B33" s="173">
        <f t="shared" si="0"/>
        <v>14722.731</v>
      </c>
      <c r="E33" t="s">
        <v>574</v>
      </c>
      <c r="F33">
        <v>1.704</v>
      </c>
    </row>
    <row r="34" spans="1:6">
      <c r="A34" s="55" t="s">
        <v>50</v>
      </c>
      <c r="B34" s="173">
        <f t="shared" si="0"/>
        <v>271.34699999999998</v>
      </c>
      <c r="E34" t="s">
        <v>6</v>
      </c>
      <c r="F34">
        <v>25.291</v>
      </c>
    </row>
    <row r="35" spans="1:6">
      <c r="A35" s="55" t="s">
        <v>287</v>
      </c>
      <c r="B35" s="173">
        <v>49.87</v>
      </c>
      <c r="E35" t="s">
        <v>212</v>
      </c>
      <c r="F35">
        <v>39.802</v>
      </c>
    </row>
    <row r="36" spans="1:6">
      <c r="A36" s="55" t="s">
        <v>288</v>
      </c>
      <c r="B36" s="173">
        <v>10.89</v>
      </c>
      <c r="E36" t="s">
        <v>95</v>
      </c>
      <c r="F36">
        <v>1643.4079999999999</v>
      </c>
    </row>
    <row r="37" spans="1:6">
      <c r="A37" s="55" t="s">
        <v>214</v>
      </c>
      <c r="B37" s="173">
        <v>0.38400000000000001</v>
      </c>
      <c r="E37" t="s">
        <v>55</v>
      </c>
      <c r="F37">
        <v>5.9359999999999999</v>
      </c>
    </row>
    <row r="38" spans="1:6">
      <c r="A38" s="55" t="s">
        <v>56</v>
      </c>
      <c r="B38" s="173">
        <f t="shared" si="0"/>
        <v>61.521000000000001</v>
      </c>
      <c r="E38" t="s">
        <v>421</v>
      </c>
      <c r="F38">
        <v>2.3029999999999999</v>
      </c>
    </row>
    <row r="39" spans="1:6">
      <c r="A39" s="55" t="s">
        <v>283</v>
      </c>
      <c r="B39" s="173">
        <f t="shared" si="0"/>
        <v>61.348999999999997</v>
      </c>
      <c r="E39" t="s">
        <v>409</v>
      </c>
      <c r="F39">
        <v>10.093</v>
      </c>
    </row>
    <row r="40" spans="1:6">
      <c r="A40" s="55" t="s">
        <v>98</v>
      </c>
      <c r="B40" s="173">
        <f t="shared" si="0"/>
        <v>55.966999999999999</v>
      </c>
      <c r="E40" t="s">
        <v>96</v>
      </c>
      <c r="F40">
        <v>252.94</v>
      </c>
    </row>
    <row r="41" spans="1:6">
      <c r="A41" s="55" t="s">
        <v>99</v>
      </c>
      <c r="B41" s="173">
        <f t="shared" si="0"/>
        <v>103.131</v>
      </c>
      <c r="E41" t="s">
        <v>97</v>
      </c>
      <c r="F41">
        <v>14722.731</v>
      </c>
    </row>
    <row r="42" spans="1:6">
      <c r="A42" s="55" t="s">
        <v>217</v>
      </c>
      <c r="B42" s="173">
        <v>3.1</v>
      </c>
      <c r="E42" t="s">
        <v>50</v>
      </c>
      <c r="F42">
        <v>271.34699999999998</v>
      </c>
    </row>
    <row r="43" spans="1:6">
      <c r="A43" s="55" t="s">
        <v>178</v>
      </c>
      <c r="B43" s="173">
        <f t="shared" si="0"/>
        <v>23.803999999999998</v>
      </c>
      <c r="E43" t="s">
        <v>433</v>
      </c>
      <c r="F43">
        <v>1.22</v>
      </c>
    </row>
    <row r="44" spans="1:6">
      <c r="A44" s="55" t="s">
        <v>101</v>
      </c>
      <c r="B44" s="173">
        <f t="shared" si="0"/>
        <v>243.53</v>
      </c>
      <c r="E44" t="s">
        <v>575</v>
      </c>
      <c r="F44">
        <v>49.869</v>
      </c>
    </row>
    <row r="45" spans="1:6">
      <c r="A45" s="55" t="s">
        <v>102</v>
      </c>
      <c r="B45" s="173">
        <f t="shared" si="0"/>
        <v>355.18400000000003</v>
      </c>
      <c r="E45" t="s">
        <v>576</v>
      </c>
      <c r="F45">
        <v>10.885</v>
      </c>
    </row>
    <row r="46" spans="1:6">
      <c r="A46" s="55" t="s">
        <v>103</v>
      </c>
      <c r="B46" s="173">
        <f t="shared" si="0"/>
        <v>78.844999999999999</v>
      </c>
      <c r="E46" t="s">
        <v>56</v>
      </c>
      <c r="F46">
        <v>61.521000000000001</v>
      </c>
    </row>
    <row r="47" spans="1:6">
      <c r="A47" s="55" t="s">
        <v>104</v>
      </c>
      <c r="B47" s="173">
        <f t="shared" si="0"/>
        <v>98.808000000000007</v>
      </c>
      <c r="E47" t="s">
        <v>283</v>
      </c>
      <c r="F47">
        <v>61.348999999999997</v>
      </c>
    </row>
    <row r="48" spans="1:6">
      <c r="A48" s="55" t="s">
        <v>105</v>
      </c>
      <c r="B48" s="173">
        <v>363.09</v>
      </c>
      <c r="E48" t="s">
        <v>98</v>
      </c>
      <c r="F48">
        <v>55.966999999999999</v>
      </c>
    </row>
    <row r="49" spans="1:6">
      <c r="A49" s="55" t="s">
        <v>31</v>
      </c>
      <c r="B49" s="173">
        <f t="shared" si="0"/>
        <v>24.638999999999999</v>
      </c>
      <c r="E49" t="s">
        <v>99</v>
      </c>
      <c r="F49">
        <v>103.131</v>
      </c>
    </row>
    <row r="50" spans="1:6">
      <c r="A50" s="55" t="s">
        <v>106</v>
      </c>
      <c r="B50" s="173">
        <f t="shared" si="0"/>
        <v>31.03</v>
      </c>
      <c r="E50" t="s">
        <v>577</v>
      </c>
      <c r="F50">
        <v>3.1019999999999999</v>
      </c>
    </row>
    <row r="51" spans="1:6">
      <c r="A51" s="55" t="s">
        <v>284</v>
      </c>
      <c r="B51" s="173">
        <f t="shared" si="0"/>
        <v>107.645</v>
      </c>
      <c r="E51" t="s">
        <v>178</v>
      </c>
      <c r="F51">
        <v>23.803999999999998</v>
      </c>
    </row>
    <row r="52" spans="1:6">
      <c r="A52" s="55" t="s">
        <v>219</v>
      </c>
      <c r="B52" s="173">
        <f t="shared" si="0"/>
        <v>4.3760000000000003</v>
      </c>
      <c r="E52" t="s">
        <v>101</v>
      </c>
      <c r="F52">
        <v>243.53</v>
      </c>
    </row>
    <row r="53" spans="1:6">
      <c r="A53" s="55" t="s">
        <v>179</v>
      </c>
      <c r="B53" s="173">
        <f t="shared" si="0"/>
        <v>271.23399999999998</v>
      </c>
      <c r="E53" t="s">
        <v>102</v>
      </c>
      <c r="F53">
        <v>355.18400000000003</v>
      </c>
    </row>
    <row r="54" spans="1:6">
      <c r="A54" s="55" t="s">
        <v>180</v>
      </c>
      <c r="B54" s="173">
        <f t="shared" si="0"/>
        <v>2603.0039999999999</v>
      </c>
      <c r="E54" t="s">
        <v>420</v>
      </c>
      <c r="F54">
        <v>3.3839999999999999</v>
      </c>
    </row>
    <row r="55" spans="1:6">
      <c r="A55" s="55" t="s">
        <v>220</v>
      </c>
      <c r="B55" s="173">
        <f t="shared" si="0"/>
        <v>15.593</v>
      </c>
      <c r="E55" t="s">
        <v>434</v>
      </c>
      <c r="F55">
        <v>0.47</v>
      </c>
    </row>
    <row r="56" spans="1:6">
      <c r="A56" s="55" t="s">
        <v>133</v>
      </c>
      <c r="B56" s="173">
        <f t="shared" si="0"/>
        <v>15.891999999999999</v>
      </c>
      <c r="E56" t="s">
        <v>103</v>
      </c>
      <c r="F56">
        <v>78.844999999999999</v>
      </c>
    </row>
    <row r="57" spans="1:6">
      <c r="A57" s="55" t="s">
        <v>181</v>
      </c>
      <c r="B57" s="173">
        <f t="shared" si="0"/>
        <v>3806.06</v>
      </c>
      <c r="E57" t="s">
        <v>104</v>
      </c>
      <c r="F57">
        <v>98.808000000000007</v>
      </c>
    </row>
    <row r="58" spans="1:6">
      <c r="A58" s="55" t="s">
        <v>221</v>
      </c>
      <c r="B58" s="173">
        <f t="shared" si="0"/>
        <v>72.353999999999999</v>
      </c>
      <c r="E58" t="s">
        <v>578</v>
      </c>
      <c r="F58">
        <v>363.06900000000002</v>
      </c>
    </row>
    <row r="59" spans="1:6">
      <c r="A59" s="55" t="s">
        <v>182</v>
      </c>
      <c r="B59" s="173">
        <f t="shared" si="0"/>
        <v>189.41</v>
      </c>
      <c r="E59" t="s">
        <v>31</v>
      </c>
      <c r="F59">
        <v>24.638999999999999</v>
      </c>
    </row>
    <row r="60" spans="1:6">
      <c r="A60" s="55" t="s">
        <v>107</v>
      </c>
      <c r="B60" s="173">
        <f t="shared" si="0"/>
        <v>77.605000000000004</v>
      </c>
      <c r="E60" t="s">
        <v>408</v>
      </c>
      <c r="F60">
        <v>10.022</v>
      </c>
    </row>
    <row r="61" spans="1:6">
      <c r="A61" s="55" t="s">
        <v>289</v>
      </c>
      <c r="B61" s="173">
        <v>3.18</v>
      </c>
      <c r="E61" t="s">
        <v>106</v>
      </c>
      <c r="F61">
        <v>31.03</v>
      </c>
    </row>
    <row r="62" spans="1:6">
      <c r="A62" s="55" t="s">
        <v>108</v>
      </c>
      <c r="B62" s="173">
        <f t="shared" si="0"/>
        <v>23.827999999999999</v>
      </c>
      <c r="E62" t="s">
        <v>484</v>
      </c>
      <c r="F62">
        <v>3.9620000000000002</v>
      </c>
    </row>
    <row r="63" spans="1:6">
      <c r="A63" s="55" t="s">
        <v>59</v>
      </c>
      <c r="B63" s="173">
        <v>346.6</v>
      </c>
      <c r="E63" t="s">
        <v>284</v>
      </c>
      <c r="F63">
        <v>107.645</v>
      </c>
    </row>
    <row r="64" spans="1:6">
      <c r="A64" s="55" t="s">
        <v>109</v>
      </c>
      <c r="B64" s="173">
        <f t="shared" si="0"/>
        <v>155.01300000000001</v>
      </c>
      <c r="E64" t="s">
        <v>416</v>
      </c>
      <c r="F64">
        <v>3.1259999999999999</v>
      </c>
    </row>
    <row r="65" spans="1:6">
      <c r="A65" s="55" t="s">
        <v>110</v>
      </c>
      <c r="B65" s="173">
        <f t="shared" si="0"/>
        <v>21.715</v>
      </c>
      <c r="E65" t="s">
        <v>219</v>
      </c>
      <c r="F65">
        <v>4.3760000000000003</v>
      </c>
    </row>
    <row r="66" spans="1:6">
      <c r="A66" s="55" t="s">
        <v>111</v>
      </c>
      <c r="B66" s="173">
        <f t="shared" ref="B66:B129" si="1">VLOOKUP(A66,$E$2:$F$215,2,FALSE)</f>
        <v>2622.9839999999999</v>
      </c>
      <c r="E66" t="s">
        <v>179</v>
      </c>
      <c r="F66">
        <v>271.23399999999998</v>
      </c>
    </row>
    <row r="67" spans="1:6">
      <c r="A67" s="55" t="s">
        <v>112</v>
      </c>
      <c r="B67" s="173">
        <f t="shared" si="1"/>
        <v>1058.424</v>
      </c>
      <c r="E67" t="s">
        <v>180</v>
      </c>
      <c r="F67">
        <v>2603.0039999999999</v>
      </c>
    </row>
    <row r="68" spans="1:6">
      <c r="A68" s="55" t="s">
        <v>331</v>
      </c>
      <c r="B68" s="173">
        <f t="shared" si="1"/>
        <v>167.22399999999999</v>
      </c>
      <c r="E68" t="s">
        <v>220</v>
      </c>
      <c r="F68">
        <v>15.593</v>
      </c>
    </row>
    <row r="69" spans="1:6">
      <c r="A69" s="55" t="s">
        <v>183</v>
      </c>
      <c r="B69" s="173">
        <f t="shared" si="1"/>
        <v>418.62200000000001</v>
      </c>
      <c r="E69" t="s">
        <v>428</v>
      </c>
      <c r="F69">
        <v>1.9019999999999999</v>
      </c>
    </row>
    <row r="70" spans="1:6">
      <c r="A70" s="55" t="s">
        <v>113</v>
      </c>
      <c r="B70" s="173">
        <f t="shared" si="1"/>
        <v>7.492</v>
      </c>
      <c r="E70" t="s">
        <v>133</v>
      </c>
      <c r="F70">
        <v>15.891999999999999</v>
      </c>
    </row>
    <row r="71" spans="1:6">
      <c r="A71" s="55" t="s">
        <v>114</v>
      </c>
      <c r="B71" s="173">
        <f t="shared" si="1"/>
        <v>401.95400000000001</v>
      </c>
      <c r="E71" t="s">
        <v>181</v>
      </c>
      <c r="F71">
        <v>3806.06</v>
      </c>
    </row>
    <row r="72" spans="1:6">
      <c r="A72" s="55" t="s">
        <v>145</v>
      </c>
      <c r="B72" s="173">
        <f t="shared" si="1"/>
        <v>1886.4449999999999</v>
      </c>
      <c r="E72" t="s">
        <v>221</v>
      </c>
      <c r="F72">
        <v>72.353999999999999</v>
      </c>
    </row>
    <row r="73" spans="1:6">
      <c r="A73" s="55" t="s">
        <v>115</v>
      </c>
      <c r="B73" s="173">
        <f t="shared" si="1"/>
        <v>13.811999999999999</v>
      </c>
      <c r="E73" t="s">
        <v>182</v>
      </c>
      <c r="F73">
        <v>189.41</v>
      </c>
    </row>
    <row r="74" spans="1:6">
      <c r="A74" s="55" t="s">
        <v>116</v>
      </c>
      <c r="B74" s="173">
        <f t="shared" si="1"/>
        <v>5064.8729999999996</v>
      </c>
      <c r="E74" t="s">
        <v>417</v>
      </c>
      <c r="F74">
        <v>3.052</v>
      </c>
    </row>
    <row r="75" spans="1:6">
      <c r="A75" s="55" t="s">
        <v>290</v>
      </c>
      <c r="B75" s="173">
        <v>4.8899999999999997</v>
      </c>
      <c r="E75" t="s">
        <v>427</v>
      </c>
      <c r="F75">
        <v>1.089</v>
      </c>
    </row>
    <row r="76" spans="1:6">
      <c r="A76" s="55" t="s">
        <v>117</v>
      </c>
      <c r="B76" s="173">
        <f t="shared" si="1"/>
        <v>43.698</v>
      </c>
      <c r="E76" t="s">
        <v>462</v>
      </c>
      <c r="F76">
        <v>6.3109999999999999</v>
      </c>
    </row>
    <row r="77" spans="1:6">
      <c r="A77" s="55" t="s">
        <v>118</v>
      </c>
      <c r="B77" s="173">
        <f t="shared" si="1"/>
        <v>169.83500000000001</v>
      </c>
      <c r="E77" t="s">
        <v>107</v>
      </c>
      <c r="F77">
        <v>77.605000000000004</v>
      </c>
    </row>
    <row r="78" spans="1:6">
      <c r="A78" s="55" t="s">
        <v>184</v>
      </c>
      <c r="B78" s="173">
        <f t="shared" si="1"/>
        <v>98.843000000000004</v>
      </c>
      <c r="E78" t="s">
        <v>317</v>
      </c>
      <c r="F78">
        <v>15.680999999999999</v>
      </c>
    </row>
    <row r="79" spans="1:6">
      <c r="A79" s="55" t="s">
        <v>119</v>
      </c>
      <c r="B79" s="173">
        <v>1630.53</v>
      </c>
      <c r="E79" t="s">
        <v>333</v>
      </c>
      <c r="F79">
        <v>1.4319999999999999</v>
      </c>
    </row>
    <row r="80" spans="1:6">
      <c r="A80" s="55" t="s">
        <v>120</v>
      </c>
      <c r="B80" s="173">
        <f t="shared" si="1"/>
        <v>136.197</v>
      </c>
      <c r="E80" t="s">
        <v>330</v>
      </c>
      <c r="F80">
        <v>5.4710000000000001</v>
      </c>
    </row>
    <row r="81" spans="1:6">
      <c r="A81" t="s">
        <v>353</v>
      </c>
      <c r="B81" s="173">
        <v>7.74</v>
      </c>
      <c r="E81" t="s">
        <v>326</v>
      </c>
      <c r="F81">
        <v>13.417999999999999</v>
      </c>
    </row>
    <row r="82" spans="1:6">
      <c r="A82" s="187" t="s">
        <v>343</v>
      </c>
      <c r="B82" s="173">
        <v>19.14</v>
      </c>
      <c r="E82" t="s">
        <v>108</v>
      </c>
      <c r="F82">
        <v>23.827999999999999</v>
      </c>
    </row>
    <row r="83" spans="1:6">
      <c r="A83" s="55" t="s">
        <v>121</v>
      </c>
      <c r="B83" s="173">
        <f t="shared" si="1"/>
        <v>33.505000000000003</v>
      </c>
      <c r="E83" t="s">
        <v>527</v>
      </c>
      <c r="F83">
        <v>346.58600000000001</v>
      </c>
    </row>
    <row r="84" spans="1:6">
      <c r="A84" s="55" t="s">
        <v>122</v>
      </c>
      <c r="B84" s="173">
        <f t="shared" si="1"/>
        <v>33.383000000000003</v>
      </c>
      <c r="E84" t="s">
        <v>109</v>
      </c>
      <c r="F84">
        <v>155.01300000000001</v>
      </c>
    </row>
    <row r="85" spans="1:6">
      <c r="A85" s="55" t="s">
        <v>223</v>
      </c>
      <c r="B85" s="173">
        <f t="shared" si="1"/>
        <v>6.8390000000000004</v>
      </c>
      <c r="E85" t="s">
        <v>110</v>
      </c>
      <c r="F85">
        <v>21.715</v>
      </c>
    </row>
    <row r="86" spans="1:6">
      <c r="A86" s="55" t="s">
        <v>13</v>
      </c>
      <c r="B86" s="173">
        <f t="shared" si="1"/>
        <v>55.887</v>
      </c>
      <c r="E86" t="s">
        <v>111</v>
      </c>
      <c r="F86">
        <v>2622.9839999999999</v>
      </c>
    </row>
    <row r="87" spans="1:6">
      <c r="A87" s="55" t="s">
        <v>185</v>
      </c>
      <c r="B87" s="173">
        <f t="shared" si="1"/>
        <v>73.263999999999996</v>
      </c>
      <c r="E87" t="s">
        <v>112</v>
      </c>
      <c r="F87">
        <v>1058.424</v>
      </c>
    </row>
    <row r="88" spans="1:6">
      <c r="A88" s="55" t="s">
        <v>32</v>
      </c>
      <c r="B88" s="173">
        <v>55.15</v>
      </c>
      <c r="E88" t="s">
        <v>400</v>
      </c>
      <c r="F88">
        <v>191.71799999999999</v>
      </c>
    </row>
    <row r="89" spans="1:6">
      <c r="A89" s="55" t="s">
        <v>146</v>
      </c>
      <c r="B89" s="173">
        <v>12.27</v>
      </c>
      <c r="E89" t="s">
        <v>331</v>
      </c>
      <c r="F89">
        <v>167.22399999999999</v>
      </c>
    </row>
    <row r="90" spans="1:6">
      <c r="A90" s="55" t="s">
        <v>14</v>
      </c>
      <c r="B90" s="173">
        <f t="shared" si="1"/>
        <v>336.66399999999999</v>
      </c>
      <c r="E90" t="s">
        <v>183</v>
      </c>
      <c r="F90">
        <v>418.62200000000001</v>
      </c>
    </row>
    <row r="91" spans="1:6">
      <c r="A91" s="142" t="s">
        <v>414</v>
      </c>
      <c r="B91" s="173">
        <f t="shared" si="1"/>
        <v>4.03</v>
      </c>
      <c r="E91" t="s">
        <v>113</v>
      </c>
      <c r="F91">
        <v>7.492</v>
      </c>
    </row>
    <row r="92" spans="1:6">
      <c r="A92" s="55" t="s">
        <v>325</v>
      </c>
      <c r="B92" s="173">
        <f t="shared" si="1"/>
        <v>17.393999999999998</v>
      </c>
      <c r="E92" t="s">
        <v>114</v>
      </c>
      <c r="F92">
        <v>401.95400000000001</v>
      </c>
    </row>
    <row r="93" spans="1:6">
      <c r="A93" s="55" t="s">
        <v>186</v>
      </c>
      <c r="B93" s="173">
        <f t="shared" si="1"/>
        <v>14.647</v>
      </c>
      <c r="E93" t="s">
        <v>145</v>
      </c>
      <c r="F93">
        <v>1886.4449999999999</v>
      </c>
    </row>
    <row r="94" spans="1:6">
      <c r="A94" s="55" t="s">
        <v>15</v>
      </c>
      <c r="B94" s="173">
        <f t="shared" si="1"/>
        <v>10.914</v>
      </c>
      <c r="E94" t="s">
        <v>115</v>
      </c>
      <c r="F94">
        <v>13.811999999999999</v>
      </c>
    </row>
    <row r="95" spans="1:6">
      <c r="A95" s="55" t="s">
        <v>16</v>
      </c>
      <c r="B95" s="173">
        <f t="shared" si="1"/>
        <v>1076.163</v>
      </c>
      <c r="E95" t="s">
        <v>116</v>
      </c>
      <c r="F95">
        <v>5064.8729999999996</v>
      </c>
    </row>
    <row r="96" spans="1:6">
      <c r="A96" s="55" t="s">
        <v>17</v>
      </c>
      <c r="B96" s="173">
        <f t="shared" si="1"/>
        <v>11.914</v>
      </c>
      <c r="E96" t="s">
        <v>117</v>
      </c>
      <c r="F96">
        <v>43.698</v>
      </c>
    </row>
    <row r="97" spans="1:6">
      <c r="A97" s="55" t="s">
        <v>63</v>
      </c>
      <c r="B97" s="173">
        <f t="shared" si="1"/>
        <v>13.137</v>
      </c>
      <c r="E97" t="s">
        <v>118</v>
      </c>
      <c r="F97">
        <v>169.83500000000001</v>
      </c>
    </row>
    <row r="98" spans="1:6">
      <c r="A98" s="55" t="s">
        <v>8</v>
      </c>
      <c r="B98" s="173">
        <f t="shared" si="1"/>
        <v>4.7789999999999999</v>
      </c>
      <c r="E98" t="s">
        <v>184</v>
      </c>
      <c r="F98">
        <v>98.843000000000004</v>
      </c>
    </row>
    <row r="99" spans="1:6">
      <c r="A99" s="55" t="s">
        <v>225</v>
      </c>
      <c r="B99" s="173">
        <v>0.25</v>
      </c>
      <c r="E99" t="s">
        <v>439</v>
      </c>
      <c r="F99">
        <v>0.2</v>
      </c>
    </row>
    <row r="100" spans="1:6">
      <c r="A100" s="55" t="s">
        <v>18</v>
      </c>
      <c r="B100" s="173">
        <f t="shared" si="1"/>
        <v>112.871</v>
      </c>
      <c r="E100" t="s">
        <v>579</v>
      </c>
      <c r="F100">
        <v>1630.5250000000001</v>
      </c>
    </row>
    <row r="101" spans="1:6">
      <c r="A101" s="55" t="s">
        <v>226</v>
      </c>
      <c r="B101" s="173">
        <f t="shared" si="1"/>
        <v>14.021000000000001</v>
      </c>
      <c r="E101" t="s">
        <v>411</v>
      </c>
      <c r="F101">
        <v>7.6109999999999998</v>
      </c>
    </row>
    <row r="102" spans="1:6">
      <c r="A102" s="55" t="s">
        <v>136</v>
      </c>
      <c r="B102" s="173">
        <f t="shared" si="1"/>
        <v>10.7</v>
      </c>
      <c r="E102" t="s">
        <v>120</v>
      </c>
      <c r="F102">
        <v>136.197</v>
      </c>
    </row>
    <row r="103" spans="1:6">
      <c r="A103" s="55" t="s">
        <v>187</v>
      </c>
      <c r="B103" s="173">
        <f t="shared" si="1"/>
        <v>912.24199999999996</v>
      </c>
      <c r="E103" t="s">
        <v>354</v>
      </c>
      <c r="F103">
        <v>7.7359999999999998</v>
      </c>
    </row>
    <row r="104" spans="1:6">
      <c r="A104" s="55" t="s">
        <v>21</v>
      </c>
      <c r="B104" s="173">
        <f t="shared" si="1"/>
        <v>212.482</v>
      </c>
      <c r="E104" t="s">
        <v>580</v>
      </c>
      <c r="F104">
        <v>19.135999999999999</v>
      </c>
    </row>
    <row r="105" spans="1:6">
      <c r="A105" s="55" t="s">
        <v>22</v>
      </c>
      <c r="B105" s="173">
        <f t="shared" si="1"/>
        <v>12.621</v>
      </c>
      <c r="E105" t="s">
        <v>121</v>
      </c>
      <c r="F105">
        <v>33.505000000000003</v>
      </c>
    </row>
    <row r="106" spans="1:6">
      <c r="A106" s="55" t="s">
        <v>321</v>
      </c>
      <c r="B106" s="173">
        <f t="shared" si="1"/>
        <v>13.678000000000001</v>
      </c>
      <c r="E106" t="s">
        <v>122</v>
      </c>
      <c r="F106">
        <v>33.383000000000003</v>
      </c>
    </row>
    <row r="107" spans="1:6">
      <c r="A107" s="55" t="s">
        <v>188</v>
      </c>
      <c r="B107" s="173">
        <f t="shared" si="1"/>
        <v>432.29399999999998</v>
      </c>
      <c r="E107" t="s">
        <v>418</v>
      </c>
      <c r="F107">
        <v>1.845</v>
      </c>
    </row>
    <row r="108" spans="1:6">
      <c r="A108" s="55" t="s">
        <v>23</v>
      </c>
      <c r="B108" s="173">
        <f t="shared" si="1"/>
        <v>362.00900000000001</v>
      </c>
      <c r="E108" t="s">
        <v>318</v>
      </c>
      <c r="F108">
        <v>2.95</v>
      </c>
    </row>
    <row r="109" spans="1:6">
      <c r="A109" s="55" t="s">
        <v>24</v>
      </c>
      <c r="B109" s="173">
        <f t="shared" si="1"/>
        <v>76.331999999999994</v>
      </c>
      <c r="E109" t="s">
        <v>322</v>
      </c>
      <c r="F109">
        <v>25.417999999999999</v>
      </c>
    </row>
    <row r="110" spans="1:6">
      <c r="A110" s="55" t="s">
        <v>25</v>
      </c>
      <c r="B110" s="173">
        <f t="shared" si="1"/>
        <v>263.68700000000001</v>
      </c>
      <c r="E110" t="s">
        <v>223</v>
      </c>
      <c r="F110">
        <v>6.8390000000000004</v>
      </c>
    </row>
    <row r="111" spans="1:6">
      <c r="A111" s="55" t="s">
        <v>26</v>
      </c>
      <c r="B111" s="173">
        <f t="shared" si="1"/>
        <v>52.938000000000002</v>
      </c>
      <c r="E111" t="s">
        <v>13</v>
      </c>
      <c r="F111">
        <v>55.887</v>
      </c>
    </row>
    <row r="112" spans="1:6">
      <c r="A112" s="55" t="s">
        <v>9</v>
      </c>
      <c r="B112" s="173">
        <f t="shared" si="1"/>
        <v>23.591999999999999</v>
      </c>
      <c r="E112" t="s">
        <v>185</v>
      </c>
      <c r="F112">
        <v>73.263999999999996</v>
      </c>
    </row>
    <row r="113" spans="1:6">
      <c r="A113" s="55" t="s">
        <v>27</v>
      </c>
      <c r="B113" s="173">
        <f t="shared" si="1"/>
        <v>35.304000000000002</v>
      </c>
      <c r="E113" t="s">
        <v>528</v>
      </c>
      <c r="F113">
        <v>55.154000000000003</v>
      </c>
    </row>
    <row r="114" spans="1:6">
      <c r="A114" s="55" t="s">
        <v>28</v>
      </c>
      <c r="B114" s="173">
        <f t="shared" si="1"/>
        <v>202.01400000000001</v>
      </c>
      <c r="E114" t="s">
        <v>336</v>
      </c>
      <c r="F114">
        <v>13.721</v>
      </c>
    </row>
    <row r="115" spans="1:6">
      <c r="A115" s="55" t="s">
        <v>29</v>
      </c>
      <c r="B115" s="173">
        <f t="shared" si="1"/>
        <v>361.48899999999998</v>
      </c>
      <c r="E115" t="s">
        <v>327</v>
      </c>
      <c r="F115">
        <v>11.962</v>
      </c>
    </row>
    <row r="116" spans="1:6">
      <c r="A116" s="55" t="s">
        <v>30</v>
      </c>
      <c r="B116" s="173">
        <f t="shared" si="1"/>
        <v>594.16499999999996</v>
      </c>
      <c r="E116" t="s">
        <v>14</v>
      </c>
      <c r="F116">
        <v>336.66399999999999</v>
      </c>
    </row>
    <row r="117" spans="1:6">
      <c r="A117" s="55" t="s">
        <v>189</v>
      </c>
      <c r="B117" s="173">
        <f t="shared" si="1"/>
        <v>231.256</v>
      </c>
      <c r="E117" t="s">
        <v>414</v>
      </c>
      <c r="F117">
        <v>4.03</v>
      </c>
    </row>
    <row r="118" spans="1:6">
      <c r="A118" s="55" t="s">
        <v>74</v>
      </c>
      <c r="B118" s="173">
        <f t="shared" si="1"/>
        <v>146.374</v>
      </c>
      <c r="E118" t="s">
        <v>325</v>
      </c>
      <c r="F118">
        <v>17.393999999999998</v>
      </c>
    </row>
    <row r="119" spans="1:6">
      <c r="A119" s="55" t="s">
        <v>291</v>
      </c>
      <c r="B119" s="173">
        <v>3.52</v>
      </c>
      <c r="E119" t="s">
        <v>186</v>
      </c>
      <c r="F119">
        <v>14.647</v>
      </c>
    </row>
    <row r="120" spans="1:6">
      <c r="A120" s="55" t="s">
        <v>0</v>
      </c>
      <c r="B120" s="173">
        <f t="shared" si="1"/>
        <v>248.71600000000001</v>
      </c>
      <c r="E120" t="s">
        <v>438</v>
      </c>
      <c r="F120">
        <v>0.23899999999999999</v>
      </c>
    </row>
    <row r="121" spans="1:6">
      <c r="A121" s="55" t="s">
        <v>1</v>
      </c>
      <c r="B121" s="173">
        <v>1483.5</v>
      </c>
      <c r="E121" t="s">
        <v>412</v>
      </c>
      <c r="F121">
        <v>7.7789999999999999</v>
      </c>
    </row>
    <row r="122" spans="1:6">
      <c r="A122" s="55" t="s">
        <v>227</v>
      </c>
      <c r="B122" s="173">
        <f t="shared" si="1"/>
        <v>10.334</v>
      </c>
      <c r="E122" t="s">
        <v>15</v>
      </c>
      <c r="F122">
        <v>10.914</v>
      </c>
    </row>
    <row r="123" spans="1:6">
      <c r="A123" s="55" t="s">
        <v>2</v>
      </c>
      <c r="B123" s="173">
        <f t="shared" si="1"/>
        <v>700.11800000000005</v>
      </c>
      <c r="E123" t="s">
        <v>16</v>
      </c>
      <c r="F123">
        <v>1076.163</v>
      </c>
    </row>
    <row r="124" spans="1:6">
      <c r="A124" s="55" t="s">
        <v>135</v>
      </c>
      <c r="B124" s="173">
        <f t="shared" si="1"/>
        <v>24.911000000000001</v>
      </c>
      <c r="E124" t="s">
        <v>436</v>
      </c>
      <c r="F124">
        <v>0.40799999999999997</v>
      </c>
    </row>
    <row r="125" spans="1:6">
      <c r="A125" s="55" t="s">
        <v>147</v>
      </c>
      <c r="B125" s="173">
        <f t="shared" si="1"/>
        <v>52.96</v>
      </c>
      <c r="E125" t="s">
        <v>17</v>
      </c>
      <c r="F125">
        <v>11.914</v>
      </c>
    </row>
    <row r="126" spans="1:6">
      <c r="A126" s="55" t="s">
        <v>285</v>
      </c>
      <c r="B126" s="173">
        <v>24.8</v>
      </c>
      <c r="E126" t="s">
        <v>463</v>
      </c>
      <c r="F126">
        <v>7.4240000000000004</v>
      </c>
    </row>
    <row r="127" spans="1:6">
      <c r="A127" s="55" t="s">
        <v>3</v>
      </c>
      <c r="B127" s="173">
        <f t="shared" si="1"/>
        <v>339.99799999999999</v>
      </c>
      <c r="E127" t="s">
        <v>63</v>
      </c>
      <c r="F127">
        <v>13.137</v>
      </c>
    </row>
    <row r="128" spans="1:6">
      <c r="A128" s="55" t="s">
        <v>61</v>
      </c>
      <c r="B128" s="173">
        <v>104.57</v>
      </c>
      <c r="E128" t="s">
        <v>8</v>
      </c>
      <c r="F128">
        <v>4.7789999999999999</v>
      </c>
    </row>
    <row r="129" spans="1:6">
      <c r="A129" s="174" t="s">
        <v>190</v>
      </c>
      <c r="B129" s="173">
        <f t="shared" si="1"/>
        <v>52.88</v>
      </c>
      <c r="E129" t="s">
        <v>18</v>
      </c>
      <c r="F129">
        <v>112.871</v>
      </c>
    </row>
    <row r="130" spans="1:6">
      <c r="A130" s="142" t="s">
        <v>426</v>
      </c>
      <c r="B130" s="173">
        <f t="shared" ref="B130:B158" si="2">VLOOKUP(A130,$E$2:$F$215,2,FALSE)</f>
        <v>1.5509999999999999</v>
      </c>
      <c r="E130" t="s">
        <v>226</v>
      </c>
      <c r="F130">
        <v>14.021000000000001</v>
      </c>
    </row>
    <row r="131" spans="1:6">
      <c r="A131" s="55" t="s">
        <v>76</v>
      </c>
      <c r="B131" s="173">
        <f t="shared" si="2"/>
        <v>301.92399999999998</v>
      </c>
      <c r="E131" t="s">
        <v>335</v>
      </c>
      <c r="F131">
        <v>76.186000000000007</v>
      </c>
    </row>
    <row r="132" spans="1:6">
      <c r="A132" s="55" t="s">
        <v>138</v>
      </c>
      <c r="B132" s="173">
        <f t="shared" si="2"/>
        <v>1281.1990000000001</v>
      </c>
      <c r="E132" t="s">
        <v>136</v>
      </c>
      <c r="F132">
        <v>10.7</v>
      </c>
    </row>
    <row r="133" spans="1:6">
      <c r="A133" s="55" t="s">
        <v>134</v>
      </c>
      <c r="B133" s="173">
        <f t="shared" si="2"/>
        <v>80.706999999999994</v>
      </c>
      <c r="E133" t="s">
        <v>581</v>
      </c>
      <c r="F133">
        <v>0.11799999999999999</v>
      </c>
    </row>
    <row r="134" spans="1:6">
      <c r="A134" s="55" t="s">
        <v>191</v>
      </c>
      <c r="B134" s="173">
        <v>1.19</v>
      </c>
      <c r="E134" t="s">
        <v>404</v>
      </c>
      <c r="F134">
        <v>33.656999999999996</v>
      </c>
    </row>
    <row r="135" spans="1:6">
      <c r="A135" s="55" t="s">
        <v>10</v>
      </c>
      <c r="B135" s="173">
        <v>0.81</v>
      </c>
      <c r="E135" t="s">
        <v>187</v>
      </c>
      <c r="F135">
        <v>912.24199999999996</v>
      </c>
    </row>
    <row r="136" spans="1:6">
      <c r="A136" s="55" t="s">
        <v>33</v>
      </c>
      <c r="B136" s="173">
        <f t="shared" si="2"/>
        <v>3.8079999999999998</v>
      </c>
      <c r="E136" t="s">
        <v>21</v>
      </c>
      <c r="F136">
        <v>212.482</v>
      </c>
    </row>
    <row r="137" spans="1:6">
      <c r="A137" s="55" t="s">
        <v>413</v>
      </c>
      <c r="B137" s="173">
        <v>3.96</v>
      </c>
      <c r="E137" t="s">
        <v>22</v>
      </c>
      <c r="F137">
        <v>12.621</v>
      </c>
    </row>
    <row r="138" spans="1:6">
      <c r="A138" s="55" t="s">
        <v>34</v>
      </c>
      <c r="B138" s="173">
        <f t="shared" si="2"/>
        <v>537.61</v>
      </c>
      <c r="E138" t="s">
        <v>321</v>
      </c>
      <c r="F138">
        <v>13.678000000000001</v>
      </c>
    </row>
    <row r="139" spans="1:6">
      <c r="A139" s="55" t="s">
        <v>35</v>
      </c>
      <c r="B139" s="173">
        <f t="shared" si="2"/>
        <v>747.96900000000005</v>
      </c>
      <c r="E139" t="s">
        <v>188</v>
      </c>
      <c r="F139">
        <v>432.29399999999998</v>
      </c>
    </row>
    <row r="140" spans="1:6">
      <c r="A140" s="55" t="s">
        <v>64</v>
      </c>
      <c r="B140" s="173">
        <v>689</v>
      </c>
      <c r="E140" t="s">
        <v>494</v>
      </c>
      <c r="F140">
        <v>12.266999999999999</v>
      </c>
    </row>
    <row r="141" spans="1:6">
      <c r="A141" s="55" t="s">
        <v>410</v>
      </c>
      <c r="B141" s="173">
        <f t="shared" si="2"/>
        <v>8.1940000000000008</v>
      </c>
      <c r="E141" t="s">
        <v>464</v>
      </c>
      <c r="F141">
        <v>1.1819999999999999</v>
      </c>
    </row>
    <row r="142" spans="1:6">
      <c r="A142" s="142" t="s">
        <v>332</v>
      </c>
      <c r="B142" s="173">
        <f t="shared" si="2"/>
        <v>62.41</v>
      </c>
      <c r="E142" t="s">
        <v>23</v>
      </c>
      <c r="F142">
        <v>362.00900000000001</v>
      </c>
    </row>
    <row r="143" spans="1:6">
      <c r="A143" s="55" t="s">
        <v>65</v>
      </c>
      <c r="B143" s="173">
        <f t="shared" si="2"/>
        <v>501.79500000000002</v>
      </c>
      <c r="E143" t="s">
        <v>24</v>
      </c>
      <c r="F143">
        <v>76.331999999999994</v>
      </c>
    </row>
    <row r="144" spans="1:6">
      <c r="A144" s="55" t="s">
        <v>324</v>
      </c>
      <c r="B144" s="173">
        <f t="shared" si="2"/>
        <v>7.5750000000000002</v>
      </c>
      <c r="E144" t="s">
        <v>25</v>
      </c>
      <c r="F144">
        <v>263.68700000000001</v>
      </c>
    </row>
    <row r="145" spans="1:6">
      <c r="A145" s="55" t="s">
        <v>11</v>
      </c>
      <c r="B145" s="173">
        <f t="shared" si="2"/>
        <v>21.53</v>
      </c>
      <c r="E145" t="s">
        <v>437</v>
      </c>
      <c r="F145">
        <v>0.26800000000000002</v>
      </c>
    </row>
    <row r="146" spans="1:6">
      <c r="A146" s="55" t="s">
        <v>77</v>
      </c>
      <c r="B146" s="173">
        <f t="shared" si="2"/>
        <v>39.235999999999997</v>
      </c>
      <c r="E146" t="s">
        <v>26</v>
      </c>
      <c r="F146">
        <v>52.938000000000002</v>
      </c>
    </row>
    <row r="147" spans="1:6">
      <c r="A147" s="55" t="s">
        <v>66</v>
      </c>
      <c r="B147" s="173">
        <f t="shared" si="2"/>
        <v>720.101</v>
      </c>
      <c r="E147" t="s">
        <v>9</v>
      </c>
      <c r="F147">
        <v>23.591999999999999</v>
      </c>
    </row>
    <row r="148" spans="1:6">
      <c r="A148" s="55" t="s">
        <v>292</v>
      </c>
      <c r="B148" s="173">
        <f t="shared" si="2"/>
        <v>0.92500000000000004</v>
      </c>
      <c r="E148" t="s">
        <v>27</v>
      </c>
      <c r="F148">
        <v>35.304000000000002</v>
      </c>
    </row>
    <row r="149" spans="1:6">
      <c r="A149" s="55" t="s">
        <v>228</v>
      </c>
      <c r="B149" s="173">
        <f t="shared" si="2"/>
        <v>37.372</v>
      </c>
      <c r="E149" t="s">
        <v>28</v>
      </c>
      <c r="F149">
        <v>202.01400000000001</v>
      </c>
    </row>
    <row r="150" spans="1:6">
      <c r="A150" s="55" t="s">
        <v>68</v>
      </c>
      <c r="B150" s="173">
        <f t="shared" si="2"/>
        <v>155.58199999999999</v>
      </c>
      <c r="E150" t="s">
        <v>29</v>
      </c>
      <c r="F150">
        <v>361.48899999999998</v>
      </c>
    </row>
    <row r="151" spans="1:6">
      <c r="A151" s="55" t="s">
        <v>60</v>
      </c>
      <c r="B151" s="173">
        <f t="shared" si="2"/>
        <v>421.142</v>
      </c>
      <c r="E151" t="s">
        <v>30</v>
      </c>
      <c r="F151">
        <v>594.16499999999996</v>
      </c>
    </row>
    <row r="152" spans="1:6">
      <c r="A152" s="55" t="s">
        <v>57</v>
      </c>
      <c r="B152" s="173">
        <f t="shared" si="2"/>
        <v>2707.7440000000001</v>
      </c>
      <c r="E152" t="s">
        <v>189</v>
      </c>
      <c r="F152">
        <v>231.256</v>
      </c>
    </row>
    <row r="153" spans="1:6">
      <c r="A153" s="55" t="s">
        <v>12</v>
      </c>
      <c r="B153" s="173">
        <v>20936.599999999999</v>
      </c>
      <c r="E153" t="s">
        <v>401</v>
      </c>
      <c r="F153">
        <v>103.13800000000001</v>
      </c>
    </row>
    <row r="154" spans="1:6">
      <c r="A154" s="55" t="s">
        <v>69</v>
      </c>
      <c r="B154" s="173">
        <f t="shared" si="2"/>
        <v>53.628999999999998</v>
      </c>
      <c r="E154" t="s">
        <v>74</v>
      </c>
      <c r="F154">
        <v>146.374</v>
      </c>
    </row>
    <row r="155" spans="1:6">
      <c r="A155" s="157" t="s">
        <v>402</v>
      </c>
      <c r="B155" s="173">
        <f t="shared" si="2"/>
        <v>57.707000000000001</v>
      </c>
      <c r="E155" t="s">
        <v>0</v>
      </c>
      <c r="F155">
        <v>248.71600000000001</v>
      </c>
    </row>
    <row r="156" spans="1:6">
      <c r="A156" s="55" t="s">
        <v>70</v>
      </c>
      <c r="B156" s="173">
        <v>98.4</v>
      </c>
      <c r="E156" t="s">
        <v>582</v>
      </c>
      <c r="F156">
        <v>1483.498</v>
      </c>
    </row>
    <row r="157" spans="1:6">
      <c r="A157" s="55" t="s">
        <v>71</v>
      </c>
      <c r="B157" s="173">
        <f t="shared" si="2"/>
        <v>271.15800000000002</v>
      </c>
      <c r="E157" t="s">
        <v>227</v>
      </c>
      <c r="F157">
        <v>10.334</v>
      </c>
    </row>
    <row r="158" spans="1:6">
      <c r="A158" s="55" t="s">
        <v>192</v>
      </c>
      <c r="B158" s="173">
        <f t="shared" si="2"/>
        <v>19.32</v>
      </c>
      <c r="E158" t="s">
        <v>430</v>
      </c>
      <c r="F158">
        <v>0.80700000000000005</v>
      </c>
    </row>
    <row r="159" spans="1:6">
      <c r="E159" t="s">
        <v>465</v>
      </c>
      <c r="F159">
        <v>1.6160000000000001</v>
      </c>
    </row>
    <row r="160" spans="1:6">
      <c r="E160" t="s">
        <v>583</v>
      </c>
      <c r="F160">
        <v>0.47299999999999998</v>
      </c>
    </row>
    <row r="161" spans="5:6">
      <c r="E161" t="s">
        <v>2</v>
      </c>
      <c r="F161">
        <v>700.11800000000005</v>
      </c>
    </row>
    <row r="162" spans="5:6">
      <c r="E162" t="s">
        <v>135</v>
      </c>
      <c r="F162">
        <v>24.911000000000001</v>
      </c>
    </row>
    <row r="163" spans="5:6">
      <c r="E163" t="s">
        <v>147</v>
      </c>
      <c r="F163">
        <v>52.96</v>
      </c>
    </row>
    <row r="164" spans="5:6">
      <c r="E164" t="s">
        <v>423</v>
      </c>
      <c r="F164">
        <v>1.125</v>
      </c>
    </row>
    <row r="165" spans="5:6">
      <c r="E165" t="s">
        <v>329</v>
      </c>
      <c r="F165">
        <v>3.8650000000000002</v>
      </c>
    </row>
    <row r="166" spans="5:6">
      <c r="E166" t="s">
        <v>3</v>
      </c>
      <c r="F166">
        <v>339.99799999999999</v>
      </c>
    </row>
    <row r="167" spans="5:6">
      <c r="E167" t="s">
        <v>447</v>
      </c>
      <c r="F167">
        <v>1.1850000000000001</v>
      </c>
    </row>
    <row r="168" spans="5:6">
      <c r="E168" t="s">
        <v>584</v>
      </c>
      <c r="F168">
        <v>104.574</v>
      </c>
    </row>
    <row r="169" spans="5:6">
      <c r="E169" t="s">
        <v>190</v>
      </c>
      <c r="F169">
        <v>52.88</v>
      </c>
    </row>
    <row r="170" spans="5:6">
      <c r="E170" t="s">
        <v>426</v>
      </c>
      <c r="F170">
        <v>1.5509999999999999</v>
      </c>
    </row>
    <row r="171" spans="5:6">
      <c r="E171" t="s">
        <v>315</v>
      </c>
      <c r="F171">
        <v>4.9180000000000001</v>
      </c>
    </row>
    <row r="172" spans="5:6">
      <c r="E172" t="s">
        <v>76</v>
      </c>
      <c r="F172">
        <v>301.92399999999998</v>
      </c>
    </row>
    <row r="173" spans="5:6">
      <c r="E173" t="s">
        <v>138</v>
      </c>
      <c r="F173">
        <v>1281.1990000000001</v>
      </c>
    </row>
    <row r="174" spans="5:6">
      <c r="E174" t="s">
        <v>134</v>
      </c>
      <c r="F174">
        <v>80.706999999999994</v>
      </c>
    </row>
    <row r="175" spans="5:6">
      <c r="E175" t="s">
        <v>429</v>
      </c>
      <c r="F175">
        <v>0.92700000000000005</v>
      </c>
    </row>
    <row r="176" spans="5:6">
      <c r="E176" t="s">
        <v>424</v>
      </c>
      <c r="F176">
        <v>1.7030000000000001</v>
      </c>
    </row>
    <row r="177" spans="5:6">
      <c r="E177" t="s">
        <v>432</v>
      </c>
      <c r="F177">
        <v>0.81</v>
      </c>
    </row>
    <row r="178" spans="5:6">
      <c r="E178" t="s">
        <v>319</v>
      </c>
      <c r="F178">
        <v>26.111000000000001</v>
      </c>
    </row>
    <row r="179" spans="5:6">
      <c r="E179" t="s">
        <v>33</v>
      </c>
      <c r="F179">
        <v>3.8079999999999998</v>
      </c>
    </row>
    <row r="180" spans="5:6">
      <c r="E180" t="s">
        <v>34</v>
      </c>
      <c r="F180">
        <v>537.61</v>
      </c>
    </row>
    <row r="181" spans="5:6">
      <c r="E181" t="s">
        <v>35</v>
      </c>
      <c r="F181">
        <v>747.96900000000005</v>
      </c>
    </row>
    <row r="182" spans="5:6">
      <c r="E182" t="s">
        <v>410</v>
      </c>
      <c r="F182">
        <v>8.1940000000000008</v>
      </c>
    </row>
    <row r="183" spans="5:6">
      <c r="E183" t="s">
        <v>332</v>
      </c>
      <c r="F183">
        <v>62.41</v>
      </c>
    </row>
    <row r="184" spans="5:6">
      <c r="E184" t="s">
        <v>65</v>
      </c>
      <c r="F184">
        <v>501.79500000000002</v>
      </c>
    </row>
    <row r="185" spans="5:6">
      <c r="E185" t="s">
        <v>422</v>
      </c>
      <c r="F185">
        <v>1.821</v>
      </c>
    </row>
    <row r="186" spans="5:6">
      <c r="E186" t="s">
        <v>324</v>
      </c>
      <c r="F186">
        <v>7.5750000000000002</v>
      </c>
    </row>
    <row r="187" spans="5:6">
      <c r="E187" t="s">
        <v>435</v>
      </c>
      <c r="F187">
        <v>0.51200000000000001</v>
      </c>
    </row>
    <row r="188" spans="5:6">
      <c r="E188" t="s">
        <v>11</v>
      </c>
      <c r="F188">
        <v>21.53</v>
      </c>
    </row>
    <row r="189" spans="5:6">
      <c r="E189" t="s">
        <v>77</v>
      </c>
      <c r="F189">
        <v>39.235999999999997</v>
      </c>
    </row>
    <row r="190" spans="5:6">
      <c r="E190" t="s">
        <v>66</v>
      </c>
      <c r="F190">
        <v>720.101</v>
      </c>
    </row>
    <row r="191" spans="5:6">
      <c r="E191" t="s">
        <v>67</v>
      </c>
      <c r="F191">
        <v>45.231000000000002</v>
      </c>
    </row>
    <row r="192" spans="5:6">
      <c r="E192" t="s">
        <v>292</v>
      </c>
      <c r="F192">
        <v>0.92500000000000004</v>
      </c>
    </row>
    <row r="193" spans="5:6">
      <c r="E193" t="s">
        <v>440</v>
      </c>
      <c r="F193">
        <v>4.9000000000000002E-2</v>
      </c>
    </row>
    <row r="194" spans="5:6">
      <c r="E194" t="s">
        <v>228</v>
      </c>
      <c r="F194">
        <v>37.372</v>
      </c>
    </row>
    <row r="195" spans="5:6">
      <c r="E195" t="s">
        <v>68</v>
      </c>
      <c r="F195">
        <v>155.58199999999999</v>
      </c>
    </row>
    <row r="196" spans="5:6">
      <c r="E196" t="s">
        <v>60</v>
      </c>
      <c r="F196">
        <v>421.142</v>
      </c>
    </row>
    <row r="197" spans="5:6">
      <c r="E197" t="s">
        <v>57</v>
      </c>
      <c r="F197">
        <v>2707.7440000000001</v>
      </c>
    </row>
    <row r="198" spans="5:6">
      <c r="E198" t="s">
        <v>356</v>
      </c>
      <c r="F198">
        <v>20936.599999999999</v>
      </c>
    </row>
    <row r="199" spans="5:6">
      <c r="E199" t="s">
        <v>69</v>
      </c>
      <c r="F199">
        <v>53.628999999999998</v>
      </c>
    </row>
    <row r="200" spans="5:6">
      <c r="E200" t="s">
        <v>402</v>
      </c>
      <c r="F200">
        <v>57.707000000000001</v>
      </c>
    </row>
    <row r="201" spans="5:6">
      <c r="E201" t="s">
        <v>431</v>
      </c>
      <c r="F201">
        <v>0.85499999999999998</v>
      </c>
    </row>
    <row r="202" spans="5:6">
      <c r="E202" t="s">
        <v>71</v>
      </c>
      <c r="F202">
        <v>271.15800000000002</v>
      </c>
    </row>
    <row r="203" spans="5:6">
      <c r="E203" t="s">
        <v>467</v>
      </c>
      <c r="F203">
        <v>3.984</v>
      </c>
    </row>
    <row r="204" spans="5:6">
      <c r="E204" t="s">
        <v>407</v>
      </c>
      <c r="F204">
        <v>15.561</v>
      </c>
    </row>
    <row r="205" spans="5:6">
      <c r="E205" t="s">
        <v>403</v>
      </c>
      <c r="F205">
        <v>23.486000000000001</v>
      </c>
    </row>
    <row r="206" spans="5:6">
      <c r="E206" t="s">
        <v>192</v>
      </c>
      <c r="F206">
        <v>19.32</v>
      </c>
    </row>
    <row r="207" spans="5:6">
      <c r="E207" t="s">
        <v>320</v>
      </c>
      <c r="F207">
        <v>16.768999999999998</v>
      </c>
    </row>
    <row r="208" spans="5:6">
      <c r="E208" s="207" t="s">
        <v>431</v>
      </c>
      <c r="F208" s="208">
        <v>0.9</v>
      </c>
    </row>
    <row r="209" spans="5:6">
      <c r="E209" s="207" t="s">
        <v>466</v>
      </c>
      <c r="F209" s="208" t="s">
        <v>519</v>
      </c>
    </row>
    <row r="210" spans="5:6">
      <c r="E210" s="207" t="s">
        <v>71</v>
      </c>
      <c r="F210" s="208">
        <v>261.89999999999998</v>
      </c>
    </row>
    <row r="211" spans="5:6">
      <c r="E211" s="207" t="s">
        <v>467</v>
      </c>
      <c r="F211" s="209">
        <v>3.9</v>
      </c>
    </row>
    <row r="212" spans="5:6">
      <c r="E212" s="207" t="s">
        <v>407</v>
      </c>
      <c r="F212" s="209">
        <v>14.6</v>
      </c>
    </row>
    <row r="213" spans="5:6">
      <c r="E213" s="207" t="s">
        <v>403</v>
      </c>
      <c r="F213" s="209">
        <v>27.6</v>
      </c>
    </row>
    <row r="214" spans="5:6">
      <c r="E214" s="207" t="s">
        <v>192</v>
      </c>
      <c r="F214" s="208">
        <v>23.1</v>
      </c>
    </row>
    <row r="215" spans="5:6">
      <c r="E215" s="207" t="s">
        <v>320</v>
      </c>
      <c r="F215" s="208">
        <v>21.4</v>
      </c>
    </row>
  </sheetData>
  <sortState xmlns:xlrd2="http://schemas.microsoft.com/office/spreadsheetml/2017/richdata2" ref="E2:F266">
    <sortCondition ref="E2:E266"/>
  </sortState>
  <hyperlinks>
    <hyperlink ref="D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58"/>
  <sheetViews>
    <sheetView topLeftCell="A54" workbookViewId="0">
      <selection activeCell="F62" sqref="F62"/>
    </sheetView>
  </sheetViews>
  <sheetFormatPr baseColWidth="10" defaultRowHeight="13"/>
  <cols>
    <col min="1" max="1" width="27" bestFit="1" customWidth="1"/>
    <col min="2" max="2" width="16" style="30" customWidth="1"/>
    <col min="3" max="3" width="16" style="30" bestFit="1" customWidth="1"/>
    <col min="5" max="5" width="28" bestFit="1" customWidth="1"/>
    <col min="6" max="7" width="10.83203125" style="30"/>
    <col min="9" max="9" width="20.83203125" bestFit="1" customWidth="1"/>
    <col min="10" max="10" width="19.1640625" bestFit="1" customWidth="1"/>
    <col min="17" max="17" width="18.1640625" customWidth="1"/>
  </cols>
  <sheetData>
    <row r="1" spans="1:18" ht="48" customHeight="1">
      <c r="A1" s="73" t="s">
        <v>75</v>
      </c>
      <c r="B1" s="74" t="s">
        <v>270</v>
      </c>
      <c r="C1" s="75" t="s">
        <v>293</v>
      </c>
      <c r="E1" s="17" t="s">
        <v>75</v>
      </c>
      <c r="F1" s="155" t="s">
        <v>234</v>
      </c>
      <c r="G1" s="155" t="s">
        <v>233</v>
      </c>
      <c r="M1" s="216"/>
      <c r="N1" s="241" t="s">
        <v>521</v>
      </c>
      <c r="O1" s="241" t="s">
        <v>522</v>
      </c>
      <c r="Q1" s="221"/>
      <c r="R1" s="221" t="s">
        <v>233</v>
      </c>
    </row>
    <row r="2" spans="1:18" ht="18">
      <c r="A2" s="51" t="s">
        <v>272</v>
      </c>
      <c r="B2" s="76" t="str">
        <f>G2</f>
        <v>NA</v>
      </c>
      <c r="C2" s="75" t="str">
        <f>F2</f>
        <v>Aa2</v>
      </c>
      <c r="E2" s="159" t="s">
        <v>272</v>
      </c>
      <c r="F2" s="189" t="str">
        <f>VLOOKUP(E2,$M$2:$O$152,2,FALSE)</f>
        <v>Aa2</v>
      </c>
      <c r="G2" s="189" t="s">
        <v>143</v>
      </c>
      <c r="M2" s="113" t="s">
        <v>272</v>
      </c>
      <c r="N2" s="217" t="s">
        <v>45</v>
      </c>
      <c r="O2" s="217" t="s">
        <v>45</v>
      </c>
      <c r="Q2" s="112" t="s">
        <v>4</v>
      </c>
      <c r="R2" s="242" t="s">
        <v>196</v>
      </c>
    </row>
    <row r="3" spans="1:18" ht="18">
      <c r="A3" s="51" t="s">
        <v>4</v>
      </c>
      <c r="B3" s="205" t="str">
        <f t="shared" ref="B3:B66" si="0">G3</f>
        <v>B+</v>
      </c>
      <c r="C3" s="206" t="str">
        <f t="shared" ref="C3:C66" si="1">F3</f>
        <v>B1</v>
      </c>
      <c r="E3" s="159" t="s">
        <v>4</v>
      </c>
      <c r="F3" s="189" t="str">
        <f t="shared" ref="F3:F66" si="2">VLOOKUP(E3,$M$2:$O$152,2,FALSE)</f>
        <v>B1</v>
      </c>
      <c r="G3" s="189" t="str">
        <f t="shared" ref="G3:G66" si="3">VLOOKUP(E3,$Q$2:$R$155,2,FALSE)</f>
        <v>B+</v>
      </c>
      <c r="M3" s="113" t="s">
        <v>4</v>
      </c>
      <c r="N3" s="217" t="s">
        <v>48</v>
      </c>
      <c r="O3" s="217" t="s">
        <v>48</v>
      </c>
      <c r="Q3" s="112" t="s">
        <v>197</v>
      </c>
      <c r="R3" s="242" t="s">
        <v>206</v>
      </c>
    </row>
    <row r="4" spans="1:18" ht="18">
      <c r="A4" s="51" t="s">
        <v>286</v>
      </c>
      <c r="B4" s="205" t="str">
        <f t="shared" si="0"/>
        <v>BBB</v>
      </c>
      <c r="C4" s="206" t="str">
        <f t="shared" si="1"/>
        <v>NA</v>
      </c>
      <c r="E4" s="203" t="s">
        <v>197</v>
      </c>
      <c r="F4" s="189" t="s">
        <v>143</v>
      </c>
      <c r="G4" s="189" t="str">
        <f t="shared" si="3"/>
        <v>BBB</v>
      </c>
      <c r="M4" s="113" t="s">
        <v>131</v>
      </c>
      <c r="N4" s="217" t="s">
        <v>78</v>
      </c>
      <c r="O4" s="217" t="s">
        <v>78</v>
      </c>
      <c r="Q4" s="112" t="s">
        <v>131</v>
      </c>
      <c r="R4" s="243" t="s">
        <v>218</v>
      </c>
    </row>
    <row r="5" spans="1:18" ht="18">
      <c r="A5" s="51" t="s">
        <v>131</v>
      </c>
      <c r="B5" s="205" t="str">
        <f t="shared" si="0"/>
        <v>CCC+</v>
      </c>
      <c r="C5" s="206" t="str">
        <f t="shared" si="1"/>
        <v>B3</v>
      </c>
      <c r="E5" s="159" t="s">
        <v>131</v>
      </c>
      <c r="F5" s="189" t="str">
        <f t="shared" si="2"/>
        <v>B3</v>
      </c>
      <c r="G5" s="189" t="str">
        <f t="shared" si="3"/>
        <v>CCC+</v>
      </c>
      <c r="M5" s="218" t="s">
        <v>84</v>
      </c>
      <c r="N5" s="219" t="s">
        <v>346</v>
      </c>
      <c r="O5" s="219" t="s">
        <v>346</v>
      </c>
      <c r="Q5" s="112" t="s">
        <v>84</v>
      </c>
      <c r="R5" s="243" t="s">
        <v>218</v>
      </c>
    </row>
    <row r="6" spans="1:18" ht="18">
      <c r="A6" s="51" t="s">
        <v>84</v>
      </c>
      <c r="B6" s="205" t="str">
        <f t="shared" si="0"/>
        <v>CCC+</v>
      </c>
      <c r="C6" s="206" t="str">
        <f t="shared" si="1"/>
        <v>Ca</v>
      </c>
      <c r="E6" s="190" t="s">
        <v>84</v>
      </c>
      <c r="F6" s="189" t="str">
        <f t="shared" si="2"/>
        <v>Ca</v>
      </c>
      <c r="G6" s="189" t="str">
        <f t="shared" si="3"/>
        <v>CCC+</v>
      </c>
      <c r="M6" s="113" t="s">
        <v>19</v>
      </c>
      <c r="N6" s="217" t="s">
        <v>81</v>
      </c>
      <c r="O6" s="217" t="s">
        <v>81</v>
      </c>
      <c r="Q6" s="112" t="s">
        <v>19</v>
      </c>
      <c r="R6" s="242" t="s">
        <v>531</v>
      </c>
    </row>
    <row r="7" spans="1:18" ht="18">
      <c r="A7" s="51" t="s">
        <v>19</v>
      </c>
      <c r="B7" s="205" t="str">
        <f t="shared" si="0"/>
        <v>NA</v>
      </c>
      <c r="C7" s="206" t="str">
        <f t="shared" si="1"/>
        <v>Ba3</v>
      </c>
      <c r="E7" s="159" t="s">
        <v>19</v>
      </c>
      <c r="F7" s="189" t="str">
        <f t="shared" si="2"/>
        <v>Ba3</v>
      </c>
      <c r="G7" s="189" t="s">
        <v>143</v>
      </c>
      <c r="M7" s="113" t="s">
        <v>85</v>
      </c>
      <c r="N7" s="217" t="s">
        <v>47</v>
      </c>
      <c r="O7" s="217" t="s">
        <v>47</v>
      </c>
      <c r="Q7" s="112" t="s">
        <v>201</v>
      </c>
      <c r="R7" s="242" t="s">
        <v>206</v>
      </c>
    </row>
    <row r="8" spans="1:18" ht="18">
      <c r="A8" s="51" t="s">
        <v>201</v>
      </c>
      <c r="B8" s="205" t="str">
        <f t="shared" si="0"/>
        <v>BBB</v>
      </c>
      <c r="C8" s="206" t="str">
        <f t="shared" si="1"/>
        <v>NA</v>
      </c>
      <c r="E8" s="203" t="s">
        <v>201</v>
      </c>
      <c r="F8" s="189" t="s">
        <v>143</v>
      </c>
      <c r="G8" s="189" t="str">
        <f t="shared" si="3"/>
        <v>BBB</v>
      </c>
      <c r="M8" s="220" t="s">
        <v>176</v>
      </c>
      <c r="N8" s="217" t="s">
        <v>44</v>
      </c>
      <c r="O8" s="217" t="s">
        <v>44</v>
      </c>
      <c r="Q8" s="112" t="s">
        <v>85</v>
      </c>
      <c r="R8" s="244" t="s">
        <v>203</v>
      </c>
    </row>
    <row r="9" spans="1:18" ht="18">
      <c r="A9" s="51" t="s">
        <v>85</v>
      </c>
      <c r="B9" s="205" t="str">
        <f t="shared" si="0"/>
        <v>AAA</v>
      </c>
      <c r="C9" s="206" t="str">
        <f t="shared" si="1"/>
        <v>Aaa</v>
      </c>
      <c r="E9" s="159" t="s">
        <v>85</v>
      </c>
      <c r="F9" s="189" t="str">
        <f t="shared" si="2"/>
        <v>Aaa</v>
      </c>
      <c r="G9" s="189" t="str">
        <f t="shared" si="3"/>
        <v>AAA</v>
      </c>
      <c r="M9" s="113" t="s">
        <v>20</v>
      </c>
      <c r="N9" s="217" t="s">
        <v>80</v>
      </c>
      <c r="O9" s="217" t="s">
        <v>80</v>
      </c>
      <c r="Q9" s="112" t="s">
        <v>176</v>
      </c>
      <c r="R9" s="244" t="s">
        <v>204</v>
      </c>
    </row>
    <row r="10" spans="1:18" ht="18">
      <c r="A10" s="51" t="s">
        <v>176</v>
      </c>
      <c r="B10" s="205" t="str">
        <f t="shared" si="0"/>
        <v>AA+</v>
      </c>
      <c r="C10" s="206" t="str">
        <f t="shared" si="1"/>
        <v>Aa1</v>
      </c>
      <c r="E10" s="191" t="s">
        <v>176</v>
      </c>
      <c r="F10" s="189" t="str">
        <f t="shared" si="2"/>
        <v>Aa1</v>
      </c>
      <c r="G10" s="189" t="str">
        <f t="shared" si="3"/>
        <v>AA+</v>
      </c>
      <c r="M10" s="220" t="s">
        <v>86</v>
      </c>
      <c r="N10" s="217" t="s">
        <v>81</v>
      </c>
      <c r="O10" s="217" t="s">
        <v>81</v>
      </c>
      <c r="Q10" s="112" t="s">
        <v>20</v>
      </c>
      <c r="R10" s="242" t="s">
        <v>216</v>
      </c>
    </row>
    <row r="11" spans="1:18" ht="18">
      <c r="A11" s="51" t="s">
        <v>20</v>
      </c>
      <c r="B11" s="205" t="str">
        <f t="shared" si="0"/>
        <v>BB+</v>
      </c>
      <c r="C11" s="206" t="str">
        <f t="shared" si="1"/>
        <v>Ba2</v>
      </c>
      <c r="E11" s="159" t="s">
        <v>20</v>
      </c>
      <c r="F11" s="189" t="str">
        <f t="shared" si="2"/>
        <v>Ba2</v>
      </c>
      <c r="G11" s="189" t="str">
        <f t="shared" si="3"/>
        <v>BB+</v>
      </c>
      <c r="M11" s="113" t="s">
        <v>523</v>
      </c>
      <c r="N11" s="217" t="s">
        <v>143</v>
      </c>
      <c r="O11" s="217" t="s">
        <v>143</v>
      </c>
      <c r="Q11" s="112" t="s">
        <v>86</v>
      </c>
      <c r="R11" s="242" t="s">
        <v>196</v>
      </c>
    </row>
    <row r="12" spans="1:18" ht="18">
      <c r="A12" s="51" t="s">
        <v>86</v>
      </c>
      <c r="B12" s="205" t="str">
        <f t="shared" si="0"/>
        <v>B+</v>
      </c>
      <c r="C12" s="206" t="str">
        <f t="shared" si="1"/>
        <v>Ba3</v>
      </c>
      <c r="E12" s="191" t="s">
        <v>86</v>
      </c>
      <c r="F12" s="189" t="str">
        <f t="shared" si="2"/>
        <v>Ba3</v>
      </c>
      <c r="G12" s="189" t="str">
        <f t="shared" si="3"/>
        <v>B+</v>
      </c>
      <c r="M12" s="113" t="s">
        <v>87</v>
      </c>
      <c r="N12" s="217" t="s">
        <v>49</v>
      </c>
      <c r="O12" s="217" t="s">
        <v>49</v>
      </c>
      <c r="Q12" s="112" t="s">
        <v>87</v>
      </c>
      <c r="R12" s="242" t="s">
        <v>196</v>
      </c>
    </row>
    <row r="13" spans="1:18" ht="18">
      <c r="A13" s="51" t="s">
        <v>87</v>
      </c>
      <c r="B13" s="205" t="str">
        <f t="shared" si="0"/>
        <v>B+</v>
      </c>
      <c r="C13" s="206" t="str">
        <f t="shared" si="1"/>
        <v>B2</v>
      </c>
      <c r="E13" s="159" t="s">
        <v>87</v>
      </c>
      <c r="F13" s="189" t="str">
        <f t="shared" si="2"/>
        <v>B2</v>
      </c>
      <c r="G13" s="189" t="str">
        <f t="shared" si="3"/>
        <v>B+</v>
      </c>
      <c r="M13" s="113" t="s">
        <v>524</v>
      </c>
      <c r="N13" s="217" t="s">
        <v>143</v>
      </c>
      <c r="O13" s="217" t="s">
        <v>143</v>
      </c>
      <c r="Q13" s="112" t="s">
        <v>132</v>
      </c>
      <c r="R13" s="242" t="s">
        <v>199</v>
      </c>
    </row>
    <row r="14" spans="1:18" ht="18">
      <c r="A14" s="51" t="s">
        <v>132</v>
      </c>
      <c r="B14" s="205" t="str">
        <f t="shared" si="0"/>
        <v>BB-</v>
      </c>
      <c r="C14" s="206" t="str">
        <f t="shared" si="1"/>
        <v>Ba3</v>
      </c>
      <c r="E14" s="159" t="s">
        <v>132</v>
      </c>
      <c r="F14" s="189" t="str">
        <f t="shared" si="2"/>
        <v>Ba3</v>
      </c>
      <c r="G14" s="189" t="str">
        <f t="shared" si="3"/>
        <v>BB-</v>
      </c>
      <c r="M14" s="113" t="s">
        <v>132</v>
      </c>
      <c r="N14" s="217" t="s">
        <v>81</v>
      </c>
      <c r="O14" s="217" t="s">
        <v>81</v>
      </c>
      <c r="Q14" s="112" t="s">
        <v>88</v>
      </c>
      <c r="R14" s="242" t="s">
        <v>200</v>
      </c>
    </row>
    <row r="15" spans="1:18" ht="18">
      <c r="A15" s="51" t="s">
        <v>88</v>
      </c>
      <c r="B15" s="205" t="str">
        <f t="shared" si="0"/>
        <v>B-</v>
      </c>
      <c r="C15" s="206" t="str">
        <f t="shared" si="1"/>
        <v>Caa1</v>
      </c>
      <c r="E15" s="159" t="s">
        <v>88</v>
      </c>
      <c r="F15" s="189" t="str">
        <f t="shared" si="2"/>
        <v>Caa1</v>
      </c>
      <c r="G15" s="189" t="str">
        <f t="shared" si="3"/>
        <v>B-</v>
      </c>
      <c r="M15" s="113" t="s">
        <v>88</v>
      </c>
      <c r="N15" s="217" t="s">
        <v>100</v>
      </c>
      <c r="O15" s="217" t="s">
        <v>100</v>
      </c>
      <c r="Q15" s="112" t="s">
        <v>5</v>
      </c>
      <c r="R15" s="242" t="s">
        <v>532</v>
      </c>
    </row>
    <row r="16" spans="1:18" ht="18">
      <c r="A16" s="51" t="s">
        <v>5</v>
      </c>
      <c r="B16" s="205" t="str">
        <f t="shared" si="0"/>
        <v>B </v>
      </c>
      <c r="C16" s="206" t="str">
        <f t="shared" si="1"/>
        <v>B3</v>
      </c>
      <c r="E16" s="159" t="s">
        <v>5</v>
      </c>
      <c r="F16" s="189" t="str">
        <f t="shared" si="2"/>
        <v>B3</v>
      </c>
      <c r="G16" s="189" t="str">
        <f t="shared" si="3"/>
        <v>B </v>
      </c>
      <c r="M16" s="113" t="s">
        <v>5</v>
      </c>
      <c r="N16" s="217" t="s">
        <v>78</v>
      </c>
      <c r="O16" s="217" t="s">
        <v>78</v>
      </c>
      <c r="Q16" s="112" t="s">
        <v>177</v>
      </c>
      <c r="R16" s="244" t="s">
        <v>207</v>
      </c>
    </row>
    <row r="17" spans="1:18" ht="18">
      <c r="A17" s="51" t="s">
        <v>177</v>
      </c>
      <c r="B17" s="205" t="str">
        <f t="shared" si="0"/>
        <v>AA</v>
      </c>
      <c r="C17" s="206" t="str">
        <f t="shared" si="1"/>
        <v>Aa3</v>
      </c>
      <c r="E17" s="159" t="s">
        <v>177</v>
      </c>
      <c r="F17" s="189" t="str">
        <f t="shared" si="2"/>
        <v>Aa3</v>
      </c>
      <c r="G17" s="189" t="str">
        <f t="shared" si="3"/>
        <v>AA</v>
      </c>
      <c r="M17" s="113" t="s">
        <v>177</v>
      </c>
      <c r="N17" s="217" t="s">
        <v>46</v>
      </c>
      <c r="O17" s="217" t="s">
        <v>46</v>
      </c>
      <c r="Q17" s="112" t="s">
        <v>89</v>
      </c>
      <c r="R17" s="242" t="s">
        <v>200</v>
      </c>
    </row>
    <row r="18" spans="1:18" ht="18">
      <c r="A18" s="51" t="s">
        <v>89</v>
      </c>
      <c r="B18" s="205" t="str">
        <f t="shared" si="0"/>
        <v>B-</v>
      </c>
      <c r="C18" s="206" t="str">
        <f t="shared" si="1"/>
        <v>Caa3</v>
      </c>
      <c r="E18" s="159" t="s">
        <v>89</v>
      </c>
      <c r="F18" s="189" t="str">
        <f t="shared" si="2"/>
        <v>Caa3</v>
      </c>
      <c r="G18" s="189" t="str">
        <f t="shared" si="3"/>
        <v>B-</v>
      </c>
      <c r="M18" s="113" t="s">
        <v>89</v>
      </c>
      <c r="N18" s="217" t="s">
        <v>62</v>
      </c>
      <c r="O18" s="217" t="s">
        <v>62</v>
      </c>
      <c r="Q18" s="112" t="s">
        <v>208</v>
      </c>
      <c r="R18" s="242" t="s">
        <v>196</v>
      </c>
    </row>
    <row r="19" spans="1:18" ht="18">
      <c r="A19" s="51" t="s">
        <v>208</v>
      </c>
      <c r="B19" s="205" t="str">
        <f t="shared" si="0"/>
        <v>B+</v>
      </c>
      <c r="C19" s="206" t="str">
        <f t="shared" si="1"/>
        <v>B1</v>
      </c>
      <c r="E19" s="159" t="s">
        <v>208</v>
      </c>
      <c r="F19" s="189" t="str">
        <f t="shared" si="2"/>
        <v>B1</v>
      </c>
      <c r="G19" s="189" t="str">
        <f t="shared" si="3"/>
        <v>B+</v>
      </c>
      <c r="M19" s="113" t="s">
        <v>208</v>
      </c>
      <c r="N19" s="217" t="s">
        <v>48</v>
      </c>
      <c r="O19" s="217" t="s">
        <v>48</v>
      </c>
      <c r="Q19" s="112" t="s">
        <v>90</v>
      </c>
      <c r="R19" s="244" t="s">
        <v>222</v>
      </c>
    </row>
    <row r="20" spans="1:18" ht="18">
      <c r="A20" s="51" t="s">
        <v>90</v>
      </c>
      <c r="B20" s="205" t="str">
        <f t="shared" si="0"/>
        <v>A+</v>
      </c>
      <c r="C20" s="206" t="str">
        <f t="shared" si="1"/>
        <v>A2</v>
      </c>
      <c r="E20" s="159" t="s">
        <v>90</v>
      </c>
      <c r="F20" s="189" t="str">
        <f t="shared" si="2"/>
        <v>A2</v>
      </c>
      <c r="G20" s="189" t="str">
        <f t="shared" si="3"/>
        <v>A+</v>
      </c>
      <c r="M20" s="113" t="s">
        <v>90</v>
      </c>
      <c r="N20" s="217" t="s">
        <v>42</v>
      </c>
      <c r="O20" s="217" t="s">
        <v>42</v>
      </c>
      <c r="Q20" s="112" t="s">
        <v>91</v>
      </c>
      <c r="R20" s="242" t="s">
        <v>531</v>
      </c>
    </row>
    <row r="21" spans="1:18" ht="18">
      <c r="A21" s="51" t="s">
        <v>91</v>
      </c>
      <c r="B21" s="205" t="str">
        <f t="shared" si="0"/>
        <v>B+ </v>
      </c>
      <c r="C21" s="206" t="str">
        <f t="shared" si="1"/>
        <v>B2</v>
      </c>
      <c r="E21" s="159" t="s">
        <v>91</v>
      </c>
      <c r="F21" s="189" t="str">
        <f t="shared" si="2"/>
        <v>B2</v>
      </c>
      <c r="G21" s="189" t="str">
        <f t="shared" si="3"/>
        <v>B+ </v>
      </c>
      <c r="M21" s="113" t="s">
        <v>91</v>
      </c>
      <c r="N21" s="217" t="s">
        <v>49</v>
      </c>
      <c r="O21" s="217" t="s">
        <v>49</v>
      </c>
      <c r="Q21" s="112" t="s">
        <v>7</v>
      </c>
      <c r="R21" s="242" t="s">
        <v>209</v>
      </c>
    </row>
    <row r="22" spans="1:18" ht="18">
      <c r="A22" s="51" t="s">
        <v>7</v>
      </c>
      <c r="B22" s="205" t="str">
        <f t="shared" si="0"/>
        <v>B</v>
      </c>
      <c r="C22" s="206" t="str">
        <f t="shared" si="1"/>
        <v>B3</v>
      </c>
      <c r="E22" s="159" t="s">
        <v>7</v>
      </c>
      <c r="F22" s="189" t="str">
        <f t="shared" si="2"/>
        <v>B3</v>
      </c>
      <c r="G22" s="189" t="str">
        <f t="shared" si="3"/>
        <v>B</v>
      </c>
      <c r="M22" s="113" t="s">
        <v>7</v>
      </c>
      <c r="N22" s="217" t="s">
        <v>78</v>
      </c>
      <c r="O22" s="217" t="s">
        <v>78</v>
      </c>
      <c r="Q22" s="112" t="s">
        <v>123</v>
      </c>
      <c r="R22" s="242" t="s">
        <v>202</v>
      </c>
    </row>
    <row r="23" spans="1:18" ht="18">
      <c r="A23" s="51" t="s">
        <v>123</v>
      </c>
      <c r="B23" s="205" t="str">
        <f t="shared" si="0"/>
        <v>BBB+</v>
      </c>
      <c r="C23" s="206" t="str">
        <f t="shared" si="1"/>
        <v>A3</v>
      </c>
      <c r="E23" s="190" t="s">
        <v>123</v>
      </c>
      <c r="F23" s="189" t="str">
        <f t="shared" si="2"/>
        <v>A3</v>
      </c>
      <c r="G23" s="189" t="str">
        <f t="shared" si="3"/>
        <v>BBB+</v>
      </c>
      <c r="M23" s="218" t="s">
        <v>123</v>
      </c>
      <c r="N23" s="219" t="s">
        <v>43</v>
      </c>
      <c r="O23" s="219" t="s">
        <v>43</v>
      </c>
      <c r="Q23" s="112" t="s">
        <v>92</v>
      </c>
      <c r="R23" s="242" t="s">
        <v>199</v>
      </c>
    </row>
    <row r="24" spans="1:18" ht="18">
      <c r="A24" s="51" t="s">
        <v>92</v>
      </c>
      <c r="B24" s="205" t="str">
        <f t="shared" si="0"/>
        <v>BB-</v>
      </c>
      <c r="C24" s="206" t="str">
        <f t="shared" si="1"/>
        <v>Ba2</v>
      </c>
      <c r="E24" s="159" t="s">
        <v>92</v>
      </c>
      <c r="F24" s="189" t="str">
        <f t="shared" si="2"/>
        <v>Ba2</v>
      </c>
      <c r="G24" s="189" t="str">
        <f t="shared" si="3"/>
        <v>BB-</v>
      </c>
      <c r="M24" s="113" t="s">
        <v>92</v>
      </c>
      <c r="N24" s="217" t="s">
        <v>80</v>
      </c>
      <c r="O24" s="217" t="s">
        <v>80</v>
      </c>
      <c r="Q24" s="112" t="s">
        <v>94</v>
      </c>
      <c r="R24" s="242" t="s">
        <v>206</v>
      </c>
    </row>
    <row r="25" spans="1:18" ht="18">
      <c r="A25" s="51" t="s">
        <v>94</v>
      </c>
      <c r="B25" s="205" t="str">
        <f t="shared" si="0"/>
        <v>BBB</v>
      </c>
      <c r="C25" s="206" t="str">
        <f t="shared" si="1"/>
        <v>Baa1</v>
      </c>
      <c r="E25" s="159" t="s">
        <v>94</v>
      </c>
      <c r="F25" s="189" t="str">
        <f t="shared" si="2"/>
        <v>Baa1</v>
      </c>
      <c r="G25" s="189" t="str">
        <f t="shared" si="3"/>
        <v>BBB</v>
      </c>
      <c r="M25" s="113" t="s">
        <v>94</v>
      </c>
      <c r="N25" s="217" t="s">
        <v>82</v>
      </c>
      <c r="O25" s="217" t="s">
        <v>82</v>
      </c>
      <c r="Q25" s="112" t="s">
        <v>211</v>
      </c>
      <c r="R25" s="242" t="s">
        <v>209</v>
      </c>
    </row>
    <row r="26" spans="1:18" ht="18">
      <c r="A26" s="51" t="s">
        <v>211</v>
      </c>
      <c r="B26" s="205" t="str">
        <f t="shared" si="0"/>
        <v>B</v>
      </c>
      <c r="C26" s="206" t="str">
        <f t="shared" si="1"/>
        <v>NA</v>
      </c>
      <c r="E26" s="203" t="s">
        <v>211</v>
      </c>
      <c r="F26" s="189" t="s">
        <v>143</v>
      </c>
      <c r="G26" s="189" t="str">
        <f t="shared" si="3"/>
        <v>B</v>
      </c>
      <c r="M26" s="113" t="s">
        <v>6</v>
      </c>
      <c r="N26" s="217" t="s">
        <v>49</v>
      </c>
      <c r="O26" s="217" t="s">
        <v>49</v>
      </c>
      <c r="Q26" s="112" t="s">
        <v>6</v>
      </c>
      <c r="R26" s="244" t="s">
        <v>143</v>
      </c>
    </row>
    <row r="27" spans="1:18" ht="18">
      <c r="A27" s="51" t="s">
        <v>6</v>
      </c>
      <c r="B27" s="205" t="str">
        <f t="shared" si="0"/>
        <v>NA</v>
      </c>
      <c r="C27" s="206" t="str">
        <f t="shared" si="1"/>
        <v>B2</v>
      </c>
      <c r="E27" s="159" t="s">
        <v>6</v>
      </c>
      <c r="F27" s="189" t="str">
        <f t="shared" si="2"/>
        <v>B2</v>
      </c>
      <c r="G27" s="189" t="s">
        <v>143</v>
      </c>
      <c r="M27" s="218" t="s">
        <v>212</v>
      </c>
      <c r="N27" s="217" t="s">
        <v>49</v>
      </c>
      <c r="O27" s="217" t="s">
        <v>49</v>
      </c>
      <c r="Q27" s="112" t="s">
        <v>212</v>
      </c>
      <c r="R27" s="242" t="s">
        <v>200</v>
      </c>
    </row>
    <row r="28" spans="1:18" ht="18">
      <c r="A28" s="51" t="s">
        <v>212</v>
      </c>
      <c r="B28" s="205" t="str">
        <f t="shared" si="0"/>
        <v>B-</v>
      </c>
      <c r="C28" s="206" t="str">
        <f t="shared" si="1"/>
        <v>B2</v>
      </c>
      <c r="E28" s="190" t="s">
        <v>212</v>
      </c>
      <c r="F28" s="189" t="str">
        <f t="shared" si="2"/>
        <v>B2</v>
      </c>
      <c r="G28" s="189" t="str">
        <f t="shared" si="3"/>
        <v>B-</v>
      </c>
      <c r="M28" s="113" t="s">
        <v>95</v>
      </c>
      <c r="N28" s="217" t="s">
        <v>47</v>
      </c>
      <c r="O28" s="217" t="s">
        <v>47</v>
      </c>
      <c r="Q28" s="112" t="s">
        <v>95</v>
      </c>
      <c r="R28" s="244" t="s">
        <v>203</v>
      </c>
    </row>
    <row r="29" spans="1:18" ht="18">
      <c r="A29" s="51" t="s">
        <v>95</v>
      </c>
      <c r="B29" s="205" t="str">
        <f t="shared" si="0"/>
        <v>AAA</v>
      </c>
      <c r="C29" s="206" t="str">
        <f t="shared" si="1"/>
        <v>Aaa</v>
      </c>
      <c r="E29" s="159" t="s">
        <v>95</v>
      </c>
      <c r="F29" s="189" t="str">
        <f t="shared" si="2"/>
        <v>Aaa</v>
      </c>
      <c r="G29" s="189" t="str">
        <f t="shared" si="3"/>
        <v>AAA</v>
      </c>
      <c r="M29" s="113" t="s">
        <v>55</v>
      </c>
      <c r="N29" s="217" t="s">
        <v>46</v>
      </c>
      <c r="O29" s="217" t="s">
        <v>46</v>
      </c>
      <c r="Q29" s="112" t="s">
        <v>213</v>
      </c>
      <c r="R29" s="242" t="s">
        <v>200</v>
      </c>
    </row>
    <row r="30" spans="1:18" ht="18">
      <c r="A30" s="51" t="s">
        <v>213</v>
      </c>
      <c r="B30" s="205" t="str">
        <f t="shared" si="0"/>
        <v>B-</v>
      </c>
      <c r="C30" s="206" t="str">
        <f t="shared" si="1"/>
        <v>NA</v>
      </c>
      <c r="E30" s="203" t="s">
        <v>213</v>
      </c>
      <c r="F30" s="189" t="s">
        <v>143</v>
      </c>
      <c r="G30" s="189" t="str">
        <f t="shared" si="3"/>
        <v>B-</v>
      </c>
      <c r="M30" s="113" t="s">
        <v>525</v>
      </c>
      <c r="N30" s="217" t="s">
        <v>143</v>
      </c>
      <c r="O30" s="217" t="s">
        <v>143</v>
      </c>
      <c r="Q30" s="112" t="s">
        <v>55</v>
      </c>
      <c r="R30" s="243" t="s">
        <v>143</v>
      </c>
    </row>
    <row r="31" spans="1:18" ht="18">
      <c r="A31" s="51" t="s">
        <v>55</v>
      </c>
      <c r="B31" s="205" t="str">
        <f t="shared" si="0"/>
        <v>NA</v>
      </c>
      <c r="C31" s="206" t="str">
        <f t="shared" si="1"/>
        <v>Aa3</v>
      </c>
      <c r="E31" s="159" t="s">
        <v>55</v>
      </c>
      <c r="F31" s="189" t="str">
        <f t="shared" si="2"/>
        <v>Aa3</v>
      </c>
      <c r="G31" s="189" t="str">
        <f t="shared" si="3"/>
        <v>NA</v>
      </c>
      <c r="M31" s="113" t="s">
        <v>96</v>
      </c>
      <c r="N31" s="217" t="s">
        <v>41</v>
      </c>
      <c r="O31" s="217" t="s">
        <v>41</v>
      </c>
      <c r="Q31" s="112" t="s">
        <v>96</v>
      </c>
      <c r="R31" s="244" t="s">
        <v>224</v>
      </c>
    </row>
    <row r="32" spans="1:18" ht="18">
      <c r="A32" s="51" t="s">
        <v>96</v>
      </c>
      <c r="B32" s="205" t="str">
        <f t="shared" si="0"/>
        <v>A</v>
      </c>
      <c r="C32" s="206" t="str">
        <f t="shared" si="1"/>
        <v>A1</v>
      </c>
      <c r="E32" s="159" t="s">
        <v>96</v>
      </c>
      <c r="F32" s="189" t="str">
        <f t="shared" si="2"/>
        <v>A1</v>
      </c>
      <c r="G32" s="189" t="str">
        <f t="shared" si="3"/>
        <v>A</v>
      </c>
      <c r="M32" s="113" t="s">
        <v>97</v>
      </c>
      <c r="N32" s="217" t="s">
        <v>41</v>
      </c>
      <c r="O32" s="217" t="s">
        <v>41</v>
      </c>
      <c r="Q32" s="112" t="s">
        <v>97</v>
      </c>
      <c r="R32" s="244" t="s">
        <v>222</v>
      </c>
    </row>
    <row r="33" spans="1:18" ht="18">
      <c r="A33" s="51" t="s">
        <v>97</v>
      </c>
      <c r="B33" s="205" t="str">
        <f t="shared" si="0"/>
        <v>A+</v>
      </c>
      <c r="C33" s="206" t="str">
        <f t="shared" si="1"/>
        <v>A1</v>
      </c>
      <c r="E33" s="159" t="s">
        <v>97</v>
      </c>
      <c r="F33" s="189" t="str">
        <f t="shared" si="2"/>
        <v>A1</v>
      </c>
      <c r="G33" s="189" t="str">
        <f t="shared" si="3"/>
        <v>A+</v>
      </c>
      <c r="M33" s="113" t="s">
        <v>50</v>
      </c>
      <c r="N33" s="217" t="s">
        <v>83</v>
      </c>
      <c r="O33" s="217" t="s">
        <v>83</v>
      </c>
      <c r="Q33" s="112" t="s">
        <v>50</v>
      </c>
      <c r="R33" s="242" t="s">
        <v>216</v>
      </c>
    </row>
    <row r="34" spans="1:18" ht="18">
      <c r="A34" s="51" t="s">
        <v>50</v>
      </c>
      <c r="B34" s="205" t="str">
        <f t="shared" si="0"/>
        <v>BB+</v>
      </c>
      <c r="C34" s="206" t="str">
        <f t="shared" si="1"/>
        <v>Baa2</v>
      </c>
      <c r="E34" s="159" t="s">
        <v>50</v>
      </c>
      <c r="F34" s="189" t="str">
        <f t="shared" si="2"/>
        <v>Baa2</v>
      </c>
      <c r="G34" s="189" t="str">
        <f t="shared" si="3"/>
        <v>BB+</v>
      </c>
      <c r="M34" s="113" t="s">
        <v>56</v>
      </c>
      <c r="N34" s="217" t="s">
        <v>49</v>
      </c>
      <c r="O34" s="217" t="s">
        <v>49</v>
      </c>
      <c r="Q34" s="112" t="s">
        <v>517</v>
      </c>
      <c r="R34" s="243" t="s">
        <v>563</v>
      </c>
    </row>
    <row r="35" spans="1:18" ht="18">
      <c r="A35" s="51" t="s">
        <v>287</v>
      </c>
      <c r="B35" s="205" t="str">
        <f t="shared" si="0"/>
        <v>CCC+</v>
      </c>
      <c r="C35" s="206" t="str">
        <f t="shared" si="1"/>
        <v>Caa1</v>
      </c>
      <c r="E35" s="51" t="s">
        <v>287</v>
      </c>
      <c r="F35" s="189" t="s">
        <v>100</v>
      </c>
      <c r="G35" s="189" t="s">
        <v>218</v>
      </c>
      <c r="M35" s="113" t="s">
        <v>384</v>
      </c>
      <c r="N35" s="217" t="s">
        <v>81</v>
      </c>
      <c r="O35" s="217" t="s">
        <v>81</v>
      </c>
      <c r="Q35" s="112" t="s">
        <v>56</v>
      </c>
      <c r="R35" s="242" t="s">
        <v>532</v>
      </c>
    </row>
    <row r="36" spans="1:18" ht="18">
      <c r="A36" s="51" t="s">
        <v>288</v>
      </c>
      <c r="B36" s="205" t="str">
        <f t="shared" si="0"/>
        <v>CCC+</v>
      </c>
      <c r="C36" s="206" t="str">
        <f t="shared" si="1"/>
        <v>Caa2</v>
      </c>
      <c r="E36" s="51" t="s">
        <v>288</v>
      </c>
      <c r="F36" s="189" t="s">
        <v>58</v>
      </c>
      <c r="G36" s="189" t="s">
        <v>218</v>
      </c>
      <c r="M36" s="113" t="s">
        <v>98</v>
      </c>
      <c r="N36" s="217" t="s">
        <v>79</v>
      </c>
      <c r="O36" s="217" t="s">
        <v>79</v>
      </c>
      <c r="Q36" s="112" t="s">
        <v>98</v>
      </c>
      <c r="R36" s="242" t="s">
        <v>205</v>
      </c>
    </row>
    <row r="37" spans="1:18" ht="18">
      <c r="A37" s="51" t="s">
        <v>214</v>
      </c>
      <c r="B37" s="205" t="str">
        <f t="shared" si="0"/>
        <v>B+</v>
      </c>
      <c r="C37" s="206" t="str">
        <f t="shared" si="1"/>
        <v>B1</v>
      </c>
      <c r="E37" s="204" t="s">
        <v>214</v>
      </c>
      <c r="F37" s="245" t="s">
        <v>48</v>
      </c>
      <c r="G37" s="245" t="s">
        <v>196</v>
      </c>
      <c r="M37" s="113" t="s">
        <v>99</v>
      </c>
      <c r="N37" s="217" t="s">
        <v>346</v>
      </c>
      <c r="O37" s="217" t="s">
        <v>346</v>
      </c>
      <c r="Q37" s="112" t="s">
        <v>99</v>
      </c>
      <c r="R37" s="243" t="s">
        <v>143</v>
      </c>
    </row>
    <row r="38" spans="1:18" ht="18">
      <c r="A38" s="51" t="s">
        <v>56</v>
      </c>
      <c r="B38" s="205" t="str">
        <f t="shared" si="0"/>
        <v>B </v>
      </c>
      <c r="C38" s="206" t="str">
        <f t="shared" si="1"/>
        <v>B2</v>
      </c>
      <c r="E38" s="159" t="s">
        <v>56</v>
      </c>
      <c r="F38" s="189" t="str">
        <f t="shared" si="2"/>
        <v>B2</v>
      </c>
      <c r="G38" s="189" t="str">
        <f t="shared" si="3"/>
        <v>B </v>
      </c>
      <c r="M38" s="113" t="s">
        <v>178</v>
      </c>
      <c r="N38" s="217" t="s">
        <v>79</v>
      </c>
      <c r="O38" s="217" t="s">
        <v>79</v>
      </c>
      <c r="Q38" s="112" t="s">
        <v>178</v>
      </c>
      <c r="R38" s="242" t="s">
        <v>564</v>
      </c>
    </row>
    <row r="39" spans="1:18" ht="18">
      <c r="A39" s="51" t="s">
        <v>283</v>
      </c>
      <c r="B39" s="205" t="str">
        <f t="shared" si="0"/>
        <v>NA</v>
      </c>
      <c r="C39" s="206" t="str">
        <f t="shared" si="1"/>
        <v>Ba3</v>
      </c>
      <c r="E39" s="159" t="s">
        <v>384</v>
      </c>
      <c r="F39" s="189" t="str">
        <f t="shared" si="2"/>
        <v>Ba3</v>
      </c>
      <c r="G39" s="189" t="s">
        <v>143</v>
      </c>
      <c r="M39" s="113" t="s">
        <v>101</v>
      </c>
      <c r="N39" s="217" t="s">
        <v>46</v>
      </c>
      <c r="O39" s="217" t="s">
        <v>46</v>
      </c>
      <c r="Q39" s="112" t="s">
        <v>101</v>
      </c>
      <c r="R39" s="244" t="s">
        <v>210</v>
      </c>
    </row>
    <row r="40" spans="1:18" ht="18">
      <c r="A40" s="51" t="s">
        <v>98</v>
      </c>
      <c r="B40" s="205" t="str">
        <f t="shared" si="0"/>
        <v>BBB-</v>
      </c>
      <c r="C40" s="206" t="str">
        <f t="shared" si="1"/>
        <v>Ba1</v>
      </c>
      <c r="E40" s="159" t="s">
        <v>98</v>
      </c>
      <c r="F40" s="189" t="str">
        <f t="shared" si="2"/>
        <v>Ba1</v>
      </c>
      <c r="G40" s="189" t="str">
        <f t="shared" si="3"/>
        <v>BBB-</v>
      </c>
      <c r="M40" s="113" t="s">
        <v>526</v>
      </c>
      <c r="N40" s="217" t="s">
        <v>100</v>
      </c>
      <c r="O40" s="217" t="s">
        <v>100</v>
      </c>
      <c r="Q40" s="112" t="s">
        <v>102</v>
      </c>
      <c r="R40" s="244" t="s">
        <v>203</v>
      </c>
    </row>
    <row r="41" spans="1:18" ht="18">
      <c r="A41" s="51" t="s">
        <v>99</v>
      </c>
      <c r="B41" s="205" t="str">
        <f t="shared" si="0"/>
        <v>NA</v>
      </c>
      <c r="C41" s="206" t="str">
        <f t="shared" si="1"/>
        <v>Ca</v>
      </c>
      <c r="E41" s="159" t="s">
        <v>99</v>
      </c>
      <c r="F41" s="189" t="str">
        <f t="shared" si="2"/>
        <v>Ca</v>
      </c>
      <c r="G41" s="189" t="str">
        <f t="shared" si="3"/>
        <v>NA</v>
      </c>
      <c r="M41" s="113" t="s">
        <v>102</v>
      </c>
      <c r="N41" s="217" t="s">
        <v>47</v>
      </c>
      <c r="O41" s="217" t="s">
        <v>47</v>
      </c>
      <c r="Q41" s="112" t="s">
        <v>103</v>
      </c>
      <c r="R41" s="242" t="s">
        <v>199</v>
      </c>
    </row>
    <row r="42" spans="1:18" ht="18">
      <c r="A42" s="51" t="s">
        <v>217</v>
      </c>
      <c r="B42" s="205" t="str">
        <f t="shared" si="0"/>
        <v>BBB</v>
      </c>
      <c r="C42" s="206" t="str">
        <f t="shared" si="1"/>
        <v>NA</v>
      </c>
      <c r="E42" s="204" t="s">
        <v>217</v>
      </c>
      <c r="F42" s="189" t="s">
        <v>143</v>
      </c>
      <c r="G42" s="189" t="s">
        <v>206</v>
      </c>
      <c r="M42" s="220" t="s">
        <v>103</v>
      </c>
      <c r="N42" s="217" t="s">
        <v>81</v>
      </c>
      <c r="O42" s="217" t="s">
        <v>81</v>
      </c>
      <c r="Q42" s="112" t="s">
        <v>104</v>
      </c>
      <c r="R42" s="242" t="s">
        <v>200</v>
      </c>
    </row>
    <row r="43" spans="1:18" ht="18">
      <c r="A43" s="51" t="s">
        <v>178</v>
      </c>
      <c r="B43" s="205" t="str">
        <f t="shared" si="0"/>
        <v>BBB- </v>
      </c>
      <c r="C43" s="206" t="str">
        <f t="shared" si="1"/>
        <v>Ba1</v>
      </c>
      <c r="E43" s="159" t="s">
        <v>178</v>
      </c>
      <c r="F43" s="189" t="str">
        <f t="shared" si="2"/>
        <v>Ba1</v>
      </c>
      <c r="G43" s="189" t="str">
        <f t="shared" si="3"/>
        <v>BBB- </v>
      </c>
      <c r="M43" s="113" t="s">
        <v>104</v>
      </c>
      <c r="N43" s="217" t="s">
        <v>62</v>
      </c>
      <c r="O43" s="217" t="s">
        <v>62</v>
      </c>
      <c r="Q43" s="112" t="s">
        <v>105</v>
      </c>
      <c r="R43" s="242" t="s">
        <v>209</v>
      </c>
    </row>
    <row r="44" spans="1:18" ht="18">
      <c r="A44" s="51" t="s">
        <v>101</v>
      </c>
      <c r="B44" s="205" t="str">
        <f t="shared" si="0"/>
        <v>AA-</v>
      </c>
      <c r="C44" s="206" t="str">
        <f t="shared" si="1"/>
        <v>Aa3</v>
      </c>
      <c r="E44" s="159" t="s">
        <v>101</v>
      </c>
      <c r="F44" s="189" t="str">
        <f t="shared" si="2"/>
        <v>Aa3</v>
      </c>
      <c r="G44" s="189" t="str">
        <f t="shared" si="3"/>
        <v>AA-</v>
      </c>
      <c r="M44" s="113" t="s">
        <v>105</v>
      </c>
      <c r="N44" s="217" t="s">
        <v>49</v>
      </c>
      <c r="O44" s="217" t="s">
        <v>49</v>
      </c>
      <c r="Q44" s="112" t="s">
        <v>31</v>
      </c>
      <c r="R44" s="242" t="s">
        <v>535</v>
      </c>
    </row>
    <row r="45" spans="1:18" ht="18">
      <c r="A45" s="51" t="s">
        <v>102</v>
      </c>
      <c r="B45" s="205" t="str">
        <f t="shared" si="0"/>
        <v>AAA</v>
      </c>
      <c r="C45" s="206" t="str">
        <f t="shared" si="1"/>
        <v>Aaa</v>
      </c>
      <c r="E45" s="159" t="s">
        <v>102</v>
      </c>
      <c r="F45" s="189" t="str">
        <f t="shared" si="2"/>
        <v>Aaa</v>
      </c>
      <c r="G45" s="189" t="str">
        <f t="shared" si="3"/>
        <v>AAA</v>
      </c>
      <c r="M45" s="113" t="s">
        <v>31</v>
      </c>
      <c r="N45" s="217" t="s">
        <v>100</v>
      </c>
      <c r="O45" s="217" t="s">
        <v>100</v>
      </c>
      <c r="Q45" s="112" t="s">
        <v>106</v>
      </c>
      <c r="R45" s="244" t="s">
        <v>540</v>
      </c>
    </row>
    <row r="46" spans="1:18" ht="18">
      <c r="A46" s="51" t="s">
        <v>103</v>
      </c>
      <c r="B46" s="205" t="str">
        <f t="shared" si="0"/>
        <v>BB-</v>
      </c>
      <c r="C46" s="206" t="str">
        <f t="shared" si="1"/>
        <v>Ba3</v>
      </c>
      <c r="E46" s="191" t="s">
        <v>103</v>
      </c>
      <c r="F46" s="189" t="str">
        <f t="shared" si="2"/>
        <v>Ba3</v>
      </c>
      <c r="G46" s="189" t="str">
        <f t="shared" si="3"/>
        <v>BB-</v>
      </c>
      <c r="M46" s="113" t="s">
        <v>106</v>
      </c>
      <c r="N46" s="217" t="s">
        <v>41</v>
      </c>
      <c r="O46" s="217" t="s">
        <v>41</v>
      </c>
      <c r="P46" s="30" t="e">
        <v>#N/A</v>
      </c>
      <c r="Q46" s="112" t="s">
        <v>284</v>
      </c>
      <c r="R46" s="243" t="s">
        <v>565</v>
      </c>
    </row>
    <row r="47" spans="1:18" ht="18">
      <c r="A47" s="51" t="s">
        <v>104</v>
      </c>
      <c r="B47" s="205" t="str">
        <f t="shared" si="0"/>
        <v>B-</v>
      </c>
      <c r="C47" s="206" t="str">
        <f t="shared" si="1"/>
        <v>Caa3</v>
      </c>
      <c r="E47" s="159" t="s">
        <v>104</v>
      </c>
      <c r="F47" s="189" t="str">
        <f t="shared" si="2"/>
        <v>Caa3</v>
      </c>
      <c r="G47" s="189" t="str">
        <f t="shared" si="3"/>
        <v>B-</v>
      </c>
      <c r="M47" s="113" t="s">
        <v>515</v>
      </c>
      <c r="N47" s="217" t="s">
        <v>78</v>
      </c>
      <c r="O47" s="217" t="s">
        <v>78</v>
      </c>
      <c r="Q47" s="112" t="s">
        <v>536</v>
      </c>
      <c r="R47" s="244" t="s">
        <v>207</v>
      </c>
    </row>
    <row r="48" spans="1:18" ht="18">
      <c r="A48" s="51" t="s">
        <v>105</v>
      </c>
      <c r="B48" s="205" t="str">
        <f t="shared" si="0"/>
        <v>B</v>
      </c>
      <c r="C48" s="206" t="str">
        <f t="shared" si="1"/>
        <v>B2</v>
      </c>
      <c r="E48" s="159" t="s">
        <v>105</v>
      </c>
      <c r="F48" s="189" t="str">
        <f t="shared" si="2"/>
        <v>B2</v>
      </c>
      <c r="G48" s="189" t="str">
        <f t="shared" si="3"/>
        <v>B</v>
      </c>
      <c r="M48" s="113" t="s">
        <v>284</v>
      </c>
      <c r="N48" s="217" t="s">
        <v>58</v>
      </c>
      <c r="O48" s="217" t="s">
        <v>58</v>
      </c>
      <c r="Q48" s="112" t="s">
        <v>219</v>
      </c>
      <c r="R48" s="242" t="s">
        <v>196</v>
      </c>
    </row>
    <row r="49" spans="1:18" ht="18">
      <c r="A49" s="51" t="s">
        <v>31</v>
      </c>
      <c r="B49" s="205" t="str">
        <f t="shared" si="0"/>
        <v>B- </v>
      </c>
      <c r="C49" s="206" t="str">
        <f t="shared" si="1"/>
        <v>Caa1</v>
      </c>
      <c r="E49" s="159" t="s">
        <v>31</v>
      </c>
      <c r="F49" s="189" t="str">
        <f t="shared" si="2"/>
        <v>Caa1</v>
      </c>
      <c r="G49" s="189" t="str">
        <f t="shared" si="3"/>
        <v>B- </v>
      </c>
      <c r="M49" s="113" t="s">
        <v>219</v>
      </c>
      <c r="N49" s="217" t="s">
        <v>48</v>
      </c>
      <c r="O49" s="217" t="s">
        <v>48</v>
      </c>
      <c r="Q49" s="112" t="s">
        <v>179</v>
      </c>
      <c r="R49" s="244" t="s">
        <v>204</v>
      </c>
    </row>
    <row r="50" spans="1:18" ht="18">
      <c r="A50" s="51" t="s">
        <v>106</v>
      </c>
      <c r="B50" s="205" t="str">
        <f t="shared" si="0"/>
        <v>AA- </v>
      </c>
      <c r="C50" s="206" t="str">
        <f t="shared" si="1"/>
        <v>A1</v>
      </c>
      <c r="E50" s="159" t="s">
        <v>106</v>
      </c>
      <c r="F50" s="189" t="str">
        <f t="shared" si="2"/>
        <v>A1</v>
      </c>
      <c r="G50" s="189" t="str">
        <f t="shared" si="3"/>
        <v>AA- </v>
      </c>
      <c r="M50" s="113" t="s">
        <v>179</v>
      </c>
      <c r="N50" s="217" t="s">
        <v>44</v>
      </c>
      <c r="O50" s="217" t="s">
        <v>44</v>
      </c>
      <c r="Q50" s="112" t="s">
        <v>180</v>
      </c>
      <c r="R50" s="244" t="s">
        <v>207</v>
      </c>
    </row>
    <row r="51" spans="1:18" ht="18">
      <c r="A51" s="51" t="s">
        <v>284</v>
      </c>
      <c r="B51" s="205" t="str">
        <f t="shared" si="0"/>
        <v>CCC </v>
      </c>
      <c r="C51" s="206" t="str">
        <f t="shared" si="1"/>
        <v>Caa2</v>
      </c>
      <c r="E51" s="159" t="s">
        <v>284</v>
      </c>
      <c r="F51" s="189" t="str">
        <f t="shared" si="2"/>
        <v>Caa2</v>
      </c>
      <c r="G51" s="189" t="str">
        <f t="shared" si="3"/>
        <v>CCC </v>
      </c>
      <c r="M51" s="113" t="s">
        <v>180</v>
      </c>
      <c r="N51" s="217" t="s">
        <v>45</v>
      </c>
      <c r="O51" s="217" t="s">
        <v>45</v>
      </c>
      <c r="Q51" s="112" t="s">
        <v>220</v>
      </c>
      <c r="R51" s="244" t="s">
        <v>534</v>
      </c>
    </row>
    <row r="52" spans="1:18" ht="18">
      <c r="A52" s="51" t="s">
        <v>219</v>
      </c>
      <c r="B52" s="205" t="str">
        <f t="shared" si="0"/>
        <v>B+</v>
      </c>
      <c r="C52" s="206" t="str">
        <f t="shared" si="1"/>
        <v>B1</v>
      </c>
      <c r="E52" s="159" t="s">
        <v>219</v>
      </c>
      <c r="F52" s="189" t="str">
        <f t="shared" si="2"/>
        <v>B1</v>
      </c>
      <c r="G52" s="189" t="str">
        <f t="shared" si="3"/>
        <v>B+</v>
      </c>
      <c r="M52" s="113" t="s">
        <v>220</v>
      </c>
      <c r="N52" s="217" t="s">
        <v>100</v>
      </c>
      <c r="O52" s="217" t="s">
        <v>100</v>
      </c>
      <c r="Q52" s="112" t="s">
        <v>133</v>
      </c>
      <c r="R52" s="242" t="s">
        <v>537</v>
      </c>
    </row>
    <row r="53" spans="1:18" ht="18">
      <c r="A53" s="51" t="s">
        <v>179</v>
      </c>
      <c r="B53" s="205" t="str">
        <f t="shared" si="0"/>
        <v>AA+</v>
      </c>
      <c r="C53" s="206" t="str">
        <f t="shared" si="1"/>
        <v>Aa1</v>
      </c>
      <c r="E53" s="159" t="s">
        <v>179</v>
      </c>
      <c r="F53" s="189" t="str">
        <f t="shared" si="2"/>
        <v>Aa1</v>
      </c>
      <c r="G53" s="189" t="str">
        <f t="shared" si="3"/>
        <v>AA+</v>
      </c>
      <c r="M53" s="113" t="s">
        <v>133</v>
      </c>
      <c r="N53" s="217" t="s">
        <v>80</v>
      </c>
      <c r="O53" s="217" t="s">
        <v>80</v>
      </c>
      <c r="Q53" s="112" t="s">
        <v>181</v>
      </c>
      <c r="R53" s="244" t="s">
        <v>203</v>
      </c>
    </row>
    <row r="54" spans="1:18" ht="18">
      <c r="A54" s="51" t="s">
        <v>180</v>
      </c>
      <c r="B54" s="205" t="str">
        <f t="shared" si="0"/>
        <v>AA</v>
      </c>
      <c r="C54" s="206" t="str">
        <f t="shared" si="1"/>
        <v>Aa2</v>
      </c>
      <c r="E54" s="159" t="s">
        <v>180</v>
      </c>
      <c r="F54" s="189" t="str">
        <f t="shared" si="2"/>
        <v>Aa2</v>
      </c>
      <c r="G54" s="189" t="str">
        <f t="shared" si="3"/>
        <v>AA</v>
      </c>
      <c r="M54" s="113" t="s">
        <v>181</v>
      </c>
      <c r="N54" s="217" t="s">
        <v>47</v>
      </c>
      <c r="O54" s="217" t="s">
        <v>47</v>
      </c>
      <c r="Q54" s="112" t="s">
        <v>221</v>
      </c>
      <c r="R54" s="242" t="s">
        <v>200</v>
      </c>
    </row>
    <row r="55" spans="1:18" ht="18">
      <c r="A55" s="51" t="s">
        <v>220</v>
      </c>
      <c r="B55" s="205" t="str">
        <f t="shared" si="0"/>
        <v>N/A</v>
      </c>
      <c r="C55" s="206" t="str">
        <f t="shared" si="1"/>
        <v>Caa1</v>
      </c>
      <c r="E55" s="159" t="s">
        <v>220</v>
      </c>
      <c r="F55" s="189" t="str">
        <f t="shared" si="2"/>
        <v>Caa1</v>
      </c>
      <c r="G55" s="189" t="str">
        <f t="shared" si="3"/>
        <v>N/A</v>
      </c>
      <c r="M55" s="113" t="s">
        <v>221</v>
      </c>
      <c r="N55" s="217" t="s">
        <v>78</v>
      </c>
      <c r="O55" s="217" t="s">
        <v>78</v>
      </c>
      <c r="Q55" s="112" t="s">
        <v>182</v>
      </c>
      <c r="R55" s="242" t="s">
        <v>537</v>
      </c>
    </row>
    <row r="56" spans="1:18" ht="18">
      <c r="A56" s="51" t="s">
        <v>133</v>
      </c>
      <c r="B56" s="205" t="str">
        <f t="shared" si="0"/>
        <v>BB </v>
      </c>
      <c r="C56" s="206" t="str">
        <f t="shared" si="1"/>
        <v>Ba2</v>
      </c>
      <c r="E56" s="159" t="s">
        <v>133</v>
      </c>
      <c r="F56" s="189" t="str">
        <f t="shared" si="2"/>
        <v>Ba2</v>
      </c>
      <c r="G56" s="189" t="str">
        <f t="shared" si="3"/>
        <v>BB </v>
      </c>
      <c r="M56" s="113" t="s">
        <v>182</v>
      </c>
      <c r="N56" s="217" t="s">
        <v>81</v>
      </c>
      <c r="O56" s="217" t="s">
        <v>81</v>
      </c>
      <c r="Q56" s="112" t="s">
        <v>427</v>
      </c>
      <c r="R56" s="243" t="s">
        <v>538</v>
      </c>
    </row>
    <row r="57" spans="1:18" ht="18">
      <c r="A57" s="51" t="s">
        <v>181</v>
      </c>
      <c r="B57" s="205" t="str">
        <f t="shared" si="0"/>
        <v>AAA</v>
      </c>
      <c r="C57" s="206" t="str">
        <f t="shared" si="1"/>
        <v>Aaa</v>
      </c>
      <c r="E57" s="159" t="s">
        <v>181</v>
      </c>
      <c r="F57" s="189" t="str">
        <f t="shared" si="2"/>
        <v>Aaa</v>
      </c>
      <c r="G57" s="189" t="str">
        <f t="shared" si="3"/>
        <v>AAA</v>
      </c>
      <c r="M57" s="113" t="s">
        <v>107</v>
      </c>
      <c r="N57" s="217" t="s">
        <v>79</v>
      </c>
      <c r="O57" s="217" t="s">
        <v>79</v>
      </c>
      <c r="Q57" s="112" t="s">
        <v>107</v>
      </c>
      <c r="R57" s="242" t="s">
        <v>199</v>
      </c>
    </row>
    <row r="58" spans="1:18" ht="18">
      <c r="A58" s="51" t="s">
        <v>221</v>
      </c>
      <c r="B58" s="205" t="str">
        <f t="shared" si="0"/>
        <v>B-</v>
      </c>
      <c r="C58" s="206" t="str">
        <f t="shared" si="1"/>
        <v>B3</v>
      </c>
      <c r="E58" s="159" t="s">
        <v>221</v>
      </c>
      <c r="F58" s="189" t="str">
        <f t="shared" si="2"/>
        <v>B3</v>
      </c>
      <c r="G58" s="189" t="str">
        <f t="shared" si="3"/>
        <v>B-</v>
      </c>
      <c r="M58" s="113" t="s">
        <v>489</v>
      </c>
      <c r="N58" s="217" t="s">
        <v>514</v>
      </c>
      <c r="O58" s="217" t="s">
        <v>514</v>
      </c>
      <c r="Q58" s="112" t="s">
        <v>108</v>
      </c>
      <c r="R58" s="242" t="s">
        <v>199</v>
      </c>
    </row>
    <row r="59" spans="1:18" ht="18">
      <c r="A59" s="51" t="s">
        <v>182</v>
      </c>
      <c r="B59" s="205" t="str">
        <f t="shared" si="0"/>
        <v>BB </v>
      </c>
      <c r="C59" s="206" t="str">
        <f t="shared" si="1"/>
        <v>Ba3</v>
      </c>
      <c r="E59" s="159" t="s">
        <v>182</v>
      </c>
      <c r="F59" s="189" t="str">
        <f t="shared" si="2"/>
        <v>Ba3</v>
      </c>
      <c r="G59" s="189" t="str">
        <f t="shared" si="3"/>
        <v>BB </v>
      </c>
      <c r="M59" s="113" t="s">
        <v>108</v>
      </c>
      <c r="N59" s="217" t="s">
        <v>48</v>
      </c>
      <c r="O59" s="217" t="s">
        <v>48</v>
      </c>
      <c r="Q59" s="112" t="s">
        <v>59</v>
      </c>
      <c r="R59" s="244" t="s">
        <v>204</v>
      </c>
    </row>
    <row r="60" spans="1:18" ht="18">
      <c r="A60" s="51" t="s">
        <v>107</v>
      </c>
      <c r="B60" s="205" t="str">
        <f t="shared" si="0"/>
        <v>BB-</v>
      </c>
      <c r="C60" s="206" t="str">
        <f t="shared" si="1"/>
        <v>Ba1</v>
      </c>
      <c r="E60" s="159" t="s">
        <v>107</v>
      </c>
      <c r="F60" s="189" t="str">
        <f t="shared" si="2"/>
        <v>Ba1</v>
      </c>
      <c r="G60" s="189" t="str">
        <f t="shared" si="3"/>
        <v>BB-</v>
      </c>
      <c r="M60" s="113" t="s">
        <v>527</v>
      </c>
      <c r="N60" s="217" t="s">
        <v>46</v>
      </c>
      <c r="O60" s="217" t="s">
        <v>46</v>
      </c>
      <c r="Q60" s="112" t="s">
        <v>109</v>
      </c>
      <c r="R60" s="242" t="s">
        <v>206</v>
      </c>
    </row>
    <row r="61" spans="1:18" ht="18">
      <c r="A61" s="51" t="s">
        <v>289</v>
      </c>
      <c r="B61" s="205" t="str">
        <f t="shared" si="0"/>
        <v>AA-</v>
      </c>
      <c r="C61" s="206" t="str">
        <f t="shared" si="1"/>
        <v>NA</v>
      </c>
      <c r="E61" s="159" t="s">
        <v>489</v>
      </c>
      <c r="F61" s="189" t="s">
        <v>143</v>
      </c>
      <c r="G61" s="189" t="s">
        <v>210</v>
      </c>
      <c r="M61" s="113" t="s">
        <v>109</v>
      </c>
      <c r="N61" s="217" t="s">
        <v>83</v>
      </c>
      <c r="O61" s="217" t="s">
        <v>83</v>
      </c>
      <c r="Q61" s="112" t="s">
        <v>110</v>
      </c>
      <c r="R61" s="244" t="s">
        <v>224</v>
      </c>
    </row>
    <row r="62" spans="1:18" ht="18">
      <c r="A62" s="51" t="s">
        <v>108</v>
      </c>
      <c r="B62" s="205" t="str">
        <f t="shared" si="0"/>
        <v>BB-</v>
      </c>
      <c r="C62" s="206" t="str">
        <f t="shared" si="1"/>
        <v>B1</v>
      </c>
      <c r="E62" s="159" t="s">
        <v>108</v>
      </c>
      <c r="F62" s="189" t="str">
        <f t="shared" si="2"/>
        <v>B1</v>
      </c>
      <c r="G62" s="189" t="str">
        <f t="shared" si="3"/>
        <v>BB-</v>
      </c>
      <c r="M62" s="113" t="s">
        <v>110</v>
      </c>
      <c r="N62" s="217" t="s">
        <v>42</v>
      </c>
      <c r="O62" s="217" t="s">
        <v>42</v>
      </c>
      <c r="Q62" s="112" t="s">
        <v>111</v>
      </c>
      <c r="R62" s="242" t="s">
        <v>205</v>
      </c>
    </row>
    <row r="63" spans="1:18" ht="18">
      <c r="A63" s="51" t="s">
        <v>59</v>
      </c>
      <c r="B63" s="205" t="str">
        <f t="shared" si="0"/>
        <v>AA+</v>
      </c>
      <c r="C63" s="206" t="str">
        <f t="shared" si="1"/>
        <v>Aa3</v>
      </c>
      <c r="E63" s="159" t="s">
        <v>59</v>
      </c>
      <c r="F63" s="189" t="s">
        <v>46</v>
      </c>
      <c r="G63" s="189" t="str">
        <f t="shared" si="3"/>
        <v>AA+</v>
      </c>
      <c r="M63" s="113" t="s">
        <v>111</v>
      </c>
      <c r="N63" s="217" t="s">
        <v>124</v>
      </c>
      <c r="O63" s="217" t="s">
        <v>124</v>
      </c>
      <c r="Q63" s="112" t="s">
        <v>112</v>
      </c>
      <c r="R63" s="242" t="s">
        <v>539</v>
      </c>
    </row>
    <row r="64" spans="1:18" ht="18">
      <c r="A64" s="51" t="s">
        <v>109</v>
      </c>
      <c r="B64" s="205" t="str">
        <f t="shared" si="0"/>
        <v>BBB</v>
      </c>
      <c r="C64" s="206" t="str">
        <f t="shared" si="1"/>
        <v>Baa2</v>
      </c>
      <c r="E64" s="159" t="s">
        <v>109</v>
      </c>
      <c r="F64" s="189" t="str">
        <f t="shared" si="2"/>
        <v>Baa2</v>
      </c>
      <c r="G64" s="189" t="str">
        <f t="shared" si="3"/>
        <v>BBB</v>
      </c>
      <c r="M64" s="113" t="s">
        <v>112</v>
      </c>
      <c r="N64" s="217" t="s">
        <v>83</v>
      </c>
      <c r="O64" s="217" t="s">
        <v>83</v>
      </c>
      <c r="Q64" s="112" t="s">
        <v>331</v>
      </c>
      <c r="R64" s="242" t="s">
        <v>200</v>
      </c>
    </row>
    <row r="65" spans="1:18" ht="18">
      <c r="A65" s="51" t="s">
        <v>110</v>
      </c>
      <c r="B65" s="205" t="str">
        <f t="shared" si="0"/>
        <v>A</v>
      </c>
      <c r="C65" s="206" t="str">
        <f t="shared" si="1"/>
        <v>A2</v>
      </c>
      <c r="E65" s="159" t="s">
        <v>110</v>
      </c>
      <c r="F65" s="189" t="str">
        <f t="shared" si="2"/>
        <v>A2</v>
      </c>
      <c r="G65" s="189" t="str">
        <f t="shared" si="3"/>
        <v>A</v>
      </c>
      <c r="M65" s="113" t="s">
        <v>331</v>
      </c>
      <c r="N65" s="217" t="s">
        <v>100</v>
      </c>
      <c r="O65" s="217" t="s">
        <v>100</v>
      </c>
      <c r="Q65" s="112" t="s">
        <v>183</v>
      </c>
      <c r="R65" s="244" t="s">
        <v>210</v>
      </c>
    </row>
    <row r="66" spans="1:18" ht="18">
      <c r="A66" s="51" t="s">
        <v>111</v>
      </c>
      <c r="B66" s="205" t="str">
        <f t="shared" si="0"/>
        <v>BBB-</v>
      </c>
      <c r="C66" s="206" t="str">
        <f t="shared" si="1"/>
        <v>Baa3</v>
      </c>
      <c r="E66" s="159" t="s">
        <v>111</v>
      </c>
      <c r="F66" s="189" t="str">
        <f t="shared" si="2"/>
        <v>Baa3</v>
      </c>
      <c r="G66" s="189" t="str">
        <f t="shared" si="3"/>
        <v>BBB-</v>
      </c>
      <c r="M66" s="113" t="s">
        <v>183</v>
      </c>
      <c r="N66" s="217" t="s">
        <v>42</v>
      </c>
      <c r="O66" s="217" t="s">
        <v>42</v>
      </c>
      <c r="Q66" s="112" t="s">
        <v>113</v>
      </c>
      <c r="R66" s="244" t="s">
        <v>534</v>
      </c>
    </row>
    <row r="67" spans="1:18" ht="18">
      <c r="A67" s="51" t="s">
        <v>112</v>
      </c>
      <c r="B67" s="205" t="str">
        <f t="shared" ref="B67:B130" si="4">G67</f>
        <v>BBB </v>
      </c>
      <c r="C67" s="206" t="str">
        <f t="shared" ref="C67:C130" si="5">F67</f>
        <v>Baa2</v>
      </c>
      <c r="E67" s="159" t="s">
        <v>112</v>
      </c>
      <c r="F67" s="189" t="str">
        <f t="shared" ref="F67:F130" si="6">VLOOKUP(E67,$M$2:$O$152,2,FALSE)</f>
        <v>Baa2</v>
      </c>
      <c r="G67" s="189" t="str">
        <f t="shared" ref="G67:G130" si="7">VLOOKUP(E67,$Q$2:$R$155,2,FALSE)</f>
        <v>BBB </v>
      </c>
      <c r="M67" s="113" t="s">
        <v>113</v>
      </c>
      <c r="N67" s="217" t="s">
        <v>46</v>
      </c>
      <c r="O67" s="217" t="s">
        <v>46</v>
      </c>
      <c r="Q67" s="112" t="s">
        <v>114</v>
      </c>
      <c r="R67" s="244" t="s">
        <v>210</v>
      </c>
    </row>
    <row r="68" spans="1:18" ht="18">
      <c r="A68" s="51" t="s">
        <v>331</v>
      </c>
      <c r="B68" s="205" t="str">
        <f t="shared" si="4"/>
        <v>B-</v>
      </c>
      <c r="C68" s="206" t="str">
        <f t="shared" si="5"/>
        <v>Caa1</v>
      </c>
      <c r="E68" s="159" t="s">
        <v>331</v>
      </c>
      <c r="F68" s="189" t="str">
        <f t="shared" si="6"/>
        <v>Caa1</v>
      </c>
      <c r="G68" s="189" t="str">
        <f t="shared" si="7"/>
        <v>B-</v>
      </c>
      <c r="M68" s="113" t="s">
        <v>114</v>
      </c>
      <c r="N68" s="217" t="s">
        <v>41</v>
      </c>
      <c r="O68" s="217" t="s">
        <v>41</v>
      </c>
      <c r="Q68" s="112" t="s">
        <v>145</v>
      </c>
      <c r="R68" s="242" t="s">
        <v>539</v>
      </c>
    </row>
    <row r="69" spans="1:18" ht="18">
      <c r="A69" s="51" t="s">
        <v>183</v>
      </c>
      <c r="B69" s="205" t="str">
        <f t="shared" si="4"/>
        <v>AA-</v>
      </c>
      <c r="C69" s="206" t="str">
        <f t="shared" si="5"/>
        <v>A2</v>
      </c>
      <c r="E69" s="159" t="s">
        <v>183</v>
      </c>
      <c r="F69" s="189" t="str">
        <f t="shared" si="6"/>
        <v>A2</v>
      </c>
      <c r="G69" s="189" t="str">
        <f t="shared" si="7"/>
        <v>AA-</v>
      </c>
      <c r="M69" s="113" t="s">
        <v>145</v>
      </c>
      <c r="N69" s="217" t="s">
        <v>124</v>
      </c>
      <c r="O69" s="217" t="s">
        <v>124</v>
      </c>
      <c r="Q69" s="112" t="s">
        <v>475</v>
      </c>
      <c r="R69" s="242" t="s">
        <v>199</v>
      </c>
    </row>
    <row r="70" spans="1:18" ht="18">
      <c r="A70" s="51" t="s">
        <v>113</v>
      </c>
      <c r="B70" s="205" t="str">
        <f t="shared" si="4"/>
        <v>NA</v>
      </c>
      <c r="C70" s="206" t="str">
        <f t="shared" si="5"/>
        <v>Aa3</v>
      </c>
      <c r="E70" s="159" t="s">
        <v>113</v>
      </c>
      <c r="F70" s="189" t="str">
        <f t="shared" si="6"/>
        <v>Aa3</v>
      </c>
      <c r="G70" s="189" t="s">
        <v>143</v>
      </c>
      <c r="M70" s="113" t="s">
        <v>115</v>
      </c>
      <c r="N70" s="217" t="s">
        <v>49</v>
      </c>
      <c r="O70" s="217" t="s">
        <v>49</v>
      </c>
      <c r="Q70" s="112" t="s">
        <v>115</v>
      </c>
      <c r="R70" s="242" t="s">
        <v>196</v>
      </c>
    </row>
    <row r="71" spans="1:18" ht="18">
      <c r="A71" s="51" t="s">
        <v>114</v>
      </c>
      <c r="B71" s="205" t="str">
        <f t="shared" si="4"/>
        <v>AA-</v>
      </c>
      <c r="C71" s="206" t="str">
        <f t="shared" si="5"/>
        <v>A1</v>
      </c>
      <c r="E71" s="159" t="s">
        <v>114</v>
      </c>
      <c r="F71" s="189" t="str">
        <f t="shared" si="6"/>
        <v>A1</v>
      </c>
      <c r="G71" s="189" t="str">
        <f t="shared" si="7"/>
        <v>AA-</v>
      </c>
      <c r="M71" s="113" t="s">
        <v>116</v>
      </c>
      <c r="N71" s="217" t="s">
        <v>41</v>
      </c>
      <c r="O71" s="217" t="s">
        <v>41</v>
      </c>
      <c r="Q71" s="112" t="s">
        <v>116</v>
      </c>
      <c r="R71" s="244" t="s">
        <v>222</v>
      </c>
    </row>
    <row r="72" spans="1:18" ht="18">
      <c r="A72" s="51" t="s">
        <v>145</v>
      </c>
      <c r="B72" s="205" t="str">
        <f t="shared" si="4"/>
        <v>BBB </v>
      </c>
      <c r="C72" s="206" t="str">
        <f t="shared" si="5"/>
        <v>Baa3</v>
      </c>
      <c r="E72" s="159" t="s">
        <v>145</v>
      </c>
      <c r="F72" s="189" t="str">
        <f t="shared" si="6"/>
        <v>Baa3</v>
      </c>
      <c r="G72" s="189" t="str">
        <f t="shared" si="7"/>
        <v>BBB </v>
      </c>
      <c r="M72" s="113" t="s">
        <v>468</v>
      </c>
      <c r="N72" s="217" t="s">
        <v>47</v>
      </c>
      <c r="O72" s="217" t="s">
        <v>47</v>
      </c>
      <c r="Q72" s="112" t="s">
        <v>117</v>
      </c>
      <c r="R72" s="242" t="s">
        <v>196</v>
      </c>
    </row>
    <row r="73" spans="1:18" ht="18">
      <c r="A73" s="51" t="s">
        <v>115</v>
      </c>
      <c r="B73" s="205" t="str">
        <f t="shared" si="4"/>
        <v>B+</v>
      </c>
      <c r="C73" s="206" t="str">
        <f t="shared" si="5"/>
        <v>B2</v>
      </c>
      <c r="E73" s="159" t="s">
        <v>115</v>
      </c>
      <c r="F73" s="189" t="str">
        <f t="shared" si="6"/>
        <v>B2</v>
      </c>
      <c r="G73" s="189" t="str">
        <f t="shared" si="7"/>
        <v>B+</v>
      </c>
      <c r="M73" s="113" t="s">
        <v>117</v>
      </c>
      <c r="N73" s="217" t="s">
        <v>48</v>
      </c>
      <c r="O73" s="217" t="s">
        <v>48</v>
      </c>
      <c r="Q73" s="112" t="s">
        <v>118</v>
      </c>
      <c r="R73" s="242" t="s">
        <v>205</v>
      </c>
    </row>
    <row r="74" spans="1:18" ht="18">
      <c r="A74" s="51" t="s">
        <v>116</v>
      </c>
      <c r="B74" s="205" t="str">
        <f t="shared" si="4"/>
        <v>A+</v>
      </c>
      <c r="C74" s="206" t="str">
        <f t="shared" si="5"/>
        <v>A1</v>
      </c>
      <c r="E74" s="159" t="s">
        <v>116</v>
      </c>
      <c r="F74" s="189" t="str">
        <f t="shared" si="6"/>
        <v>A1</v>
      </c>
      <c r="G74" s="189" t="str">
        <f t="shared" si="7"/>
        <v>A+</v>
      </c>
      <c r="M74" s="218" t="s">
        <v>118</v>
      </c>
      <c r="N74" s="219" t="s">
        <v>83</v>
      </c>
      <c r="O74" s="219" t="s">
        <v>83</v>
      </c>
      <c r="Q74" s="112" t="s">
        <v>184</v>
      </c>
      <c r="R74" s="242" t="s">
        <v>209</v>
      </c>
    </row>
    <row r="75" spans="1:18" ht="18">
      <c r="A75" s="51" t="s">
        <v>290</v>
      </c>
      <c r="B75" s="205" t="str">
        <f t="shared" si="4"/>
        <v>AA</v>
      </c>
      <c r="C75" s="206" t="str">
        <f t="shared" si="5"/>
        <v>Aaa</v>
      </c>
      <c r="E75" s="159" t="s">
        <v>468</v>
      </c>
      <c r="F75" s="189" t="str">
        <f t="shared" si="6"/>
        <v>Aaa</v>
      </c>
      <c r="G75" s="189" t="s">
        <v>207</v>
      </c>
      <c r="M75" s="113" t="s">
        <v>184</v>
      </c>
      <c r="N75" s="217" t="s">
        <v>49</v>
      </c>
      <c r="O75" s="217" t="s">
        <v>49</v>
      </c>
      <c r="Q75" s="112" t="s">
        <v>120</v>
      </c>
      <c r="R75" s="244" t="s">
        <v>566</v>
      </c>
    </row>
    <row r="76" spans="1:18" ht="18">
      <c r="A76" s="51" t="s">
        <v>117</v>
      </c>
      <c r="B76" s="205" t="str">
        <f t="shared" si="4"/>
        <v>B+</v>
      </c>
      <c r="C76" s="206" t="str">
        <f t="shared" si="5"/>
        <v>B1</v>
      </c>
      <c r="E76" s="159" t="s">
        <v>117</v>
      </c>
      <c r="F76" s="189" t="str">
        <f t="shared" si="6"/>
        <v>B1</v>
      </c>
      <c r="G76" s="189" t="str">
        <f t="shared" si="7"/>
        <v>B+</v>
      </c>
      <c r="M76" s="113" t="s">
        <v>119</v>
      </c>
      <c r="N76" s="217" t="s">
        <v>45</v>
      </c>
      <c r="O76" s="217" t="s">
        <v>45</v>
      </c>
      <c r="Q76" s="112" t="s">
        <v>353</v>
      </c>
      <c r="R76" s="243" t="s">
        <v>143</v>
      </c>
    </row>
    <row r="77" spans="1:18" ht="18">
      <c r="A77" s="51" t="s">
        <v>118</v>
      </c>
      <c r="B77" s="205" t="str">
        <f t="shared" si="4"/>
        <v>BBB-</v>
      </c>
      <c r="C77" s="206" t="str">
        <f t="shared" si="5"/>
        <v>Baa2</v>
      </c>
      <c r="E77" s="190" t="s">
        <v>118</v>
      </c>
      <c r="F77" s="189" t="str">
        <f t="shared" si="6"/>
        <v>Baa2</v>
      </c>
      <c r="G77" s="189" t="str">
        <f t="shared" si="7"/>
        <v>BBB-</v>
      </c>
      <c r="M77" s="113" t="s">
        <v>120</v>
      </c>
      <c r="N77" s="217" t="s">
        <v>41</v>
      </c>
      <c r="O77" s="217" t="s">
        <v>41</v>
      </c>
      <c r="Q77" s="112" t="s">
        <v>343</v>
      </c>
      <c r="R77" s="243" t="s">
        <v>143</v>
      </c>
    </row>
    <row r="78" spans="1:18" ht="18">
      <c r="A78" s="51" t="s">
        <v>184</v>
      </c>
      <c r="B78" s="205" t="str">
        <f t="shared" si="4"/>
        <v>B</v>
      </c>
      <c r="C78" s="206" t="str">
        <f t="shared" si="5"/>
        <v>B2</v>
      </c>
      <c r="E78" s="159" t="s">
        <v>184</v>
      </c>
      <c r="F78" s="189" t="str">
        <f t="shared" si="6"/>
        <v>B2</v>
      </c>
      <c r="G78" s="189" t="str">
        <f t="shared" si="7"/>
        <v>B</v>
      </c>
      <c r="M78" s="113" t="s">
        <v>354</v>
      </c>
      <c r="N78" s="217" t="s">
        <v>49</v>
      </c>
      <c r="O78" s="217" t="s">
        <v>49</v>
      </c>
      <c r="Q78" s="112" t="s">
        <v>121</v>
      </c>
      <c r="R78" s="244" t="s">
        <v>222</v>
      </c>
    </row>
    <row r="79" spans="1:18" ht="18">
      <c r="A79" s="51" t="s">
        <v>119</v>
      </c>
      <c r="B79" s="205" t="str">
        <f t="shared" si="4"/>
        <v>AA</v>
      </c>
      <c r="C79" s="206" t="str">
        <f t="shared" si="5"/>
        <v>Aa2</v>
      </c>
      <c r="E79" s="159" t="s">
        <v>119</v>
      </c>
      <c r="F79" s="189" t="str">
        <f t="shared" si="6"/>
        <v>Aa2</v>
      </c>
      <c r="G79" s="189" t="s">
        <v>207</v>
      </c>
      <c r="M79" s="113" t="s">
        <v>343</v>
      </c>
      <c r="N79" s="217" t="s">
        <v>58</v>
      </c>
      <c r="O79" s="217" t="s">
        <v>58</v>
      </c>
      <c r="Q79" s="112" t="s">
        <v>122</v>
      </c>
      <c r="R79" s="243" t="s">
        <v>541</v>
      </c>
    </row>
    <row r="80" spans="1:18" ht="18">
      <c r="A80" s="51" t="s">
        <v>120</v>
      </c>
      <c r="B80" s="205" t="str">
        <f t="shared" si="4"/>
        <v>A+ </v>
      </c>
      <c r="C80" s="206" t="str">
        <f t="shared" si="5"/>
        <v>A1</v>
      </c>
      <c r="E80" s="159" t="s">
        <v>120</v>
      </c>
      <c r="F80" s="189" t="str">
        <f t="shared" si="6"/>
        <v>A1</v>
      </c>
      <c r="G80" s="189" t="str">
        <f t="shared" si="7"/>
        <v>A+ </v>
      </c>
      <c r="M80" s="113" t="s">
        <v>121</v>
      </c>
      <c r="N80" s="217" t="s">
        <v>43</v>
      </c>
      <c r="O80" s="217" t="s">
        <v>43</v>
      </c>
      <c r="Q80" s="112" t="s">
        <v>418</v>
      </c>
      <c r="R80" s="243" t="s">
        <v>143</v>
      </c>
    </row>
    <row r="81" spans="1:18" ht="18">
      <c r="A81" t="s">
        <v>353</v>
      </c>
      <c r="B81" s="205" t="str">
        <f t="shared" si="4"/>
        <v>NA</v>
      </c>
      <c r="C81" s="206" t="str">
        <f t="shared" si="5"/>
        <v>B2</v>
      </c>
      <c r="E81" s="159" t="s">
        <v>354</v>
      </c>
      <c r="F81" s="189" t="str">
        <f t="shared" si="6"/>
        <v>B2</v>
      </c>
      <c r="G81" s="189" t="s">
        <v>143</v>
      </c>
      <c r="M81" s="113" t="s">
        <v>122</v>
      </c>
      <c r="N81" s="217" t="s">
        <v>137</v>
      </c>
      <c r="O81" s="217" t="s">
        <v>137</v>
      </c>
      <c r="Q81" s="112" t="s">
        <v>223</v>
      </c>
      <c r="R81" s="244" t="s">
        <v>203</v>
      </c>
    </row>
    <row r="82" spans="1:18" ht="18">
      <c r="A82" t="str">
        <f>E82</f>
        <v>Laos</v>
      </c>
      <c r="B82" s="205" t="str">
        <f t="shared" si="4"/>
        <v>NA</v>
      </c>
      <c r="C82" s="206" t="str">
        <f t="shared" si="5"/>
        <v>Caa2</v>
      </c>
      <c r="E82" s="159" t="s">
        <v>343</v>
      </c>
      <c r="F82" s="189" t="str">
        <f t="shared" si="6"/>
        <v>Caa2</v>
      </c>
      <c r="G82" s="189" t="str">
        <f t="shared" si="7"/>
        <v>NA</v>
      </c>
      <c r="M82" s="113" t="s">
        <v>223</v>
      </c>
      <c r="N82" s="217" t="s">
        <v>47</v>
      </c>
      <c r="O82" s="217" t="s">
        <v>47</v>
      </c>
      <c r="Q82" s="112" t="s">
        <v>13</v>
      </c>
      <c r="R82" s="244" t="s">
        <v>222</v>
      </c>
    </row>
    <row r="83" spans="1:18" ht="18">
      <c r="A83" s="51" t="s">
        <v>121</v>
      </c>
      <c r="B83" s="205" t="str">
        <f t="shared" si="4"/>
        <v>A+</v>
      </c>
      <c r="C83" s="206" t="str">
        <f t="shared" si="5"/>
        <v>A3</v>
      </c>
      <c r="E83" s="159" t="s">
        <v>121</v>
      </c>
      <c r="F83" s="189" t="str">
        <f t="shared" si="6"/>
        <v>A3</v>
      </c>
      <c r="G83" s="189" t="str">
        <f t="shared" si="7"/>
        <v>A+</v>
      </c>
      <c r="M83" s="113" t="s">
        <v>13</v>
      </c>
      <c r="N83" s="217" t="s">
        <v>42</v>
      </c>
      <c r="O83" s="217" t="s">
        <v>42</v>
      </c>
      <c r="Q83" s="112" t="s">
        <v>185</v>
      </c>
      <c r="R83" s="244" t="s">
        <v>203</v>
      </c>
    </row>
    <row r="84" spans="1:18" ht="18">
      <c r="A84" s="51" t="s">
        <v>122</v>
      </c>
      <c r="B84" s="205" t="str">
        <f t="shared" si="4"/>
        <v>D</v>
      </c>
      <c r="C84" s="206" t="str">
        <f t="shared" si="5"/>
        <v>C</v>
      </c>
      <c r="E84" s="159" t="s">
        <v>122</v>
      </c>
      <c r="F84" s="189" t="str">
        <f t="shared" si="6"/>
        <v>C</v>
      </c>
      <c r="G84" s="189" t="str">
        <f t="shared" si="7"/>
        <v>D</v>
      </c>
      <c r="M84" s="113" t="s">
        <v>185</v>
      </c>
      <c r="N84" s="217" t="s">
        <v>47</v>
      </c>
      <c r="O84" s="217" t="s">
        <v>47</v>
      </c>
      <c r="Q84" s="112" t="s">
        <v>355</v>
      </c>
      <c r="R84" s="243" t="s">
        <v>143</v>
      </c>
    </row>
    <row r="85" spans="1:18" ht="18">
      <c r="A85" s="51" t="s">
        <v>223</v>
      </c>
      <c r="B85" s="205" t="str">
        <f t="shared" si="4"/>
        <v>AAA</v>
      </c>
      <c r="C85" s="206" t="str">
        <f t="shared" si="5"/>
        <v>Aaa</v>
      </c>
      <c r="E85" s="159" t="s">
        <v>223</v>
      </c>
      <c r="F85" s="189" t="str">
        <f t="shared" si="6"/>
        <v>Aaa</v>
      </c>
      <c r="G85" s="189" t="str">
        <f t="shared" si="7"/>
        <v>AAA</v>
      </c>
      <c r="M85" s="113" t="s">
        <v>528</v>
      </c>
      <c r="N85" s="217" t="s">
        <v>46</v>
      </c>
      <c r="O85" s="217" t="s">
        <v>46</v>
      </c>
      <c r="Q85" s="112" t="s">
        <v>146</v>
      </c>
      <c r="R85" s="242" t="s">
        <v>199</v>
      </c>
    </row>
    <row r="86" spans="1:18" ht="18">
      <c r="A86" s="51" t="s">
        <v>13</v>
      </c>
      <c r="B86" s="205" t="str">
        <f t="shared" si="4"/>
        <v>A+</v>
      </c>
      <c r="C86" s="206" t="str">
        <f t="shared" si="5"/>
        <v>A2</v>
      </c>
      <c r="E86" s="159" t="s">
        <v>13</v>
      </c>
      <c r="F86" s="189" t="str">
        <f t="shared" si="6"/>
        <v>A2</v>
      </c>
      <c r="G86" s="189" t="str">
        <f t="shared" si="7"/>
        <v>A+</v>
      </c>
      <c r="M86" s="113" t="s">
        <v>14</v>
      </c>
      <c r="N86" s="217" t="s">
        <v>43</v>
      </c>
      <c r="O86" s="217" t="s">
        <v>43</v>
      </c>
      <c r="Q86" s="112" t="s">
        <v>14</v>
      </c>
      <c r="R86" s="244" t="s">
        <v>542</v>
      </c>
    </row>
    <row r="87" spans="1:18" ht="18">
      <c r="A87" s="51" t="s">
        <v>185</v>
      </c>
      <c r="B87" s="205" t="str">
        <f t="shared" si="4"/>
        <v>AAA</v>
      </c>
      <c r="C87" s="206" t="str">
        <f t="shared" si="5"/>
        <v>Aaa</v>
      </c>
      <c r="E87" s="159" t="s">
        <v>185</v>
      </c>
      <c r="F87" s="189" t="str">
        <f t="shared" si="6"/>
        <v>Aaa</v>
      </c>
      <c r="G87" s="189" t="str">
        <f t="shared" si="7"/>
        <v>AAA</v>
      </c>
      <c r="M87" s="113" t="s">
        <v>414</v>
      </c>
      <c r="N87" s="217" t="s">
        <v>100</v>
      </c>
      <c r="O87" s="217" t="s">
        <v>100</v>
      </c>
      <c r="Q87" s="112" t="s">
        <v>414</v>
      </c>
      <c r="R87" s="243" t="s">
        <v>143</v>
      </c>
    </row>
    <row r="88" spans="1:18" ht="18">
      <c r="A88" s="51" t="s">
        <v>32</v>
      </c>
      <c r="B88" s="205" t="str">
        <f t="shared" si="4"/>
        <v>NA</v>
      </c>
      <c r="C88" s="206" t="str">
        <f t="shared" si="5"/>
        <v>Aa3</v>
      </c>
      <c r="E88" s="159" t="s">
        <v>32</v>
      </c>
      <c r="F88" s="189" t="s">
        <v>46</v>
      </c>
      <c r="G88" s="189" t="s">
        <v>143</v>
      </c>
      <c r="M88" s="113" t="s">
        <v>325</v>
      </c>
      <c r="N88" s="217" t="s">
        <v>100</v>
      </c>
      <c r="O88" s="217" t="s">
        <v>100</v>
      </c>
      <c r="Q88" s="112" t="s">
        <v>325</v>
      </c>
      <c r="R88" s="243" t="s">
        <v>143</v>
      </c>
    </row>
    <row r="89" spans="1:18" ht="18">
      <c r="A89" s="51" t="s">
        <v>146</v>
      </c>
      <c r="B89" s="205" t="str">
        <f t="shared" si="4"/>
        <v>BB-</v>
      </c>
      <c r="C89" s="206" t="str">
        <f t="shared" si="5"/>
        <v>NA</v>
      </c>
      <c r="E89" s="203" t="s">
        <v>146</v>
      </c>
      <c r="F89" s="189" t="s">
        <v>143</v>
      </c>
      <c r="G89" s="189" t="str">
        <f t="shared" si="7"/>
        <v>BB-</v>
      </c>
      <c r="M89" s="113" t="s">
        <v>186</v>
      </c>
      <c r="N89" s="217" t="s">
        <v>42</v>
      </c>
      <c r="O89" s="217" t="s">
        <v>42</v>
      </c>
      <c r="Q89" s="112" t="s">
        <v>186</v>
      </c>
      <c r="R89" s="244" t="s">
        <v>198</v>
      </c>
    </row>
    <row r="90" spans="1:18" ht="18">
      <c r="A90" s="51" t="s">
        <v>14</v>
      </c>
      <c r="B90" s="205" t="str">
        <f t="shared" si="4"/>
        <v>A- </v>
      </c>
      <c r="C90" s="206" t="str">
        <f t="shared" si="5"/>
        <v>A3</v>
      </c>
      <c r="E90" s="159" t="s">
        <v>14</v>
      </c>
      <c r="F90" s="189" t="str">
        <f t="shared" si="6"/>
        <v>A3</v>
      </c>
      <c r="G90" s="189" t="str">
        <f t="shared" si="7"/>
        <v>A- </v>
      </c>
      <c r="M90" s="113" t="s">
        <v>15</v>
      </c>
      <c r="N90" s="217" t="s">
        <v>83</v>
      </c>
      <c r="O90" s="217" t="s">
        <v>83</v>
      </c>
      <c r="Q90" s="112" t="s">
        <v>15</v>
      </c>
      <c r="R90" s="243" t="s">
        <v>143</v>
      </c>
    </row>
    <row r="91" spans="1:18" ht="18">
      <c r="A91" s="51" t="s">
        <v>414</v>
      </c>
      <c r="B91" s="205" t="str">
        <f t="shared" si="4"/>
        <v>NA</v>
      </c>
      <c r="C91" s="206" t="str">
        <f t="shared" si="5"/>
        <v>Caa1</v>
      </c>
      <c r="E91" s="159" t="s">
        <v>414</v>
      </c>
      <c r="F91" s="189" t="str">
        <f t="shared" si="6"/>
        <v>Caa1</v>
      </c>
      <c r="G91" s="189" t="str">
        <f t="shared" si="7"/>
        <v>NA</v>
      </c>
      <c r="M91" s="113" t="s">
        <v>16</v>
      </c>
      <c r="N91" s="217" t="s">
        <v>82</v>
      </c>
      <c r="O91" s="217" t="s">
        <v>82</v>
      </c>
      <c r="Q91" s="112" t="s">
        <v>16</v>
      </c>
      <c r="R91" s="242" t="s">
        <v>539</v>
      </c>
    </row>
    <row r="92" spans="1:18" ht="18">
      <c r="A92" s="156" t="s">
        <v>325</v>
      </c>
      <c r="B92" s="205" t="str">
        <f t="shared" si="4"/>
        <v>NA</v>
      </c>
      <c r="C92" s="206" t="str">
        <f t="shared" si="5"/>
        <v>Caa1</v>
      </c>
      <c r="E92" s="159" t="s">
        <v>325</v>
      </c>
      <c r="F92" s="189" t="str">
        <f t="shared" si="6"/>
        <v>Caa1</v>
      </c>
      <c r="G92" s="189" t="str">
        <f t="shared" si="7"/>
        <v>NA</v>
      </c>
      <c r="M92" s="113" t="s">
        <v>17</v>
      </c>
      <c r="N92" s="217" t="s">
        <v>78</v>
      </c>
      <c r="O92" s="217" t="s">
        <v>78</v>
      </c>
      <c r="Q92" s="112" t="s">
        <v>17</v>
      </c>
      <c r="R92" s="243" t="s">
        <v>143</v>
      </c>
    </row>
    <row r="93" spans="1:18" ht="18">
      <c r="A93" s="51" t="s">
        <v>186</v>
      </c>
      <c r="B93" s="205" t="str">
        <f t="shared" si="4"/>
        <v>A-</v>
      </c>
      <c r="C93" s="206" t="str">
        <f t="shared" si="5"/>
        <v>A2</v>
      </c>
      <c r="E93" s="159" t="s">
        <v>186</v>
      </c>
      <c r="F93" s="189" t="str">
        <f t="shared" si="6"/>
        <v>A2</v>
      </c>
      <c r="G93" s="189" t="str">
        <f t="shared" si="7"/>
        <v>A-</v>
      </c>
      <c r="M93" s="113" t="s">
        <v>63</v>
      </c>
      <c r="N93" s="217" t="s">
        <v>78</v>
      </c>
      <c r="O93" s="217" t="s">
        <v>78</v>
      </c>
      <c r="Q93" s="112" t="s">
        <v>63</v>
      </c>
      <c r="R93" s="242" t="s">
        <v>209</v>
      </c>
    </row>
    <row r="94" spans="1:18" ht="18">
      <c r="A94" s="51" t="s">
        <v>15</v>
      </c>
      <c r="B94" s="205" t="str">
        <f t="shared" si="4"/>
        <v>NA</v>
      </c>
      <c r="C94" s="206" t="str">
        <f t="shared" si="5"/>
        <v>Baa2</v>
      </c>
      <c r="E94" s="159" t="s">
        <v>15</v>
      </c>
      <c r="F94" s="189" t="str">
        <f t="shared" si="6"/>
        <v>Baa2</v>
      </c>
      <c r="G94" s="189" t="str">
        <f t="shared" si="7"/>
        <v>NA</v>
      </c>
      <c r="M94" s="113" t="s">
        <v>8</v>
      </c>
      <c r="N94" s="217" t="s">
        <v>48</v>
      </c>
      <c r="O94" s="217" t="s">
        <v>514</v>
      </c>
      <c r="Q94" s="112" t="s">
        <v>8</v>
      </c>
      <c r="R94" s="242" t="s">
        <v>209</v>
      </c>
    </row>
    <row r="95" spans="1:18" ht="18">
      <c r="A95" s="51" t="s">
        <v>16</v>
      </c>
      <c r="B95" s="205" t="str">
        <f t="shared" si="4"/>
        <v>BBB </v>
      </c>
      <c r="C95" s="206" t="str">
        <f t="shared" si="5"/>
        <v>Baa1</v>
      </c>
      <c r="E95" s="159" t="s">
        <v>16</v>
      </c>
      <c r="F95" s="189" t="str">
        <f t="shared" si="6"/>
        <v>Baa1</v>
      </c>
      <c r="G95" s="189" t="str">
        <f t="shared" si="7"/>
        <v>BBB </v>
      </c>
      <c r="M95" s="113" t="s">
        <v>18</v>
      </c>
      <c r="N95" s="217" t="s">
        <v>79</v>
      </c>
      <c r="O95" s="217" t="s">
        <v>79</v>
      </c>
      <c r="Q95" s="112" t="s">
        <v>225</v>
      </c>
      <c r="R95" s="242" t="s">
        <v>205</v>
      </c>
    </row>
    <row r="96" spans="1:18" ht="18">
      <c r="A96" s="51" t="s">
        <v>17</v>
      </c>
      <c r="B96" s="205" t="str">
        <f t="shared" si="4"/>
        <v>NA</v>
      </c>
      <c r="C96" s="206" t="str">
        <f t="shared" si="5"/>
        <v>B3</v>
      </c>
      <c r="E96" s="159" t="s">
        <v>17</v>
      </c>
      <c r="F96" s="189" t="str">
        <f t="shared" si="6"/>
        <v>B3</v>
      </c>
      <c r="G96" s="189" t="str">
        <f t="shared" si="7"/>
        <v>NA</v>
      </c>
      <c r="M96" s="220" t="s">
        <v>226</v>
      </c>
      <c r="N96" s="217" t="s">
        <v>58</v>
      </c>
      <c r="O96" s="217" t="s">
        <v>58</v>
      </c>
      <c r="Q96" s="112" t="s">
        <v>18</v>
      </c>
      <c r="R96" s="242" t="s">
        <v>216</v>
      </c>
    </row>
    <row r="97" spans="1:18" ht="18">
      <c r="A97" s="51" t="s">
        <v>63</v>
      </c>
      <c r="B97" s="205" t="str">
        <f t="shared" si="4"/>
        <v>B</v>
      </c>
      <c r="C97" s="206" t="str">
        <f t="shared" si="5"/>
        <v>B3</v>
      </c>
      <c r="E97" s="159" t="s">
        <v>63</v>
      </c>
      <c r="F97" s="189" t="str">
        <f t="shared" si="6"/>
        <v>B3</v>
      </c>
      <c r="G97" s="189" t="str">
        <f t="shared" si="7"/>
        <v>B</v>
      </c>
      <c r="M97" s="113" t="s">
        <v>136</v>
      </c>
      <c r="N97" s="217" t="s">
        <v>81</v>
      </c>
      <c r="O97" s="217" t="s">
        <v>81</v>
      </c>
      <c r="Q97" s="112" t="s">
        <v>226</v>
      </c>
      <c r="R97" s="243" t="s">
        <v>218</v>
      </c>
    </row>
    <row r="98" spans="1:18" ht="18">
      <c r="A98" s="51" t="s">
        <v>8</v>
      </c>
      <c r="B98" s="205" t="str">
        <f t="shared" si="4"/>
        <v>B</v>
      </c>
      <c r="C98" s="206" t="str">
        <f t="shared" si="5"/>
        <v>B1</v>
      </c>
      <c r="E98" s="159" t="s">
        <v>8</v>
      </c>
      <c r="F98" s="189" t="str">
        <f t="shared" si="6"/>
        <v>B1</v>
      </c>
      <c r="G98" s="189" t="str">
        <f t="shared" si="7"/>
        <v>B</v>
      </c>
      <c r="M98" s="113" t="s">
        <v>187</v>
      </c>
      <c r="N98" s="217" t="s">
        <v>47</v>
      </c>
      <c r="O98" s="217" t="s">
        <v>47</v>
      </c>
      <c r="Q98" s="112" t="s">
        <v>136</v>
      </c>
      <c r="R98" s="243" t="s">
        <v>143</v>
      </c>
    </row>
    <row r="99" spans="1:18" ht="18">
      <c r="A99" s="51" t="s">
        <v>225</v>
      </c>
      <c r="B99" s="205" t="str">
        <f t="shared" si="4"/>
        <v>BBB-</v>
      </c>
      <c r="C99" s="206" t="str">
        <f t="shared" si="5"/>
        <v>NA</v>
      </c>
      <c r="E99" s="203" t="s">
        <v>225</v>
      </c>
      <c r="F99" s="189" t="s">
        <v>143</v>
      </c>
      <c r="G99" s="189" t="str">
        <f t="shared" si="7"/>
        <v>BBB-</v>
      </c>
      <c r="M99" s="113" t="s">
        <v>21</v>
      </c>
      <c r="N99" s="217" t="s">
        <v>47</v>
      </c>
      <c r="O99" s="217" t="s">
        <v>47</v>
      </c>
      <c r="Q99" s="112" t="s">
        <v>187</v>
      </c>
      <c r="R99" s="244" t="s">
        <v>203</v>
      </c>
    </row>
    <row r="100" spans="1:18" ht="18">
      <c r="A100" s="51" t="s">
        <v>18</v>
      </c>
      <c r="B100" s="205" t="str">
        <f t="shared" si="4"/>
        <v>BB+</v>
      </c>
      <c r="C100" s="206" t="str">
        <f t="shared" si="5"/>
        <v>Ba1</v>
      </c>
      <c r="E100" s="159" t="s">
        <v>18</v>
      </c>
      <c r="F100" s="189" t="str">
        <f t="shared" si="6"/>
        <v>Ba1</v>
      </c>
      <c r="G100" s="189" t="str">
        <f t="shared" si="7"/>
        <v>BB+</v>
      </c>
      <c r="M100" s="113" t="s">
        <v>22</v>
      </c>
      <c r="N100" s="217" t="s">
        <v>78</v>
      </c>
      <c r="O100" s="217" t="s">
        <v>78</v>
      </c>
      <c r="Q100" s="112" t="s">
        <v>21</v>
      </c>
      <c r="R100" s="244" t="s">
        <v>204</v>
      </c>
    </row>
    <row r="101" spans="1:18" ht="18">
      <c r="A101" s="51" t="s">
        <v>226</v>
      </c>
      <c r="B101" s="205" t="str">
        <f t="shared" si="4"/>
        <v>CCC+</v>
      </c>
      <c r="C101" s="206" t="str">
        <f t="shared" si="5"/>
        <v>Caa2</v>
      </c>
      <c r="E101" s="191" t="s">
        <v>226</v>
      </c>
      <c r="F101" s="189" t="str">
        <f t="shared" si="6"/>
        <v>Caa2</v>
      </c>
      <c r="G101" s="189" t="str">
        <f t="shared" si="7"/>
        <v>CCC+</v>
      </c>
      <c r="M101" s="113" t="s">
        <v>321</v>
      </c>
      <c r="N101" s="217" t="s">
        <v>78</v>
      </c>
      <c r="O101" s="217" t="s">
        <v>78</v>
      </c>
      <c r="Q101" s="112" t="s">
        <v>22</v>
      </c>
      <c r="R101" s="242" t="s">
        <v>200</v>
      </c>
    </row>
    <row r="102" spans="1:18" ht="18">
      <c r="A102" s="51" t="s">
        <v>136</v>
      </c>
      <c r="B102" s="205" t="str">
        <f t="shared" si="4"/>
        <v>NA</v>
      </c>
      <c r="C102" s="206" t="str">
        <f t="shared" si="5"/>
        <v>Ba3</v>
      </c>
      <c r="E102" s="159" t="s">
        <v>136</v>
      </c>
      <c r="F102" s="189" t="str">
        <f t="shared" si="6"/>
        <v>Ba3</v>
      </c>
      <c r="G102" s="189" t="str">
        <f t="shared" si="7"/>
        <v>NA</v>
      </c>
      <c r="M102" s="113" t="s">
        <v>188</v>
      </c>
      <c r="N102" s="217" t="s">
        <v>49</v>
      </c>
      <c r="O102" s="217" t="s">
        <v>49</v>
      </c>
      <c r="Q102" s="112" t="s">
        <v>321</v>
      </c>
      <c r="R102" s="243" t="s">
        <v>143</v>
      </c>
    </row>
    <row r="103" spans="1:18" ht="18">
      <c r="A103" s="51" t="s">
        <v>187</v>
      </c>
      <c r="B103" s="205" t="str">
        <f t="shared" si="4"/>
        <v>AAA</v>
      </c>
      <c r="C103" s="206" t="str">
        <f t="shared" si="5"/>
        <v>Aaa</v>
      </c>
      <c r="E103" s="159" t="s">
        <v>187</v>
      </c>
      <c r="F103" s="189" t="str">
        <f t="shared" si="6"/>
        <v>Aaa</v>
      </c>
      <c r="G103" s="189" t="str">
        <f t="shared" si="7"/>
        <v>AAA</v>
      </c>
      <c r="M103" s="113" t="s">
        <v>23</v>
      </c>
      <c r="N103" s="217" t="s">
        <v>47</v>
      </c>
      <c r="O103" s="217" t="s">
        <v>47</v>
      </c>
      <c r="Q103" s="112" t="s">
        <v>188</v>
      </c>
      <c r="R103" s="242" t="s">
        <v>200</v>
      </c>
    </row>
    <row r="104" spans="1:18" ht="18">
      <c r="A104" s="51" t="s">
        <v>21</v>
      </c>
      <c r="B104" s="205" t="str">
        <f t="shared" si="4"/>
        <v>AA+</v>
      </c>
      <c r="C104" s="206" t="str">
        <f t="shared" si="5"/>
        <v>Aaa</v>
      </c>
      <c r="E104" s="159" t="s">
        <v>21</v>
      </c>
      <c r="F104" s="189" t="str">
        <f t="shared" si="6"/>
        <v>Aaa</v>
      </c>
      <c r="G104" s="189" t="str">
        <f t="shared" si="7"/>
        <v>AA+</v>
      </c>
      <c r="M104" s="113" t="s">
        <v>24</v>
      </c>
      <c r="N104" s="217" t="s">
        <v>81</v>
      </c>
      <c r="O104" s="217" t="s">
        <v>81</v>
      </c>
      <c r="Q104" s="112" t="s">
        <v>543</v>
      </c>
      <c r="R104" s="244" t="s">
        <v>203</v>
      </c>
    </row>
    <row r="105" spans="1:18" ht="18">
      <c r="A105" s="51" t="s">
        <v>22</v>
      </c>
      <c r="B105" s="205" t="str">
        <f t="shared" si="4"/>
        <v>B-</v>
      </c>
      <c r="C105" s="206" t="str">
        <f t="shared" si="5"/>
        <v>B3</v>
      </c>
      <c r="E105" s="159" t="s">
        <v>22</v>
      </c>
      <c r="F105" s="189" t="str">
        <f t="shared" si="6"/>
        <v>B3</v>
      </c>
      <c r="G105" s="189" t="str">
        <f t="shared" si="7"/>
        <v>B-</v>
      </c>
      <c r="M105" s="113" t="s">
        <v>25</v>
      </c>
      <c r="N105" s="217" t="s">
        <v>78</v>
      </c>
      <c r="O105" s="217" t="s">
        <v>78</v>
      </c>
      <c r="Q105" s="112" t="s">
        <v>24</v>
      </c>
      <c r="R105" s="242" t="s">
        <v>531</v>
      </c>
    </row>
    <row r="106" spans="1:18" ht="18">
      <c r="A106" s="113" t="s">
        <v>321</v>
      </c>
      <c r="B106" s="205" t="str">
        <f t="shared" si="4"/>
        <v>NA</v>
      </c>
      <c r="C106" s="206" t="str">
        <f t="shared" si="5"/>
        <v>B3</v>
      </c>
      <c r="E106" s="159" t="s">
        <v>321</v>
      </c>
      <c r="F106" s="189" t="str">
        <f t="shared" si="6"/>
        <v>B3</v>
      </c>
      <c r="G106" s="189" t="str">
        <f t="shared" si="7"/>
        <v>NA</v>
      </c>
      <c r="M106" s="113" t="s">
        <v>26</v>
      </c>
      <c r="N106" s="217" t="s">
        <v>83</v>
      </c>
      <c r="O106" s="217" t="s">
        <v>83</v>
      </c>
      <c r="Q106" s="112" t="s">
        <v>25</v>
      </c>
      <c r="R106" s="242" t="s">
        <v>200</v>
      </c>
    </row>
    <row r="107" spans="1:18" ht="18">
      <c r="A107" s="51" t="s">
        <v>188</v>
      </c>
      <c r="B107" s="205" t="str">
        <f t="shared" si="4"/>
        <v>B-</v>
      </c>
      <c r="C107" s="206" t="str">
        <f t="shared" si="5"/>
        <v>B2</v>
      </c>
      <c r="E107" s="159" t="s">
        <v>188</v>
      </c>
      <c r="F107" s="189" t="str">
        <f t="shared" si="6"/>
        <v>B2</v>
      </c>
      <c r="G107" s="189" t="str">
        <f t="shared" si="7"/>
        <v>B-</v>
      </c>
      <c r="M107" s="113" t="s">
        <v>529</v>
      </c>
      <c r="N107" s="217" t="s">
        <v>143</v>
      </c>
      <c r="O107" s="217" t="s">
        <v>143</v>
      </c>
      <c r="Q107" s="112" t="s">
        <v>26</v>
      </c>
      <c r="R107" s="242" t="s">
        <v>539</v>
      </c>
    </row>
    <row r="108" spans="1:18" ht="18">
      <c r="A108" s="51" t="s">
        <v>23</v>
      </c>
      <c r="B108" s="205" t="str">
        <f t="shared" si="4"/>
        <v>AAA</v>
      </c>
      <c r="C108" s="206" t="str">
        <f t="shared" si="5"/>
        <v>Aaa</v>
      </c>
      <c r="E108" s="159" t="s">
        <v>23</v>
      </c>
      <c r="F108" s="189" t="str">
        <f t="shared" si="6"/>
        <v>Aaa</v>
      </c>
      <c r="G108" s="189" t="s">
        <v>203</v>
      </c>
      <c r="M108" s="218" t="s">
        <v>9</v>
      </c>
      <c r="N108" s="219" t="s">
        <v>49</v>
      </c>
      <c r="O108" s="219" t="s">
        <v>49</v>
      </c>
      <c r="Q108" s="112" t="s">
        <v>9</v>
      </c>
      <c r="R108" s="242" t="s">
        <v>535</v>
      </c>
    </row>
    <row r="109" spans="1:18" ht="18">
      <c r="A109" s="51" t="s">
        <v>24</v>
      </c>
      <c r="B109" s="205" t="str">
        <f t="shared" si="4"/>
        <v>B+ </v>
      </c>
      <c r="C109" s="206" t="str">
        <f t="shared" si="5"/>
        <v>Ba3</v>
      </c>
      <c r="E109" s="159" t="s">
        <v>24</v>
      </c>
      <c r="F109" s="189" t="str">
        <f t="shared" si="6"/>
        <v>Ba3</v>
      </c>
      <c r="G109" s="189" t="str">
        <f t="shared" si="7"/>
        <v>B+ </v>
      </c>
      <c r="M109" s="113" t="s">
        <v>27</v>
      </c>
      <c r="N109" s="217" t="s">
        <v>79</v>
      </c>
      <c r="O109" s="217" t="s">
        <v>79</v>
      </c>
      <c r="Q109" s="112" t="s">
        <v>27</v>
      </c>
      <c r="R109" s="242" t="s">
        <v>215</v>
      </c>
    </row>
    <row r="110" spans="1:18" ht="18">
      <c r="A110" s="51" t="s">
        <v>25</v>
      </c>
      <c r="B110" s="205" t="str">
        <f t="shared" si="4"/>
        <v>B-</v>
      </c>
      <c r="C110" s="206" t="str">
        <f t="shared" si="5"/>
        <v>B3</v>
      </c>
      <c r="E110" s="159" t="s">
        <v>25</v>
      </c>
      <c r="F110" s="189" t="str">
        <f t="shared" si="6"/>
        <v>B3</v>
      </c>
      <c r="G110" s="189" t="str">
        <f t="shared" si="7"/>
        <v>B-</v>
      </c>
      <c r="M110" s="113" t="s">
        <v>28</v>
      </c>
      <c r="N110" s="217" t="s">
        <v>82</v>
      </c>
      <c r="O110" s="217" t="s">
        <v>82</v>
      </c>
      <c r="Q110" s="112" t="s">
        <v>567</v>
      </c>
      <c r="R110" s="242" t="s">
        <v>533</v>
      </c>
    </row>
    <row r="111" spans="1:18" ht="18">
      <c r="A111" s="51" t="s">
        <v>26</v>
      </c>
      <c r="B111" s="205" t="str">
        <f t="shared" si="4"/>
        <v>BBB </v>
      </c>
      <c r="C111" s="206" t="str">
        <f t="shared" si="5"/>
        <v>Baa2</v>
      </c>
      <c r="E111" s="159" t="s">
        <v>26</v>
      </c>
      <c r="F111" s="189" t="str">
        <f t="shared" si="6"/>
        <v>Baa2</v>
      </c>
      <c r="G111" s="189" t="str">
        <f t="shared" si="7"/>
        <v>BBB </v>
      </c>
      <c r="M111" s="113" t="s">
        <v>29</v>
      </c>
      <c r="N111" s="217" t="s">
        <v>83</v>
      </c>
      <c r="O111" s="217" t="s">
        <v>83</v>
      </c>
      <c r="Q111" s="112" t="s">
        <v>29</v>
      </c>
      <c r="R111" s="242" t="s">
        <v>202</v>
      </c>
    </row>
    <row r="112" spans="1:18" ht="18">
      <c r="A112" s="51" t="s">
        <v>9</v>
      </c>
      <c r="B112" s="205" t="str">
        <f t="shared" si="4"/>
        <v>B- </v>
      </c>
      <c r="C112" s="206" t="str">
        <f t="shared" si="5"/>
        <v>B2</v>
      </c>
      <c r="E112" s="190" t="s">
        <v>9</v>
      </c>
      <c r="F112" s="189" t="str">
        <f t="shared" si="6"/>
        <v>B2</v>
      </c>
      <c r="G112" s="189" t="str">
        <f t="shared" si="7"/>
        <v>B- </v>
      </c>
      <c r="M112" s="113" t="s">
        <v>30</v>
      </c>
      <c r="N112" s="217" t="s">
        <v>42</v>
      </c>
      <c r="O112" s="217" t="s">
        <v>42</v>
      </c>
      <c r="Q112" s="112" t="s">
        <v>30</v>
      </c>
      <c r="R112" s="244" t="s">
        <v>198</v>
      </c>
    </row>
    <row r="113" spans="1:18" ht="18">
      <c r="A113" s="51" t="s">
        <v>27</v>
      </c>
      <c r="B113" s="205" t="str">
        <f t="shared" si="4"/>
        <v>BB</v>
      </c>
      <c r="C113" s="206" t="str">
        <f t="shared" si="5"/>
        <v>Ba1</v>
      </c>
      <c r="E113" s="159" t="s">
        <v>27</v>
      </c>
      <c r="F113" s="189" t="str">
        <f t="shared" si="6"/>
        <v>Ba1</v>
      </c>
      <c r="G113" s="189" t="str">
        <f t="shared" si="7"/>
        <v>BB</v>
      </c>
      <c r="M113" s="113" t="s">
        <v>189</v>
      </c>
      <c r="N113" s="217" t="s">
        <v>83</v>
      </c>
      <c r="O113" s="217" t="s">
        <v>83</v>
      </c>
      <c r="Q113" s="112" t="s">
        <v>189</v>
      </c>
      <c r="R113" s="242" t="s">
        <v>206</v>
      </c>
    </row>
    <row r="114" spans="1:18" ht="18">
      <c r="A114" s="51" t="s">
        <v>28</v>
      </c>
      <c r="B114" s="205" t="e">
        <f t="shared" si="4"/>
        <v>#N/A</v>
      </c>
      <c r="C114" s="206" t="str">
        <f t="shared" si="5"/>
        <v>Baa1</v>
      </c>
      <c r="E114" s="159" t="s">
        <v>28</v>
      </c>
      <c r="F114" s="189" t="str">
        <f t="shared" si="6"/>
        <v>Baa1</v>
      </c>
      <c r="G114" s="189" t="e">
        <f t="shared" si="7"/>
        <v>#N/A</v>
      </c>
      <c r="M114" s="113" t="s">
        <v>74</v>
      </c>
      <c r="N114" s="217" t="s">
        <v>46</v>
      </c>
      <c r="O114" s="217" t="s">
        <v>46</v>
      </c>
      <c r="Q114" s="112" t="s">
        <v>401</v>
      </c>
      <c r="R114" s="243" t="s">
        <v>544</v>
      </c>
    </row>
    <row r="115" spans="1:18" ht="18">
      <c r="A115" s="51" t="s">
        <v>29</v>
      </c>
      <c r="B115" s="205" t="str">
        <f t="shared" si="4"/>
        <v>BBB+</v>
      </c>
      <c r="C115" s="206" t="str">
        <f t="shared" si="5"/>
        <v>Baa2</v>
      </c>
      <c r="E115" s="159" t="s">
        <v>29</v>
      </c>
      <c r="F115" s="189" t="str">
        <f t="shared" si="6"/>
        <v>Baa2</v>
      </c>
      <c r="G115" s="189" t="str">
        <f t="shared" si="7"/>
        <v>BBB+</v>
      </c>
      <c r="M115" s="113" t="s">
        <v>274</v>
      </c>
      <c r="N115" s="217" t="s">
        <v>58</v>
      </c>
      <c r="O115" s="217" t="s">
        <v>58</v>
      </c>
      <c r="Q115" s="112" t="s">
        <v>74</v>
      </c>
      <c r="R115" s="244" t="s">
        <v>210</v>
      </c>
    </row>
    <row r="116" spans="1:18" ht="18">
      <c r="A116" s="51" t="s">
        <v>30</v>
      </c>
      <c r="B116" s="205" t="str">
        <f t="shared" si="4"/>
        <v>A-</v>
      </c>
      <c r="C116" s="206" t="str">
        <f t="shared" si="5"/>
        <v>A2</v>
      </c>
      <c r="E116" s="159" t="s">
        <v>30</v>
      </c>
      <c r="F116" s="189" t="str">
        <f t="shared" si="6"/>
        <v>A2</v>
      </c>
      <c r="G116" s="189" t="str">
        <f t="shared" si="7"/>
        <v>A-</v>
      </c>
      <c r="M116" s="113" t="s">
        <v>0</v>
      </c>
      <c r="N116" s="217" t="s">
        <v>124</v>
      </c>
      <c r="O116" s="217" t="s">
        <v>124</v>
      </c>
      <c r="Q116" s="112" t="s">
        <v>274</v>
      </c>
      <c r="R116" s="243" t="s">
        <v>218</v>
      </c>
    </row>
    <row r="117" spans="1:18" ht="18">
      <c r="A117" s="51" t="s">
        <v>189</v>
      </c>
      <c r="B117" s="205" t="str">
        <f t="shared" si="4"/>
        <v>BBB</v>
      </c>
      <c r="C117" s="206" t="str">
        <f t="shared" si="5"/>
        <v>Baa2</v>
      </c>
      <c r="E117" s="159" t="s">
        <v>189</v>
      </c>
      <c r="F117" s="189" t="str">
        <f t="shared" si="6"/>
        <v>Baa2</v>
      </c>
      <c r="G117" s="189" t="str">
        <f t="shared" si="7"/>
        <v>BBB</v>
      </c>
      <c r="M117" s="218" t="s">
        <v>1</v>
      </c>
      <c r="N117" s="219" t="s">
        <v>124</v>
      </c>
      <c r="O117" s="219" t="s">
        <v>124</v>
      </c>
      <c r="Q117" s="112" t="s">
        <v>0</v>
      </c>
      <c r="R117" s="242" t="s">
        <v>205</v>
      </c>
    </row>
    <row r="118" spans="1:18" ht="18">
      <c r="A118" s="51" t="s">
        <v>74</v>
      </c>
      <c r="B118" s="205" t="str">
        <f t="shared" si="4"/>
        <v>AA-</v>
      </c>
      <c r="C118" s="206" t="str">
        <f t="shared" si="5"/>
        <v>Aa3</v>
      </c>
      <c r="E118" s="159" t="s">
        <v>74</v>
      </c>
      <c r="F118" s="189" t="str">
        <f t="shared" si="6"/>
        <v>Aa3</v>
      </c>
      <c r="G118" s="189" t="str">
        <f t="shared" si="7"/>
        <v>AA-</v>
      </c>
      <c r="M118" s="218" t="s">
        <v>227</v>
      </c>
      <c r="N118" s="219" t="s">
        <v>49</v>
      </c>
      <c r="O118" s="219" t="s">
        <v>49</v>
      </c>
      <c r="Q118" s="112" t="s">
        <v>1</v>
      </c>
      <c r="R118" s="242" t="s">
        <v>205</v>
      </c>
    </row>
    <row r="119" spans="1:18" ht="18">
      <c r="A119" s="51" t="s">
        <v>291</v>
      </c>
      <c r="B119" s="205" t="str">
        <f t="shared" si="4"/>
        <v>A-</v>
      </c>
      <c r="C119" s="206" t="str">
        <f t="shared" si="5"/>
        <v>NA</v>
      </c>
      <c r="E119" s="204" t="s">
        <v>291</v>
      </c>
      <c r="F119" s="189" t="s">
        <v>143</v>
      </c>
      <c r="G119" s="189" t="s">
        <v>198</v>
      </c>
      <c r="M119" s="113" t="s">
        <v>2</v>
      </c>
      <c r="N119" s="217" t="s">
        <v>41</v>
      </c>
      <c r="O119" s="217" t="s">
        <v>41</v>
      </c>
      <c r="Q119" s="112" t="s">
        <v>227</v>
      </c>
      <c r="R119" s="242" t="s">
        <v>531</v>
      </c>
    </row>
    <row r="120" spans="1:18" ht="18">
      <c r="A120" s="51" t="s">
        <v>0</v>
      </c>
      <c r="B120" s="205" t="str">
        <f t="shared" si="4"/>
        <v>BBB-</v>
      </c>
      <c r="C120" s="206" t="str">
        <f t="shared" si="5"/>
        <v>Baa3</v>
      </c>
      <c r="E120" s="159" t="s">
        <v>0</v>
      </c>
      <c r="F120" s="189" t="str">
        <f t="shared" si="6"/>
        <v>Baa3</v>
      </c>
      <c r="G120" s="189" t="str">
        <f t="shared" si="7"/>
        <v>BBB-</v>
      </c>
      <c r="M120" s="113" t="s">
        <v>135</v>
      </c>
      <c r="N120" s="217" t="s">
        <v>81</v>
      </c>
      <c r="O120" s="217" t="s">
        <v>81</v>
      </c>
      <c r="Q120" s="112" t="s">
        <v>465</v>
      </c>
      <c r="R120" s="243" t="s">
        <v>143</v>
      </c>
    </row>
    <row r="121" spans="1:18" ht="18">
      <c r="A121" s="51" t="s">
        <v>1</v>
      </c>
      <c r="B121" s="205" t="str">
        <f t="shared" si="4"/>
        <v>BBB-</v>
      </c>
      <c r="C121" s="206" t="str">
        <f t="shared" si="5"/>
        <v>Baa3</v>
      </c>
      <c r="E121" s="190" t="s">
        <v>1</v>
      </c>
      <c r="F121" s="189" t="str">
        <f t="shared" si="6"/>
        <v>Baa3</v>
      </c>
      <c r="G121" s="189" t="str">
        <f t="shared" si="7"/>
        <v>BBB-</v>
      </c>
      <c r="M121" s="113" t="s">
        <v>147</v>
      </c>
      <c r="N121" s="217" t="s">
        <v>80</v>
      </c>
      <c r="O121" s="217" t="s">
        <v>80</v>
      </c>
      <c r="Q121" s="112" t="s">
        <v>2</v>
      </c>
      <c r="R121" s="244" t="s">
        <v>198</v>
      </c>
    </row>
    <row r="122" spans="1:18" ht="18">
      <c r="A122" s="51" t="s">
        <v>227</v>
      </c>
      <c r="B122" s="205" t="str">
        <f t="shared" si="4"/>
        <v>B+ </v>
      </c>
      <c r="C122" s="206" t="str">
        <f t="shared" si="5"/>
        <v>B2</v>
      </c>
      <c r="E122" s="190" t="s">
        <v>227</v>
      </c>
      <c r="F122" s="189" t="str">
        <f t="shared" si="6"/>
        <v>B2</v>
      </c>
      <c r="G122" s="189" t="str">
        <f t="shared" si="7"/>
        <v>B+ </v>
      </c>
      <c r="M122" s="113" t="s">
        <v>285</v>
      </c>
      <c r="N122" s="217" t="s">
        <v>124</v>
      </c>
      <c r="O122" s="217" t="s">
        <v>124</v>
      </c>
      <c r="Q122" s="112" t="s">
        <v>135</v>
      </c>
      <c r="R122" s="242" t="s">
        <v>196</v>
      </c>
    </row>
    <row r="123" spans="1:18" ht="18">
      <c r="A123" s="51" t="s">
        <v>2</v>
      </c>
      <c r="B123" s="205" t="str">
        <f t="shared" si="4"/>
        <v>A-</v>
      </c>
      <c r="C123" s="206" t="str">
        <f t="shared" si="5"/>
        <v>A1</v>
      </c>
      <c r="E123" s="159" t="s">
        <v>2</v>
      </c>
      <c r="F123" s="189" t="str">
        <f t="shared" si="6"/>
        <v>A1</v>
      </c>
      <c r="G123" s="189" t="str">
        <f t="shared" si="7"/>
        <v>A-</v>
      </c>
      <c r="M123" s="113" t="s">
        <v>3</v>
      </c>
      <c r="N123" s="217" t="s">
        <v>47</v>
      </c>
      <c r="O123" s="217" t="s">
        <v>47</v>
      </c>
      <c r="Q123" s="112" t="s">
        <v>147</v>
      </c>
      <c r="R123" s="242" t="s">
        <v>216</v>
      </c>
    </row>
    <row r="124" spans="1:18" ht="18">
      <c r="A124" s="51" t="s">
        <v>135</v>
      </c>
      <c r="B124" s="205" t="str">
        <f t="shared" si="4"/>
        <v>B+</v>
      </c>
      <c r="C124" s="206" t="str">
        <f t="shared" si="5"/>
        <v>Ba3</v>
      </c>
      <c r="E124" s="159" t="s">
        <v>135</v>
      </c>
      <c r="F124" s="189" t="str">
        <f t="shared" si="6"/>
        <v>Ba3</v>
      </c>
      <c r="G124" s="189" t="str">
        <f t="shared" si="7"/>
        <v>B+</v>
      </c>
      <c r="M124" s="113" t="s">
        <v>61</v>
      </c>
      <c r="N124" s="217" t="s">
        <v>42</v>
      </c>
      <c r="O124" s="217" t="s">
        <v>42</v>
      </c>
      <c r="Q124" s="112" t="s">
        <v>423</v>
      </c>
      <c r="R124" s="243" t="s">
        <v>143</v>
      </c>
    </row>
    <row r="125" spans="1:18" ht="18">
      <c r="A125" s="51" t="s">
        <v>147</v>
      </c>
      <c r="B125" s="205" t="str">
        <f t="shared" si="4"/>
        <v>BB+</v>
      </c>
      <c r="C125" s="206" t="str">
        <f t="shared" si="5"/>
        <v>Ba2</v>
      </c>
      <c r="E125" s="159" t="s">
        <v>147</v>
      </c>
      <c r="F125" s="189" t="str">
        <f t="shared" si="6"/>
        <v>Ba2</v>
      </c>
      <c r="G125" s="189" t="str">
        <f t="shared" si="7"/>
        <v>BB+</v>
      </c>
      <c r="M125" s="113" t="s">
        <v>190</v>
      </c>
      <c r="N125" s="217" t="s">
        <v>43</v>
      </c>
      <c r="O125" s="217" t="s">
        <v>43</v>
      </c>
      <c r="Q125" s="112" t="s">
        <v>545</v>
      </c>
      <c r="R125" s="244" t="s">
        <v>203</v>
      </c>
    </row>
    <row r="126" spans="1:18" ht="18">
      <c r="A126" s="51" t="s">
        <v>285</v>
      </c>
      <c r="B126" s="205" t="str">
        <f t="shared" si="4"/>
        <v>NA</v>
      </c>
      <c r="C126" s="206" t="str">
        <f t="shared" si="5"/>
        <v>Baa3</v>
      </c>
      <c r="E126" s="159" t="s">
        <v>285</v>
      </c>
      <c r="F126" s="189" t="str">
        <f t="shared" si="6"/>
        <v>Baa3</v>
      </c>
      <c r="G126" s="189" t="s">
        <v>143</v>
      </c>
      <c r="M126" s="113" t="s">
        <v>426</v>
      </c>
      <c r="N126" s="217" t="s">
        <v>100</v>
      </c>
      <c r="O126" s="217" t="s">
        <v>100</v>
      </c>
      <c r="Q126" s="112" t="s">
        <v>61</v>
      </c>
      <c r="R126" s="244" t="s">
        <v>222</v>
      </c>
    </row>
    <row r="127" spans="1:18" ht="18">
      <c r="A127" s="51" t="s">
        <v>3</v>
      </c>
      <c r="B127" s="205" t="str">
        <f t="shared" si="4"/>
        <v>NA</v>
      </c>
      <c r="C127" s="206" t="str">
        <f t="shared" si="5"/>
        <v>Aaa</v>
      </c>
      <c r="E127" s="159" t="s">
        <v>3</v>
      </c>
      <c r="F127" s="189" t="str">
        <f t="shared" si="6"/>
        <v>Aaa</v>
      </c>
      <c r="G127" s="189" t="s">
        <v>143</v>
      </c>
      <c r="M127" s="113" t="s">
        <v>76</v>
      </c>
      <c r="N127" s="217" t="s">
        <v>80</v>
      </c>
      <c r="O127" s="217" t="s">
        <v>80</v>
      </c>
      <c r="Q127" s="112" t="s">
        <v>190</v>
      </c>
      <c r="R127" s="244" t="s">
        <v>210</v>
      </c>
    </row>
    <row r="128" spans="1:18" ht="18">
      <c r="A128" s="51" t="s">
        <v>61</v>
      </c>
      <c r="B128" s="205" t="str">
        <f t="shared" si="4"/>
        <v>A+</v>
      </c>
      <c r="C128" s="206" t="str">
        <f t="shared" si="5"/>
        <v>A2</v>
      </c>
      <c r="E128" s="159" t="s">
        <v>61</v>
      </c>
      <c r="F128" s="189" t="str">
        <f t="shared" si="6"/>
        <v>A2</v>
      </c>
      <c r="G128" s="189" t="str">
        <f t="shared" si="7"/>
        <v>A+</v>
      </c>
      <c r="M128" s="113" t="s">
        <v>138</v>
      </c>
      <c r="N128" s="217" t="s">
        <v>82</v>
      </c>
      <c r="O128" s="217" t="s">
        <v>82</v>
      </c>
      <c r="Q128" s="112" t="s">
        <v>426</v>
      </c>
      <c r="R128" s="243" t="s">
        <v>143</v>
      </c>
    </row>
    <row r="129" spans="1:18" ht="18">
      <c r="A129" s="51" t="s">
        <v>190</v>
      </c>
      <c r="B129" s="205" t="str">
        <f t="shared" si="4"/>
        <v>AA-</v>
      </c>
      <c r="C129" s="206" t="str">
        <f t="shared" si="5"/>
        <v>A3</v>
      </c>
      <c r="E129" s="159" t="s">
        <v>190</v>
      </c>
      <c r="F129" s="189" t="str">
        <f t="shared" si="6"/>
        <v>A3</v>
      </c>
      <c r="G129" s="189" t="str">
        <f t="shared" si="7"/>
        <v>AA-</v>
      </c>
      <c r="M129" s="113" t="s">
        <v>134</v>
      </c>
      <c r="N129" s="217" t="s">
        <v>58</v>
      </c>
      <c r="O129" s="217" t="s">
        <v>58</v>
      </c>
      <c r="Q129" s="112" t="s">
        <v>76</v>
      </c>
      <c r="R129" s="242" t="s">
        <v>199</v>
      </c>
    </row>
    <row r="130" spans="1:18" ht="18">
      <c r="A130" s="51" t="s">
        <v>426</v>
      </c>
      <c r="B130" s="205" t="str">
        <f t="shared" si="4"/>
        <v>NA</v>
      </c>
      <c r="C130" s="206" t="str">
        <f t="shared" si="5"/>
        <v>Caa1</v>
      </c>
      <c r="E130" s="159" t="s">
        <v>426</v>
      </c>
      <c r="F130" s="189" t="str">
        <f t="shared" si="6"/>
        <v>Caa1</v>
      </c>
      <c r="G130" s="189" t="str">
        <f t="shared" si="7"/>
        <v>NA</v>
      </c>
      <c r="M130" s="113" t="s">
        <v>469</v>
      </c>
      <c r="N130" s="217" t="s">
        <v>80</v>
      </c>
      <c r="O130" s="217" t="s">
        <v>80</v>
      </c>
      <c r="Q130" s="112" t="s">
        <v>546</v>
      </c>
      <c r="R130" s="244" t="s">
        <v>207</v>
      </c>
    </row>
    <row r="131" spans="1:18" ht="18">
      <c r="A131" s="51" t="s">
        <v>76</v>
      </c>
      <c r="B131" s="205" t="str">
        <f t="shared" ref="B131:B158" si="8">G131</f>
        <v>BB-</v>
      </c>
      <c r="C131" s="206" t="str">
        <f t="shared" ref="C131:C158" si="9">F131</f>
        <v>Ba2</v>
      </c>
      <c r="E131" s="159" t="s">
        <v>76</v>
      </c>
      <c r="F131" s="189" t="str">
        <f t="shared" ref="F131:F158" si="10">VLOOKUP(E131,$M$2:$O$152,2,FALSE)</f>
        <v>Ba2</v>
      </c>
      <c r="G131" s="189" t="str">
        <f t="shared" ref="G131:G157" si="11">VLOOKUP(E131,$Q$2:$R$155,2,FALSE)</f>
        <v>BB-</v>
      </c>
      <c r="M131" s="113" t="s">
        <v>10</v>
      </c>
      <c r="N131" s="217" t="s">
        <v>78</v>
      </c>
      <c r="O131" s="217" t="s">
        <v>78</v>
      </c>
      <c r="Q131" s="112" t="s">
        <v>138</v>
      </c>
      <c r="R131" s="244" t="s">
        <v>547</v>
      </c>
    </row>
    <row r="132" spans="1:18" ht="18">
      <c r="A132" s="51" t="s">
        <v>138</v>
      </c>
      <c r="B132" s="205" t="str">
        <f t="shared" si="8"/>
        <v>A </v>
      </c>
      <c r="C132" s="206" t="str">
        <f t="shared" si="9"/>
        <v>Baa1</v>
      </c>
      <c r="E132" s="159" t="s">
        <v>138</v>
      </c>
      <c r="F132" s="189" t="str">
        <f t="shared" si="10"/>
        <v>Baa1</v>
      </c>
      <c r="G132" s="189" t="str">
        <f t="shared" si="11"/>
        <v>A </v>
      </c>
      <c r="M132" s="113" t="s">
        <v>33</v>
      </c>
      <c r="N132" s="217" t="s">
        <v>62</v>
      </c>
      <c r="O132" s="217" t="s">
        <v>62</v>
      </c>
      <c r="Q132" s="112" t="s">
        <v>134</v>
      </c>
      <c r="R132" s="243" t="s">
        <v>563</v>
      </c>
    </row>
    <row r="133" spans="1:18" ht="18">
      <c r="A133" s="51" t="s">
        <v>134</v>
      </c>
      <c r="B133" s="205" t="str">
        <f t="shared" si="8"/>
        <v>CCC+ </v>
      </c>
      <c r="C133" s="206" t="str">
        <f t="shared" si="9"/>
        <v>Caa2</v>
      </c>
      <c r="E133" s="159" t="s">
        <v>134</v>
      </c>
      <c r="F133" s="189" t="str">
        <f t="shared" si="10"/>
        <v>Caa2</v>
      </c>
      <c r="G133" s="189" t="str">
        <f t="shared" si="11"/>
        <v>CCC+ </v>
      </c>
      <c r="M133" s="113" t="s">
        <v>34</v>
      </c>
      <c r="N133" s="217" t="s">
        <v>47</v>
      </c>
      <c r="O133" s="217" t="s">
        <v>47</v>
      </c>
      <c r="Q133" s="112" t="s">
        <v>548</v>
      </c>
      <c r="R133" s="243" t="s">
        <v>143</v>
      </c>
    </row>
    <row r="134" spans="1:18" ht="18">
      <c r="A134" s="51" t="s">
        <v>191</v>
      </c>
      <c r="B134" s="205" t="str">
        <f t="shared" si="8"/>
        <v>NA</v>
      </c>
      <c r="C134" s="206" t="str">
        <f t="shared" si="9"/>
        <v>Ba2</v>
      </c>
      <c r="E134" s="159" t="s">
        <v>469</v>
      </c>
      <c r="F134" s="189" t="str">
        <f t="shared" si="10"/>
        <v>Ba2</v>
      </c>
      <c r="G134" s="189" t="s">
        <v>143</v>
      </c>
      <c r="M134" s="113" t="s">
        <v>35</v>
      </c>
      <c r="N134" s="217" t="s">
        <v>47</v>
      </c>
      <c r="O134" s="217" t="s">
        <v>47</v>
      </c>
      <c r="Q134" s="112" t="s">
        <v>33</v>
      </c>
      <c r="R134" s="243" t="s">
        <v>143</v>
      </c>
    </row>
    <row r="135" spans="1:18" ht="18">
      <c r="A135" s="51" t="s">
        <v>10</v>
      </c>
      <c r="B135" s="205" t="str">
        <f t="shared" si="8"/>
        <v>NA</v>
      </c>
      <c r="C135" s="206" t="str">
        <f t="shared" si="9"/>
        <v>B3</v>
      </c>
      <c r="E135" s="159" t="s">
        <v>10</v>
      </c>
      <c r="F135" s="189" t="str">
        <f t="shared" si="10"/>
        <v>B3</v>
      </c>
      <c r="G135" s="189" t="s">
        <v>143</v>
      </c>
      <c r="M135" s="113" t="s">
        <v>530</v>
      </c>
      <c r="N135" s="217" t="s">
        <v>46</v>
      </c>
      <c r="O135" s="217" t="s">
        <v>46</v>
      </c>
      <c r="Q135" s="112" t="s">
        <v>413</v>
      </c>
      <c r="R135" s="243" t="s">
        <v>143</v>
      </c>
    </row>
    <row r="136" spans="1:18" ht="18">
      <c r="A136" s="51" t="s">
        <v>33</v>
      </c>
      <c r="B136" s="205" t="str">
        <f t="shared" si="8"/>
        <v>NA</v>
      </c>
      <c r="C136" s="206" t="str">
        <f t="shared" si="9"/>
        <v>Caa3</v>
      </c>
      <c r="E136" s="159" t="s">
        <v>33</v>
      </c>
      <c r="F136" s="189" t="str">
        <f t="shared" si="10"/>
        <v>Caa3</v>
      </c>
      <c r="G136" s="189" t="str">
        <f t="shared" si="11"/>
        <v>NA</v>
      </c>
      <c r="M136" s="113" t="s">
        <v>410</v>
      </c>
      <c r="N136" s="217" t="s">
        <v>78</v>
      </c>
      <c r="O136" s="217" t="s">
        <v>78</v>
      </c>
      <c r="Q136" s="112" t="s">
        <v>34</v>
      </c>
      <c r="R136" s="244" t="s">
        <v>203</v>
      </c>
    </row>
    <row r="137" spans="1:18" ht="18">
      <c r="A137" s="51" t="s">
        <v>413</v>
      </c>
      <c r="B137" s="205" t="str">
        <f t="shared" si="8"/>
        <v>NA</v>
      </c>
      <c r="C137" s="206" t="str">
        <f t="shared" si="9"/>
        <v>B3</v>
      </c>
      <c r="E137" s="159" t="s">
        <v>515</v>
      </c>
      <c r="F137" s="189" t="str">
        <f t="shared" si="10"/>
        <v>B3</v>
      </c>
      <c r="G137" s="189" t="s">
        <v>143</v>
      </c>
      <c r="M137" s="113" t="s">
        <v>332</v>
      </c>
      <c r="N137" s="217" t="s">
        <v>49</v>
      </c>
      <c r="O137" s="217" t="s">
        <v>49</v>
      </c>
      <c r="Q137" s="112" t="s">
        <v>35</v>
      </c>
      <c r="R137" s="244" t="s">
        <v>203</v>
      </c>
    </row>
    <row r="138" spans="1:18" ht="18">
      <c r="A138" s="51" t="s">
        <v>34</v>
      </c>
      <c r="B138" s="205" t="str">
        <f t="shared" si="8"/>
        <v>AAA</v>
      </c>
      <c r="C138" s="206" t="str">
        <f t="shared" si="9"/>
        <v>Aaa</v>
      </c>
      <c r="E138" s="159" t="s">
        <v>34</v>
      </c>
      <c r="F138" s="189" t="str">
        <f t="shared" si="10"/>
        <v>Aaa</v>
      </c>
      <c r="G138" s="189" t="s">
        <v>203</v>
      </c>
      <c r="M138" s="113" t="s">
        <v>65</v>
      </c>
      <c r="N138" s="217" t="s">
        <v>82</v>
      </c>
      <c r="O138" s="217" t="s">
        <v>82</v>
      </c>
      <c r="Q138" s="112" t="s">
        <v>64</v>
      </c>
      <c r="R138" s="244" t="s">
        <v>549</v>
      </c>
    </row>
    <row r="139" spans="1:18" ht="18">
      <c r="A139" s="51" t="s">
        <v>35</v>
      </c>
      <c r="B139" s="205" t="str">
        <f t="shared" si="8"/>
        <v>AAA</v>
      </c>
      <c r="C139" s="206" t="str">
        <f t="shared" si="9"/>
        <v>Aaa</v>
      </c>
      <c r="E139" s="159" t="s">
        <v>35</v>
      </c>
      <c r="F139" s="189" t="str">
        <f t="shared" si="10"/>
        <v>Aaa</v>
      </c>
      <c r="G139" s="189" t="str">
        <f t="shared" si="11"/>
        <v>AAA</v>
      </c>
      <c r="M139" s="113" t="s">
        <v>324</v>
      </c>
      <c r="N139" s="217" t="s">
        <v>78</v>
      </c>
      <c r="O139" s="217" t="s">
        <v>78</v>
      </c>
      <c r="Q139" s="112" t="s">
        <v>410</v>
      </c>
      <c r="R139" s="242" t="s">
        <v>200</v>
      </c>
    </row>
    <row r="140" spans="1:18" ht="18">
      <c r="A140" s="51" t="s">
        <v>64</v>
      </c>
      <c r="B140" s="205" t="str">
        <f t="shared" si="8"/>
        <v>AA </v>
      </c>
      <c r="C140" s="206" t="str">
        <f t="shared" si="9"/>
        <v>Aa3</v>
      </c>
      <c r="E140" s="159" t="s">
        <v>64</v>
      </c>
      <c r="F140" s="189" t="s">
        <v>46</v>
      </c>
      <c r="G140" s="189" t="str">
        <f t="shared" si="11"/>
        <v>AA </v>
      </c>
      <c r="M140" s="218" t="s">
        <v>11</v>
      </c>
      <c r="N140" s="217" t="s">
        <v>80</v>
      </c>
      <c r="O140" s="217" t="s">
        <v>80</v>
      </c>
      <c r="Q140" s="112" t="s">
        <v>332</v>
      </c>
      <c r="R140" s="243" t="s">
        <v>143</v>
      </c>
    </row>
    <row r="141" spans="1:18" ht="18">
      <c r="A141" s="113" t="s">
        <v>410</v>
      </c>
      <c r="B141" s="205" t="str">
        <f t="shared" si="8"/>
        <v>B-</v>
      </c>
      <c r="C141" s="206" t="str">
        <f t="shared" si="9"/>
        <v>B3</v>
      </c>
      <c r="E141" s="159" t="s">
        <v>410</v>
      </c>
      <c r="F141" s="189" t="str">
        <f t="shared" si="10"/>
        <v>B3</v>
      </c>
      <c r="G141" s="189" t="str">
        <f t="shared" si="11"/>
        <v>B-</v>
      </c>
      <c r="M141" s="113" t="s">
        <v>77</v>
      </c>
      <c r="N141" s="217" t="s">
        <v>100</v>
      </c>
      <c r="O141" s="217" t="s">
        <v>100</v>
      </c>
      <c r="Q141" s="112" t="s">
        <v>65</v>
      </c>
      <c r="R141" s="242" t="s">
        <v>202</v>
      </c>
    </row>
    <row r="142" spans="1:18" ht="18">
      <c r="A142" s="113" t="s">
        <v>332</v>
      </c>
      <c r="B142" s="205" t="str">
        <f t="shared" si="8"/>
        <v>NA</v>
      </c>
      <c r="C142" s="206" t="str">
        <f t="shared" si="9"/>
        <v>B2</v>
      </c>
      <c r="E142" s="159" t="s">
        <v>332</v>
      </c>
      <c r="F142" s="189" t="str">
        <f t="shared" si="10"/>
        <v>B2</v>
      </c>
      <c r="G142" s="189" t="str">
        <f t="shared" si="11"/>
        <v>NA</v>
      </c>
      <c r="M142" s="113" t="s">
        <v>66</v>
      </c>
      <c r="N142" s="217" t="s">
        <v>49</v>
      </c>
      <c r="O142" s="217" t="s">
        <v>49</v>
      </c>
      <c r="Q142" s="112" t="s">
        <v>324</v>
      </c>
      <c r="R142" s="242" t="s">
        <v>209</v>
      </c>
    </row>
    <row r="143" spans="1:18" ht="18">
      <c r="A143" s="51" t="s">
        <v>65</v>
      </c>
      <c r="B143" s="205" t="str">
        <f t="shared" si="8"/>
        <v>BBB+</v>
      </c>
      <c r="C143" s="206" t="str">
        <f t="shared" si="9"/>
        <v>Baa1</v>
      </c>
      <c r="E143" s="159" t="s">
        <v>65</v>
      </c>
      <c r="F143" s="189" t="str">
        <f t="shared" si="10"/>
        <v>Baa1</v>
      </c>
      <c r="G143" s="189" t="str">
        <f t="shared" si="11"/>
        <v>BBB+</v>
      </c>
      <c r="M143" s="113" t="s">
        <v>228</v>
      </c>
      <c r="N143" s="217" t="s">
        <v>49</v>
      </c>
      <c r="O143" s="217" t="s">
        <v>49</v>
      </c>
      <c r="Q143" s="112" t="s">
        <v>11</v>
      </c>
      <c r="R143" s="242" t="s">
        <v>564</v>
      </c>
    </row>
    <row r="144" spans="1:18" ht="18">
      <c r="A144" s="156" t="s">
        <v>324</v>
      </c>
      <c r="B144" s="205" t="str">
        <f t="shared" si="8"/>
        <v>B</v>
      </c>
      <c r="C144" s="206" t="str">
        <f t="shared" si="9"/>
        <v>B3</v>
      </c>
      <c r="E144" s="159" t="s">
        <v>324</v>
      </c>
      <c r="F144" s="189" t="str">
        <f t="shared" si="10"/>
        <v>B3</v>
      </c>
      <c r="G144" s="189" t="str">
        <f t="shared" si="11"/>
        <v>B</v>
      </c>
      <c r="M144" s="113" t="s">
        <v>68</v>
      </c>
      <c r="N144" s="217" t="s">
        <v>78</v>
      </c>
      <c r="O144" s="217" t="s">
        <v>78</v>
      </c>
      <c r="Q144" s="112" t="s">
        <v>77</v>
      </c>
      <c r="R144" s="244" t="s">
        <v>534</v>
      </c>
    </row>
    <row r="145" spans="1:18" ht="18">
      <c r="A145" s="51" t="s">
        <v>11</v>
      </c>
      <c r="B145" s="205" t="str">
        <f t="shared" si="8"/>
        <v>BBB- </v>
      </c>
      <c r="C145" s="206" t="str">
        <f t="shared" si="9"/>
        <v>Ba2</v>
      </c>
      <c r="E145" s="190" t="s">
        <v>11</v>
      </c>
      <c r="F145" s="189" t="str">
        <f t="shared" si="10"/>
        <v>Ba2</v>
      </c>
      <c r="G145" s="189" t="str">
        <f t="shared" si="11"/>
        <v>BBB- </v>
      </c>
      <c r="M145" s="113" t="s">
        <v>60</v>
      </c>
      <c r="N145" s="217" t="s">
        <v>45</v>
      </c>
      <c r="O145" s="217" t="s">
        <v>45</v>
      </c>
      <c r="Q145" s="112" t="s">
        <v>550</v>
      </c>
      <c r="R145" s="242" t="s">
        <v>531</v>
      </c>
    </row>
    <row r="146" spans="1:18" ht="18">
      <c r="A146" s="51" t="s">
        <v>77</v>
      </c>
      <c r="B146" s="205" t="str">
        <f t="shared" si="8"/>
        <v>N/A</v>
      </c>
      <c r="C146" s="206" t="str">
        <f t="shared" si="9"/>
        <v>Caa1</v>
      </c>
      <c r="E146" s="159" t="s">
        <v>77</v>
      </c>
      <c r="F146" s="189" t="str">
        <f t="shared" si="10"/>
        <v>Caa1</v>
      </c>
      <c r="G146" s="189" t="str">
        <f t="shared" si="11"/>
        <v>N/A</v>
      </c>
      <c r="M146" s="113" t="s">
        <v>57</v>
      </c>
      <c r="N146" s="217" t="s">
        <v>46</v>
      </c>
      <c r="O146" s="217" t="s">
        <v>46</v>
      </c>
      <c r="Q146" s="112" t="s">
        <v>67</v>
      </c>
      <c r="R146" s="243" t="s">
        <v>143</v>
      </c>
    </row>
    <row r="147" spans="1:18" ht="18">
      <c r="A147" s="51" t="s">
        <v>66</v>
      </c>
      <c r="B147" s="205" t="str">
        <f t="shared" si="8"/>
        <v>B+</v>
      </c>
      <c r="C147" s="206" t="str">
        <f t="shared" si="9"/>
        <v>B2</v>
      </c>
      <c r="E147" s="159" t="s">
        <v>66</v>
      </c>
      <c r="F147" s="189" t="str">
        <f t="shared" si="10"/>
        <v>B2</v>
      </c>
      <c r="G147" s="189" t="s">
        <v>196</v>
      </c>
      <c r="M147" s="113" t="s">
        <v>12</v>
      </c>
      <c r="N147" s="217" t="s">
        <v>47</v>
      </c>
      <c r="O147" s="217" t="s">
        <v>47</v>
      </c>
      <c r="Q147" s="112" t="s">
        <v>228</v>
      </c>
      <c r="R147" s="242" t="s">
        <v>209</v>
      </c>
    </row>
    <row r="148" spans="1:18" ht="18">
      <c r="A148" s="51" t="s">
        <v>292</v>
      </c>
      <c r="B148" s="205" t="str">
        <f t="shared" si="8"/>
        <v>BBB+</v>
      </c>
      <c r="C148" s="206" t="str">
        <f t="shared" si="9"/>
        <v>NA</v>
      </c>
      <c r="E148" s="204" t="s">
        <v>292</v>
      </c>
      <c r="F148" s="189" t="s">
        <v>143</v>
      </c>
      <c r="G148" s="189" t="s">
        <v>202</v>
      </c>
      <c r="M148" s="113" t="s">
        <v>402</v>
      </c>
      <c r="N148" s="217" t="s">
        <v>48</v>
      </c>
      <c r="O148" s="217" t="s">
        <v>48</v>
      </c>
      <c r="Q148" s="112" t="s">
        <v>68</v>
      </c>
      <c r="R148" s="242" t="s">
        <v>209</v>
      </c>
    </row>
    <row r="149" spans="1:18" ht="18">
      <c r="A149" s="51" t="s">
        <v>228</v>
      </c>
      <c r="B149" s="205" t="str">
        <f t="shared" si="8"/>
        <v>B</v>
      </c>
      <c r="C149" s="206" t="str">
        <f t="shared" si="9"/>
        <v>B2</v>
      </c>
      <c r="E149" s="159" t="s">
        <v>228</v>
      </c>
      <c r="F149" s="189" t="str">
        <f t="shared" si="10"/>
        <v>B2</v>
      </c>
      <c r="G149" s="189" t="str">
        <f t="shared" si="11"/>
        <v>B</v>
      </c>
      <c r="M149" s="113" t="s">
        <v>69</v>
      </c>
      <c r="N149" s="217" t="s">
        <v>83</v>
      </c>
      <c r="O149" s="217" t="s">
        <v>83</v>
      </c>
      <c r="Q149" s="112" t="s">
        <v>60</v>
      </c>
      <c r="R149" s="244" t="s">
        <v>207</v>
      </c>
    </row>
    <row r="150" spans="1:18" ht="18">
      <c r="A150" s="51" t="s">
        <v>68</v>
      </c>
      <c r="B150" s="205" t="str">
        <f t="shared" si="8"/>
        <v>B</v>
      </c>
      <c r="C150" s="206" t="str">
        <f t="shared" si="9"/>
        <v>B3</v>
      </c>
      <c r="E150" s="159" t="s">
        <v>68</v>
      </c>
      <c r="F150" s="189" t="str">
        <f t="shared" si="10"/>
        <v>B3</v>
      </c>
      <c r="G150" s="189" t="str">
        <f t="shared" si="11"/>
        <v>B</v>
      </c>
      <c r="M150" s="113" t="s">
        <v>70</v>
      </c>
      <c r="N150" s="217" t="s">
        <v>137</v>
      </c>
      <c r="O150" s="217" t="s">
        <v>137</v>
      </c>
      <c r="Q150" s="112" t="s">
        <v>57</v>
      </c>
      <c r="R150" s="244" t="s">
        <v>207</v>
      </c>
    </row>
    <row r="151" spans="1:18" ht="18">
      <c r="A151" s="51" t="s">
        <v>60</v>
      </c>
      <c r="B151" s="205" t="str">
        <f t="shared" si="8"/>
        <v>AA</v>
      </c>
      <c r="C151" s="206" t="str">
        <f t="shared" si="9"/>
        <v>Aa2</v>
      </c>
      <c r="E151" s="159" t="s">
        <v>60</v>
      </c>
      <c r="F151" s="189" t="str">
        <f t="shared" si="10"/>
        <v>Aa2</v>
      </c>
      <c r="G151" s="189" t="str">
        <f t="shared" si="11"/>
        <v>AA</v>
      </c>
      <c r="M151" s="113" t="s">
        <v>71</v>
      </c>
      <c r="N151" s="217" t="s">
        <v>81</v>
      </c>
      <c r="O151" s="217" t="s">
        <v>81</v>
      </c>
      <c r="Q151" s="112" t="s">
        <v>568</v>
      </c>
      <c r="R151" s="244" t="s">
        <v>204</v>
      </c>
    </row>
    <row r="152" spans="1:18" ht="18">
      <c r="A152" s="51" t="s">
        <v>57</v>
      </c>
      <c r="B152" s="205" t="str">
        <f t="shared" si="8"/>
        <v>AA</v>
      </c>
      <c r="C152" s="206" t="str">
        <f t="shared" si="9"/>
        <v>Aa3</v>
      </c>
      <c r="E152" s="159" t="s">
        <v>57</v>
      </c>
      <c r="F152" s="189" t="str">
        <f t="shared" si="10"/>
        <v>Aa3</v>
      </c>
      <c r="G152" s="189" t="str">
        <f t="shared" si="11"/>
        <v>AA</v>
      </c>
      <c r="M152" s="113" t="s">
        <v>192</v>
      </c>
      <c r="N152" s="217" t="s">
        <v>346</v>
      </c>
      <c r="O152" s="217" t="s">
        <v>346</v>
      </c>
      <c r="Q152" s="112" t="s">
        <v>69</v>
      </c>
      <c r="R152" s="242" t="s">
        <v>206</v>
      </c>
    </row>
    <row r="153" spans="1:18" ht="18">
      <c r="A153" s="51" t="s">
        <v>356</v>
      </c>
      <c r="B153" s="205" t="str">
        <f t="shared" si="8"/>
        <v>AAA</v>
      </c>
      <c r="C153" s="206" t="str">
        <f t="shared" si="9"/>
        <v>Aaa</v>
      </c>
      <c r="E153" s="159" t="s">
        <v>12</v>
      </c>
      <c r="F153" s="189" t="str">
        <f t="shared" si="10"/>
        <v>Aaa</v>
      </c>
      <c r="G153" s="189" t="s">
        <v>203</v>
      </c>
      <c r="Q153" s="112" t="s">
        <v>402</v>
      </c>
      <c r="R153" s="242" t="s">
        <v>199</v>
      </c>
    </row>
    <row r="154" spans="1:18" ht="18">
      <c r="A154" s="51" t="s">
        <v>69</v>
      </c>
      <c r="B154" s="205" t="str">
        <f t="shared" si="8"/>
        <v>BBB</v>
      </c>
      <c r="C154" s="206" t="str">
        <f t="shared" si="9"/>
        <v>Baa2</v>
      </c>
      <c r="E154" s="159" t="s">
        <v>69</v>
      </c>
      <c r="F154" s="189" t="str">
        <f t="shared" si="10"/>
        <v>Baa2</v>
      </c>
      <c r="G154" s="189" t="str">
        <f t="shared" si="11"/>
        <v>BBB</v>
      </c>
      <c r="M154" s="202"/>
      <c r="N154" s="30"/>
      <c r="Q154" s="112" t="s">
        <v>70</v>
      </c>
      <c r="R154" s="244" t="s">
        <v>143</v>
      </c>
    </row>
    <row r="155" spans="1:18" ht="18">
      <c r="A155" s="156" t="s">
        <v>402</v>
      </c>
      <c r="B155" s="205" t="str">
        <f t="shared" si="8"/>
        <v>BB-</v>
      </c>
      <c r="C155" s="206" t="str">
        <f t="shared" si="9"/>
        <v>B1</v>
      </c>
      <c r="E155" s="159" t="s">
        <v>402</v>
      </c>
      <c r="F155" s="189" t="str">
        <f t="shared" si="10"/>
        <v>B1</v>
      </c>
      <c r="G155" s="189" t="str">
        <f t="shared" si="11"/>
        <v>BB-</v>
      </c>
      <c r="Q155" s="112" t="s">
        <v>71</v>
      </c>
      <c r="R155" s="242" t="s">
        <v>537</v>
      </c>
    </row>
    <row r="156" spans="1:18" ht="18">
      <c r="A156" s="51" t="s">
        <v>70</v>
      </c>
      <c r="B156" s="205" t="str">
        <f t="shared" si="8"/>
        <v>NA</v>
      </c>
      <c r="C156" s="206" t="str">
        <f t="shared" si="9"/>
        <v>C</v>
      </c>
      <c r="E156" s="159" t="s">
        <v>70</v>
      </c>
      <c r="F156" s="189" t="str">
        <f t="shared" si="10"/>
        <v>C</v>
      </c>
      <c r="G156" s="189" t="str">
        <f>VLOOKUP(E156,$Q$2:$R$156,2,FALSE)</f>
        <v>NA</v>
      </c>
      <c r="Q156" s="112" t="s">
        <v>192</v>
      </c>
      <c r="R156" s="243" t="s">
        <v>143</v>
      </c>
    </row>
    <row r="157" spans="1:18" ht="16">
      <c r="A157" s="51" t="s">
        <v>71</v>
      </c>
      <c r="B157" s="205" t="str">
        <f t="shared" si="8"/>
        <v>BB </v>
      </c>
      <c r="C157" s="206" t="str">
        <f t="shared" si="9"/>
        <v>Ba3</v>
      </c>
      <c r="E157" s="159" t="s">
        <v>71</v>
      </c>
      <c r="F157" s="189" t="str">
        <f t="shared" si="10"/>
        <v>Ba3</v>
      </c>
      <c r="G157" s="189" t="str">
        <f t="shared" si="11"/>
        <v>BB </v>
      </c>
    </row>
    <row r="158" spans="1:18" ht="16">
      <c r="A158" s="51" t="s">
        <v>192</v>
      </c>
      <c r="B158" s="205" t="str">
        <f t="shared" si="8"/>
        <v>NA</v>
      </c>
      <c r="C158" s="206" t="str">
        <f t="shared" si="9"/>
        <v>Ca</v>
      </c>
      <c r="E158" s="159" t="s">
        <v>192</v>
      </c>
      <c r="F158" s="189" t="str">
        <f t="shared" si="10"/>
        <v>Ca</v>
      </c>
      <c r="G158" s="189" t="str">
        <f>VLOOKUP(E158,$Q$2:$R$156,2,FALSE)</f>
        <v>NA</v>
      </c>
    </row>
  </sheetData>
  <hyperlinks>
    <hyperlink ref="Q2" r:id="rId1" display="https://tradingeconomics.com/albania/rating" xr:uid="{475D9DF9-0589-DF47-93BE-84E5F72A791D}"/>
    <hyperlink ref="Q3" r:id="rId2" display="https://tradingeconomics.com/andorra/rating" xr:uid="{270ED5E1-ECE4-294E-B82D-257A1C26B8A2}"/>
    <hyperlink ref="Q4" r:id="rId3" display="https://tradingeconomics.com/angola/rating" xr:uid="{D1421786-FA36-0549-8582-81BA1CBA30D7}"/>
    <hyperlink ref="Q5" r:id="rId4" display="https://tradingeconomics.com/argentina/rating" xr:uid="{17C7F806-0DB3-4F4B-8B5B-1DC254CF702B}"/>
    <hyperlink ref="Q6" r:id="rId5" display="https://tradingeconomics.com/armenia/rating" xr:uid="{0DEFA77B-0F80-1942-AFC1-DCEC1BAC26A3}"/>
    <hyperlink ref="Q7" r:id="rId6" display="https://tradingeconomics.com/aruba/rating" xr:uid="{BB9BC8B0-DCFD-ED42-BE53-2849B1CDFC7F}"/>
    <hyperlink ref="Q8" r:id="rId7" display="https://tradingeconomics.com/australia/rating" xr:uid="{C64805B7-7D08-4844-840B-F901257A2003}"/>
    <hyperlink ref="Q9" r:id="rId8" display="https://tradingeconomics.com/austria/rating" xr:uid="{D4B28FEB-EFA9-4242-A765-42B66832217A}"/>
    <hyperlink ref="Q10" r:id="rId9" display="https://tradingeconomics.com/azerbaijan/rating" xr:uid="{6DD3F985-B157-A843-9367-9E8CDD6430EB}"/>
    <hyperlink ref="Q11" r:id="rId10" display="https://tradingeconomics.com/bahamas/rating" xr:uid="{23A9C911-054B-0240-8A18-0796F1E4D668}"/>
    <hyperlink ref="Q12" r:id="rId11" display="https://tradingeconomics.com/bahrain/rating" xr:uid="{C31B20F7-92AE-3448-8085-A16DE45CE8CE}"/>
    <hyperlink ref="Q13" r:id="rId12" display="https://tradingeconomics.com/bangladesh/rating" xr:uid="{ACE0E5AF-9E5B-0B48-B7E3-F9D7F099579E}"/>
    <hyperlink ref="Q14" r:id="rId13" display="https://tradingeconomics.com/barbados/rating" xr:uid="{49706E32-5939-0E46-B36C-123474A62FFF}"/>
    <hyperlink ref="Q15" r:id="rId14" display="https://tradingeconomics.com/belarus/rating" xr:uid="{C2E0AB29-0967-9842-B1FC-CCE0D1B040CD}"/>
    <hyperlink ref="Q16" r:id="rId15" display="https://tradingeconomics.com/belgium/rating" xr:uid="{55E5F8C7-287E-9548-A964-CD334EB2DBBB}"/>
    <hyperlink ref="Q17" r:id="rId16" display="https://tradingeconomics.com/belize/rating" xr:uid="{5581FB44-4C81-E943-964B-17560746542C}"/>
    <hyperlink ref="Q18" r:id="rId17" display="https://tradingeconomics.com/benin/rating" xr:uid="{10B2427C-FD63-0E41-8978-C663E042EC99}"/>
    <hyperlink ref="Q19" r:id="rId18" display="https://tradingeconomics.com/bermuda/rating" xr:uid="{3CFC93AF-D4C4-474C-BF8D-D9956FDE7A62}"/>
    <hyperlink ref="Q20" r:id="rId19" display="https://tradingeconomics.com/bolivia/rating" xr:uid="{C9E7203E-6ABE-E640-A4E2-7F3818C2C6C9}"/>
    <hyperlink ref="Q21" r:id="rId20" display="https://tradingeconomics.com/bosnia-and-herzegovina/rating" xr:uid="{32377744-5442-154F-8716-223F3D596969}"/>
    <hyperlink ref="Q22" r:id="rId21" display="https://tradingeconomics.com/botswana/rating" xr:uid="{AD7C9548-4A5F-6E4B-AF6A-848B64590F36}"/>
    <hyperlink ref="Q23" r:id="rId22" display="https://tradingeconomics.com/brazil/rating" xr:uid="{452C1848-6068-004C-B8FA-2AD343204416}"/>
    <hyperlink ref="Q24" r:id="rId23" display="https://tradingeconomics.com/bulgaria/rating" xr:uid="{22A48528-3B63-374D-A2F5-C52558D0F8AE}"/>
    <hyperlink ref="Q25" r:id="rId24" display="https://tradingeconomics.com/burkina-faso/rating" xr:uid="{0E1C0188-B5AC-B54E-879D-7EF894922AA4}"/>
    <hyperlink ref="Q26" r:id="rId25" display="https://tradingeconomics.com/cambodia/rating" xr:uid="{AD7056F4-2E70-B34D-89C8-42B23C507985}"/>
    <hyperlink ref="Q27" r:id="rId26" display="https://tradingeconomics.com/cameroon/rating" xr:uid="{19E92D3E-C1CE-0D4D-9E9F-49F10B500739}"/>
    <hyperlink ref="Q28" r:id="rId27" display="https://tradingeconomics.com/canada/rating" xr:uid="{4E9A9ADF-0E32-8B4A-9850-FD59B0C373EC}"/>
    <hyperlink ref="Q29" r:id="rId28" display="https://tradingeconomics.com/cape-verde/rating" xr:uid="{7153DE5E-8BAB-4B45-94A6-D1AB9A1867A9}"/>
    <hyperlink ref="Q30" r:id="rId29" display="https://tradingeconomics.com/cayman-islands/rating" xr:uid="{DCB05C78-1C21-164E-9651-1805383F547E}"/>
    <hyperlink ref="Q31" r:id="rId30" display="https://tradingeconomics.com/chile/rating" xr:uid="{AD0A299A-5954-3048-A323-A4F3E31B06BB}"/>
    <hyperlink ref="Q32" r:id="rId31" display="https://tradingeconomics.com/china/rating" xr:uid="{1E256A4E-77BA-194D-BFE4-F4631D86E855}"/>
    <hyperlink ref="Q33" r:id="rId32" display="https://tradingeconomics.com/colombia/rating" xr:uid="{46A41C83-E097-DD4C-82D8-E3DD10F2D714}"/>
    <hyperlink ref="Q34" r:id="rId33" display="https://tradingeconomics.com/congo/rating" xr:uid="{3EA705D5-3285-854A-8891-DB089A0F3E4F}"/>
    <hyperlink ref="Q35" r:id="rId34" display="https://tradingeconomics.com/costa-rica/rating" xr:uid="{3CA0A356-2F9B-0140-B1A6-2482BB4D39EA}"/>
    <hyperlink ref="Q36" r:id="rId35" display="https://tradingeconomics.com/croatia/rating" xr:uid="{F6AB4A5B-EE04-6A49-ADC0-C478FE639E63}"/>
    <hyperlink ref="Q37" r:id="rId36" display="https://tradingeconomics.com/cuba/rating" xr:uid="{3660ADF7-1511-3C4D-9F88-3C57D60AD13F}"/>
    <hyperlink ref="Q38" r:id="rId37" display="https://tradingeconomics.com/cyprus/rating" xr:uid="{73794E66-6DB0-3B41-AA20-FE97CCCB16DA}"/>
    <hyperlink ref="Q39" r:id="rId38" display="https://tradingeconomics.com/czech-republic/rating" xr:uid="{74AB2E3B-94CB-4B45-8CA4-626A95D5C331}"/>
    <hyperlink ref="Q40" r:id="rId39" display="https://tradingeconomics.com/denmark/rating" xr:uid="{498DCA45-1D9A-0442-B0A4-A86034056EFC}"/>
    <hyperlink ref="Q41" r:id="rId40" display="https://tradingeconomics.com/dominican-republic/rating" xr:uid="{C1F81C2F-F1AB-FF41-8834-30A96374CA72}"/>
    <hyperlink ref="Q42" r:id="rId41" display="https://tradingeconomics.com/ecuador/rating" xr:uid="{A47AF859-FDDE-6F4F-AAED-BA9B90C3FAFC}"/>
    <hyperlink ref="Q43" r:id="rId42" display="https://tradingeconomics.com/egypt/rating" xr:uid="{EB5592AC-5295-A74F-880A-70F1C5804298}"/>
    <hyperlink ref="Q44" r:id="rId43" display="https://tradingeconomics.com/el-salvador/rating" xr:uid="{13B6B2E9-2922-444B-BAB6-11356DF876C1}"/>
    <hyperlink ref="Q45" r:id="rId44" display="https://tradingeconomics.com/estonia/rating" xr:uid="{4AE7CE5C-0D90-1645-9EE0-FFD116B53206}"/>
    <hyperlink ref="Q46" r:id="rId45" display="https://tradingeconomics.com/ethiopia/rating" xr:uid="{8CE5432E-080F-E146-A7C4-8FBBACB5372C}"/>
    <hyperlink ref="Q47" r:id="rId46" display="https://tradingeconomics.com/european-union/rating" xr:uid="{8BEC5F95-BFF3-8A46-8652-F8C5060F5D04}"/>
    <hyperlink ref="Q48" r:id="rId47" display="https://tradingeconomics.com/fiji/rating" xr:uid="{FEACA9C5-4484-DD48-BF2C-13CDC4EAB4A0}"/>
    <hyperlink ref="Q49" r:id="rId48" display="https://tradingeconomics.com/finland/rating" xr:uid="{7DDFFB2D-1DDF-6B42-B5F6-95CE9C20F440}"/>
    <hyperlink ref="Q50" r:id="rId49" display="https://tradingeconomics.com/france/rating" xr:uid="{6398ED7D-1156-D441-AE80-474EC18699DE}"/>
    <hyperlink ref="Q51" r:id="rId50" display="https://tradingeconomics.com/gabon/rating" xr:uid="{988BC401-5485-CA4A-85FD-3C1285B7A5E3}"/>
    <hyperlink ref="Q52" r:id="rId51" display="https://tradingeconomics.com/georgia/rating" xr:uid="{CDF578C2-9515-D34D-BA56-85B9CB3F00EE}"/>
    <hyperlink ref="Q53" r:id="rId52" display="https://tradingeconomics.com/germany/rating" xr:uid="{76AE0DFF-97FF-D444-B2F5-D5FF5EF394AD}"/>
    <hyperlink ref="Q54" r:id="rId53" display="https://tradingeconomics.com/ghana/rating" xr:uid="{060CCED8-3E9E-C14A-A166-ECD76F9E2BAF}"/>
    <hyperlink ref="Q55" r:id="rId54" display="https://tradingeconomics.com/greece/rating" xr:uid="{42335CC9-DD98-E54C-9F15-3959D379834F}"/>
    <hyperlink ref="Q56" r:id="rId55" display="https://tradingeconomics.com/grenada/rating" xr:uid="{CB10959C-B103-394A-BF18-88DDF90067CA}"/>
    <hyperlink ref="Q57" r:id="rId56" display="https://tradingeconomics.com/guatemala/rating" xr:uid="{C24FFC9F-0AFB-1C4D-A0B5-65CA2862B7B9}"/>
    <hyperlink ref="Q58" r:id="rId57" display="https://tradingeconomics.com/honduras/rating" xr:uid="{FA454F2D-FA62-5140-8BB3-F2585359AEF6}"/>
    <hyperlink ref="Q59" r:id="rId58" display="https://tradingeconomics.com/hong-kong/rating" xr:uid="{268E95A4-DF22-5A4F-9521-2F60AD194690}"/>
    <hyperlink ref="Q60" r:id="rId59" display="https://tradingeconomics.com/hungary/rating" xr:uid="{46963A3B-4D00-DF45-88B8-4A9B23F9EF1C}"/>
    <hyperlink ref="Q61" r:id="rId60" display="https://tradingeconomics.com/iceland/rating" xr:uid="{23056B90-B4AA-3242-B6F9-7ADF7E79D819}"/>
    <hyperlink ref="Q62" r:id="rId61" display="https://tradingeconomics.com/india/rating" xr:uid="{AFDD60AD-0713-C94F-8684-45EC2E29F878}"/>
    <hyperlink ref="Q63" r:id="rId62" display="https://tradingeconomics.com/indonesia/rating" xr:uid="{80F7520E-0343-BD41-8233-B65E6DDDF62A}"/>
    <hyperlink ref="Q64" r:id="rId63" display="https://tradingeconomics.com/iraq/rating" xr:uid="{5A03A4A3-C9D7-BA43-9C52-043DE97269B7}"/>
    <hyperlink ref="Q65" r:id="rId64" display="https://tradingeconomics.com/ireland/rating" xr:uid="{18647FD5-A677-CC41-AC63-A8A730FBA18A}"/>
    <hyperlink ref="Q66" r:id="rId65" display="https://tradingeconomics.com/isle-of-man/rating" xr:uid="{182C64A8-3FCF-5341-83B7-E264567F3D79}"/>
    <hyperlink ref="Q67" r:id="rId66" display="https://tradingeconomics.com/israel/rating" xr:uid="{930BF18F-B24D-2049-A116-775219F3D387}"/>
    <hyperlink ref="Q68" r:id="rId67" display="https://tradingeconomics.com/italy/rating" xr:uid="{D832BF16-3715-414A-91F5-E371C6F30DBE}"/>
    <hyperlink ref="Q69" r:id="rId68" display="https://tradingeconomics.com/ivory-coast/rating" xr:uid="{0FAF71AD-C09F-114F-B079-958AC29D2B10}"/>
    <hyperlink ref="Q70" r:id="rId69" display="https://tradingeconomics.com/jamaica/rating" xr:uid="{6AC4D402-C156-304E-B919-0AD5F0349685}"/>
    <hyperlink ref="Q71" r:id="rId70" display="https://tradingeconomics.com/japan/rating" xr:uid="{2B205762-4B28-A242-913E-ED3C6F011122}"/>
    <hyperlink ref="Q72" r:id="rId71" display="https://tradingeconomics.com/jordan/rating" xr:uid="{4A9E64C8-6606-2142-A8E5-9C2C9F47F862}"/>
    <hyperlink ref="Q73" r:id="rId72" display="https://tradingeconomics.com/kazakhstan/rating" xr:uid="{97BE2D77-6C25-294D-9A48-0087DB105396}"/>
    <hyperlink ref="Q74" r:id="rId73" display="https://tradingeconomics.com/kenya/rating" xr:uid="{7DB939C0-AD95-6645-81DA-CD7736C4A8E6}"/>
    <hyperlink ref="Q75" r:id="rId74" display="https://tradingeconomics.com/kuwait/rating" xr:uid="{FCAB7114-9745-004D-96DB-13E8FF955C3A}"/>
    <hyperlink ref="Q76" r:id="rId75" display="https://tradingeconomics.com/kyrgyzstan/rating" xr:uid="{AB09F97E-A1CA-2947-8B8F-CCE6E8C65DCB}"/>
    <hyperlink ref="Q77" r:id="rId76" display="https://tradingeconomics.com/laos/rating" xr:uid="{B97C5A43-26BE-A04F-9D3F-5C3A111C13FB}"/>
    <hyperlink ref="Q78" r:id="rId77" display="https://tradingeconomics.com/latvia/rating" xr:uid="{D77074D3-FA5E-344E-B19E-822198FABD27}"/>
    <hyperlink ref="Q79" r:id="rId78" display="https://tradingeconomics.com/lebanon/rating" xr:uid="{FB1DFA3F-C36E-AF46-81AE-B6536BE914CB}"/>
    <hyperlink ref="Q80" r:id="rId79" display="https://tradingeconomics.com/lesotho/rating" xr:uid="{6214C964-F3BA-D24C-AD8B-2DA4309F08C2}"/>
    <hyperlink ref="Q81" r:id="rId80" display="https://tradingeconomics.com/liechtenstein/rating" xr:uid="{54294684-6572-E046-8BDD-8270442EBBAD}"/>
    <hyperlink ref="Q82" r:id="rId81" display="https://tradingeconomics.com/lithuania/rating" xr:uid="{BA40F679-02FA-BC48-B827-650112B51BFD}"/>
    <hyperlink ref="Q83" r:id="rId82" display="https://tradingeconomics.com/luxembourg/rating" xr:uid="{1E6CAA28-AA49-0942-97F8-EC7C111CEBB1}"/>
    <hyperlink ref="Q84" r:id="rId83" display="https://tradingeconomics.com/macau/rating" xr:uid="{CC05AA0A-581E-8B46-B42C-FE095A13001C}"/>
    <hyperlink ref="Q85" r:id="rId84" display="https://tradingeconomics.com/macedonia/rating" xr:uid="{D34134CC-CF19-264D-AAF1-7719B9B336BF}"/>
    <hyperlink ref="Q86" r:id="rId85" display="https://tradingeconomics.com/malaysia/rating" xr:uid="{7A22A0C6-CAAE-A84F-935F-25D35D4CD38F}"/>
    <hyperlink ref="Q87" r:id="rId86" display="https://tradingeconomics.com/maldives/rating" xr:uid="{151CAE9C-EA5B-1E40-BB04-CC97034921DD}"/>
    <hyperlink ref="Q88" r:id="rId87" display="https://tradingeconomics.com/mali/rating" xr:uid="{D14AFE26-5E6E-0544-8578-20774EC7D06E}"/>
    <hyperlink ref="Q89" r:id="rId88" display="https://tradingeconomics.com/malta/rating" xr:uid="{349C09B6-C315-DC43-8529-E18906F3C34C}"/>
    <hyperlink ref="Q90" r:id="rId89" display="https://tradingeconomics.com/mauritius/rating" xr:uid="{EDADFF4E-481E-0049-A8EB-DCA02842D6BB}"/>
    <hyperlink ref="Q91" r:id="rId90" display="https://tradingeconomics.com/mexico/rating" xr:uid="{96CBCD10-81B4-1644-8F2A-038A94905143}"/>
    <hyperlink ref="Q92" r:id="rId91" display="https://tradingeconomics.com/moldova/rating" xr:uid="{B756C1C1-50E4-A84D-800B-9362E1EE2943}"/>
    <hyperlink ref="Q93" r:id="rId92" display="https://tradingeconomics.com/mongolia/rating" xr:uid="{D2F64BED-5AF5-794A-9CCC-BCA8B9C30B56}"/>
    <hyperlink ref="Q94" r:id="rId93" display="https://tradingeconomics.com/montenegro/rating" xr:uid="{94A521B5-C2C9-4945-8354-92D4358A8297}"/>
    <hyperlink ref="Q95" display="Montserrat" xr:uid="{7F77763B-5BF5-3345-B0A8-7214B121B59C}"/>
    <hyperlink ref="Q96" r:id="rId94" display="https://tradingeconomics.com/morocco/rating" xr:uid="{D8D67641-A453-514C-8AC9-D6E357248F34}"/>
    <hyperlink ref="Q97" r:id="rId95" display="https://tradingeconomics.com/mozambique/rating" xr:uid="{FA39BAE9-F28F-0649-A44F-01F2DDA67D7E}"/>
    <hyperlink ref="Q98" r:id="rId96" display="https://tradingeconomics.com/namibia/rating" xr:uid="{F831F832-C0BC-F342-BC1C-F75C1EC0A402}"/>
    <hyperlink ref="Q99" r:id="rId97" display="https://tradingeconomics.com/netherlands/rating" xr:uid="{E5CF26C6-157F-DD4E-A60B-6D5FB51EE5E1}"/>
    <hyperlink ref="Q100" r:id="rId98" display="https://tradingeconomics.com/new-zealand/rating" xr:uid="{26606141-1A89-6F42-9312-F4039FAD63AF}"/>
    <hyperlink ref="Q101" r:id="rId99" display="https://tradingeconomics.com/nicaragua/rating" xr:uid="{8B7B7F1E-5652-204A-A0AD-C0E7EBB28989}"/>
    <hyperlink ref="Q102" r:id="rId100" display="https://tradingeconomics.com/niger/rating" xr:uid="{08A60F72-5F11-3C49-8C7A-EB6220C40D26}"/>
    <hyperlink ref="Q103" r:id="rId101" display="https://tradingeconomics.com/nigeria/rating" xr:uid="{98FA7C9C-4F56-6749-96C4-34883E4C3360}"/>
    <hyperlink ref="Q104" r:id="rId102" display="https://tradingeconomics.com/norway/rating" xr:uid="{18EFB919-B950-7443-9C12-1C2E6CBFD1FF}"/>
    <hyperlink ref="Q105" r:id="rId103" display="https://tradingeconomics.com/oman/rating" xr:uid="{1FD2286E-B2FC-674A-A6E5-435FEAD40780}"/>
    <hyperlink ref="Q106" r:id="rId104" display="https://tradingeconomics.com/pakistan/rating" xr:uid="{6934CF58-603C-4F4F-89E6-18CD9E96A40B}"/>
    <hyperlink ref="Q107" r:id="rId105" display="https://tradingeconomics.com/panama/rating" xr:uid="{513B7B36-D205-8C41-B169-342EFE9294C0}"/>
    <hyperlink ref="Q108" r:id="rId106" display="https://tradingeconomics.com/papua-new-guinea/rating" xr:uid="{9007D4D9-9A6B-4F49-A6FC-B44BE0CD41BC}"/>
    <hyperlink ref="Q109" r:id="rId107" display="https://tradingeconomics.com/paraguay/rating" xr:uid="{3ABDE85C-AC1F-A64F-9FB4-005274F1EEDD}"/>
    <hyperlink ref="Q110" r:id="rId108" display="https://tradingeconomics.com/peru/rating" xr:uid="{DDF18F2F-0799-DE4D-BF1F-D64BADE01770}"/>
    <hyperlink ref="Q111" r:id="rId109" display="https://tradingeconomics.com/philippines/rating" xr:uid="{5705278B-37ED-EF4C-8F88-1C2733C27567}"/>
    <hyperlink ref="Q112" r:id="rId110" display="https://tradingeconomics.com/poland/rating" xr:uid="{12CE4A3C-4B48-2143-A8E5-B975BE586FD0}"/>
    <hyperlink ref="Q113" r:id="rId111" display="https://tradingeconomics.com/portugal/rating" xr:uid="{936FCC62-DF02-744C-A505-287E39364597}"/>
    <hyperlink ref="Q114" r:id="rId112" display="https://tradingeconomics.com/puerto-rico/rating" xr:uid="{A4571FD9-AA0F-F744-8D07-2E942235E069}"/>
    <hyperlink ref="Q115" r:id="rId113" display="https://tradingeconomics.com/qatar/rating" xr:uid="{BF6807D8-109E-4043-AD4B-3D40AC6DED20}"/>
    <hyperlink ref="Q116" r:id="rId114" display="https://tradingeconomics.com/republic-of-the-congo/rating" xr:uid="{644C0CDE-8C3D-884E-95B3-7DF7981C646B}"/>
    <hyperlink ref="Q117" r:id="rId115" display="https://tradingeconomics.com/romania/rating" xr:uid="{36A82DF3-2B94-D948-9E8E-B939B5282B97}"/>
    <hyperlink ref="Q118" r:id="rId116" display="https://tradingeconomics.com/russia/rating" xr:uid="{56E8A5F1-294B-A047-9797-FD7CAA26BA9C}"/>
    <hyperlink ref="Q119" r:id="rId117" display="https://tradingeconomics.com/rwanda/rating" xr:uid="{8BB48D66-FF76-3A46-A27D-57246281DB3C}"/>
    <hyperlink ref="Q120" r:id="rId118" display="https://tradingeconomics.com/san-marino/rating" xr:uid="{54B82D82-B07C-D349-8DC1-4C863E7376D1}"/>
    <hyperlink ref="Q121" r:id="rId119" display="https://tradingeconomics.com/saudi-arabia/rating" xr:uid="{EB6C2926-AB98-A040-840C-95CB0D6F5C5D}"/>
    <hyperlink ref="Q122" r:id="rId120" display="https://tradingeconomics.com/senegal/rating" xr:uid="{AA2529DA-2794-1240-8DE0-4267B13B13D1}"/>
    <hyperlink ref="Q123" r:id="rId121" display="https://tradingeconomics.com/serbia/rating" xr:uid="{C959E904-9186-4344-8068-BDE4A99A0DD2}"/>
    <hyperlink ref="Q124" r:id="rId122" display="https://tradingeconomics.com/seychelles/rating" xr:uid="{190B2809-96C2-7E4E-9797-B59D6BBEDD34}"/>
    <hyperlink ref="Q125" r:id="rId123" display="https://tradingeconomics.com/singapore/rating" xr:uid="{A325F11C-2367-1343-949B-4C419749B24A}"/>
    <hyperlink ref="Q126" r:id="rId124" display="https://tradingeconomics.com/slovakia/rating" xr:uid="{59C87A0A-64E2-5D42-88DC-86D8A07E6E11}"/>
    <hyperlink ref="Q127" r:id="rId125" display="https://tradingeconomics.com/slovenia/rating" xr:uid="{8F2C1F70-286F-A041-8A31-F518B075C6B4}"/>
    <hyperlink ref="Q128" r:id="rId126" display="https://tradingeconomics.com/solomon-islands/rating" xr:uid="{0884252A-BD9E-7849-8D18-AA0272486C3C}"/>
    <hyperlink ref="Q129" r:id="rId127" display="https://tradingeconomics.com/south-africa/rating" xr:uid="{4B67A108-E69E-8942-9C61-964C5FAADAA7}"/>
    <hyperlink ref="Q130" r:id="rId128" display="https://tradingeconomics.com/south-korea/rating" xr:uid="{827069C1-454D-8449-AA77-AD3AE6DD7745}"/>
    <hyperlink ref="Q131" r:id="rId129" display="https://tradingeconomics.com/spain/rating" xr:uid="{96AEF014-52A8-DB45-B877-D2A8893AC383}"/>
    <hyperlink ref="Q132" r:id="rId130" display="https://tradingeconomics.com/sri-lanka/rating" xr:uid="{BCCBF6DA-EC8D-AE46-B218-5FBB1B202418}"/>
    <hyperlink ref="Q133" r:id="rId131" display="https://tradingeconomics.com/st-vincent-and-the-grenadines/rating" xr:uid="{1F105580-D48B-FA4F-8827-B7D9BC4A273A}"/>
    <hyperlink ref="Q134" r:id="rId132" display="https://tradingeconomics.com/suriname/rating" xr:uid="{CABC446C-66AE-A74A-9E28-6CDED20F98B8}"/>
    <hyperlink ref="Q135" r:id="rId133" display="https://tradingeconomics.com/swaziland/rating" xr:uid="{5B09A03F-0B62-F944-897C-B371BEEE9681}"/>
    <hyperlink ref="Q136" r:id="rId134" display="https://tradingeconomics.com/sweden/rating" xr:uid="{DF997EB0-421C-244E-BB92-299D2D75D8A5}"/>
    <hyperlink ref="Q137" r:id="rId135" display="https://tradingeconomics.com/switzerland/rating" xr:uid="{96D6975B-D828-4741-A771-797E676AAF02}"/>
    <hyperlink ref="Q138" r:id="rId136" display="https://tradingeconomics.com/taiwan/rating" xr:uid="{BB94A2EC-3051-D144-94A4-C3A6A7358F2C}"/>
    <hyperlink ref="Q139" r:id="rId137" display="https://tradingeconomics.com/tajikistan/rating" xr:uid="{090F1DEE-9C16-DF42-85E2-945CD2C36E9D}"/>
    <hyperlink ref="Q140" r:id="rId138" display="https://tradingeconomics.com/tanzania/rating" xr:uid="{3834B57C-9238-2646-A1BE-21C4689701C1}"/>
    <hyperlink ref="Q141" r:id="rId139" display="https://tradingeconomics.com/thailand/rating" xr:uid="{53F38D95-4B2C-AD40-8468-DD6E5A7AAEF6}"/>
    <hyperlink ref="Q142" r:id="rId140" display="https://tradingeconomics.com/togo/rating" xr:uid="{D38AD7FB-BD98-ED45-87DD-90326615AE4C}"/>
    <hyperlink ref="Q143" r:id="rId141" display="https://tradingeconomics.com/trinidad-and-tobago/rating" xr:uid="{7F51F4A4-0064-424C-94F0-C252E2A14381}"/>
    <hyperlink ref="Q144" r:id="rId142" display="https://tradingeconomics.com/tunisia/rating" xr:uid="{DCDA73BC-5C2F-1C4F-BD2E-398D866C62B2}"/>
    <hyperlink ref="Q145" r:id="rId143" display="https://tradingeconomics.com/turkey/rating" xr:uid="{AF161095-E763-2A4E-B78A-CA56993D1D37}"/>
    <hyperlink ref="Q146" r:id="rId144" display="https://tradingeconomics.com/turkmenistan/rating" xr:uid="{49C8DBCB-1421-5E43-88E7-EA5D3C8D8ED3}"/>
    <hyperlink ref="Q147" r:id="rId145" display="https://tradingeconomics.com/uganda/rating" xr:uid="{1D3ECF22-442B-804B-8247-926C27709E78}"/>
    <hyperlink ref="Q148" r:id="rId146" display="https://tradingeconomics.com/ukraine/rating" xr:uid="{0BAA00A7-05B1-7541-AD97-A6EC99B03D8D}"/>
    <hyperlink ref="Q149" r:id="rId147" display="https://tradingeconomics.com/united-arab-emirates/rating" xr:uid="{DBF95899-60C1-094C-B91A-B1E85B50523A}"/>
    <hyperlink ref="Q150" r:id="rId148" display="https://tradingeconomics.com/united-kingdom/rating" xr:uid="{A0B37A3C-D52C-B544-9AEA-2EC1AE520882}"/>
    <hyperlink ref="Q151" r:id="rId149" display="https://tradingeconomics.com/united-states/rating" xr:uid="{B3348F6F-8AD6-074B-AE6F-6FB8FB85241F}"/>
    <hyperlink ref="Q152" r:id="rId150" display="https://tradingeconomics.com/uruguay/rating" xr:uid="{2F392982-A8D9-A548-8A3A-BFABA3C4AFCB}"/>
    <hyperlink ref="Q153" r:id="rId151" display="https://tradingeconomics.com/uzbekistan/rating" xr:uid="{AB179600-E65F-0547-B035-5BEE63C081F7}"/>
    <hyperlink ref="Q154" r:id="rId152" display="https://tradingeconomics.com/venezuela/rating" xr:uid="{2703FDF6-F8F7-7440-8280-70F04357B655}"/>
    <hyperlink ref="Q155" r:id="rId153" display="https://tradingeconomics.com/vietnam/rating" xr:uid="{BEEEA96E-AC8A-FD4D-92AE-02265F3104D0}"/>
    <hyperlink ref="Q156" r:id="rId154" display="https://tradingeconomics.com/zambia/rating" xr:uid="{BFA45C7A-4DB5-C143-9EF6-C88373740DFB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83"/>
  <sheetViews>
    <sheetView workbookViewId="0">
      <selection activeCell="C40" sqref="C40"/>
    </sheetView>
  </sheetViews>
  <sheetFormatPr baseColWidth="10" defaultRowHeight="13"/>
  <cols>
    <col min="1" max="1" width="27" bestFit="1" customWidth="1"/>
    <col min="2" max="2" width="32.6640625" customWidth="1"/>
    <col min="6" max="6" width="20.83203125" customWidth="1"/>
    <col min="9" max="9" width="26.1640625" customWidth="1"/>
  </cols>
  <sheetData>
    <row r="1" spans="1:10" ht="17">
      <c r="A1" s="73" t="s">
        <v>75</v>
      </c>
      <c r="B1" s="73" t="s">
        <v>75</v>
      </c>
      <c r="C1" s="105" t="s">
        <v>357</v>
      </c>
      <c r="D1" t="s">
        <v>518</v>
      </c>
      <c r="F1" s="239" t="s">
        <v>75</v>
      </c>
      <c r="G1" s="239">
        <v>2021</v>
      </c>
      <c r="I1" t="s">
        <v>52</v>
      </c>
      <c r="J1" t="s">
        <v>560</v>
      </c>
    </row>
    <row r="2" spans="1:10" ht="16">
      <c r="A2" s="51" t="s">
        <v>272</v>
      </c>
      <c r="B2" s="51" t="str">
        <f>'Ratings worksheet'!A2</f>
        <v>Abu Dhabi</v>
      </c>
      <c r="C2" s="105">
        <f>D2</f>
        <v>0.55000000000000004</v>
      </c>
      <c r="D2">
        <v>0.55000000000000004</v>
      </c>
      <c r="F2" t="s">
        <v>405</v>
      </c>
      <c r="G2" s="52">
        <v>0.2</v>
      </c>
      <c r="I2" t="s">
        <v>450</v>
      </c>
      <c r="J2" s="52">
        <v>0.1898</v>
      </c>
    </row>
    <row r="3" spans="1:10" ht="16">
      <c r="A3" s="51" t="s">
        <v>4</v>
      </c>
      <c r="B3" s="51" t="str">
        <f>'Ratings worksheet'!A3</f>
        <v>Albania</v>
      </c>
      <c r="C3" s="105">
        <f t="shared" ref="C3:C66" si="0">D3</f>
        <v>0.15</v>
      </c>
      <c r="D3">
        <f>VLOOKUP(B3,$F$2:$G$175,2,FALSE)</f>
        <v>0.15</v>
      </c>
      <c r="F3" t="s">
        <v>4</v>
      </c>
      <c r="G3" s="52">
        <v>0.15</v>
      </c>
      <c r="I3" t="s">
        <v>455</v>
      </c>
      <c r="J3" s="52">
        <v>0.2364</v>
      </c>
    </row>
    <row r="4" spans="1:10" ht="16">
      <c r="A4" s="51" t="s">
        <v>286</v>
      </c>
      <c r="B4" s="51" t="str">
        <f>'Ratings worksheet'!A4</f>
        <v>Andorra (Principality of)</v>
      </c>
      <c r="C4" s="105">
        <f t="shared" si="0"/>
        <v>0.1898</v>
      </c>
      <c r="D4">
        <v>0.1898</v>
      </c>
      <c r="F4" t="s">
        <v>337</v>
      </c>
      <c r="G4" s="52">
        <v>0.26</v>
      </c>
      <c r="I4" t="s">
        <v>453</v>
      </c>
      <c r="J4" s="52">
        <v>0.27179999999999999</v>
      </c>
    </row>
    <row r="5" spans="1:10" ht="16">
      <c r="A5" s="51" t="s">
        <v>131</v>
      </c>
      <c r="B5" s="51" t="str">
        <f>'Ratings worksheet'!A5</f>
        <v>Angola</v>
      </c>
      <c r="C5" s="105">
        <f t="shared" si="0"/>
        <v>0.25</v>
      </c>
      <c r="D5">
        <f t="shared" ref="D5:D66" si="1">VLOOKUP(B5,$F$2:$G$173,2,FALSE)</f>
        <v>0.25</v>
      </c>
      <c r="F5" t="s">
        <v>197</v>
      </c>
      <c r="G5" s="52">
        <v>0.1</v>
      </c>
      <c r="I5" t="s">
        <v>452</v>
      </c>
      <c r="J5" s="52">
        <v>0.26750000000000002</v>
      </c>
    </row>
    <row r="6" spans="1:10" ht="16">
      <c r="A6" s="51" t="s">
        <v>84</v>
      </c>
      <c r="B6" s="51" t="str">
        <f>'Ratings worksheet'!A6</f>
        <v>Argentina</v>
      </c>
      <c r="C6" s="105">
        <f t="shared" si="0"/>
        <v>0.25</v>
      </c>
      <c r="D6">
        <f t="shared" si="1"/>
        <v>0.25</v>
      </c>
      <c r="F6" t="s">
        <v>131</v>
      </c>
      <c r="G6" s="52">
        <v>0.25</v>
      </c>
      <c r="I6" t="s">
        <v>451</v>
      </c>
      <c r="J6" s="52">
        <v>0.2843</v>
      </c>
    </row>
    <row r="7" spans="1:10" ht="16">
      <c r="A7" s="51" t="s">
        <v>19</v>
      </c>
      <c r="B7" s="51" t="str">
        <f>'Ratings worksheet'!A7</f>
        <v>Armenia</v>
      </c>
      <c r="C7" s="105">
        <f t="shared" si="0"/>
        <v>0.18</v>
      </c>
      <c r="D7">
        <f t="shared" si="1"/>
        <v>0.18</v>
      </c>
      <c r="F7" t="s">
        <v>473</v>
      </c>
      <c r="G7" s="52">
        <v>0</v>
      </c>
      <c r="I7" t="s">
        <v>454</v>
      </c>
      <c r="J7" s="52">
        <v>0.2281</v>
      </c>
    </row>
    <row r="8" spans="1:10" ht="16">
      <c r="A8" s="51" t="s">
        <v>201</v>
      </c>
      <c r="B8" s="51" t="str">
        <f>'Ratings worksheet'!A8</f>
        <v>Aruba</v>
      </c>
      <c r="C8" s="105">
        <f t="shared" si="0"/>
        <v>0.25</v>
      </c>
      <c r="D8">
        <f t="shared" si="1"/>
        <v>0.25</v>
      </c>
      <c r="F8" t="s">
        <v>425</v>
      </c>
      <c r="G8" s="52">
        <v>0.25</v>
      </c>
      <c r="I8" t="s">
        <v>480</v>
      </c>
      <c r="J8" s="52">
        <v>0.27179999999999999</v>
      </c>
    </row>
    <row r="9" spans="1:10" ht="16">
      <c r="A9" s="51" t="s">
        <v>85</v>
      </c>
      <c r="B9" s="51" t="str">
        <f>'Ratings worksheet'!A9</f>
        <v>Australia</v>
      </c>
      <c r="C9" s="105">
        <f t="shared" si="0"/>
        <v>0.3</v>
      </c>
      <c r="D9">
        <f t="shared" si="1"/>
        <v>0.3</v>
      </c>
      <c r="F9" t="s">
        <v>84</v>
      </c>
      <c r="G9" s="52">
        <v>0.25</v>
      </c>
    </row>
    <row r="10" spans="1:10" ht="16">
      <c r="A10" s="51" t="s">
        <v>176</v>
      </c>
      <c r="B10" s="51" t="str">
        <f>'Ratings worksheet'!A10</f>
        <v>Austria</v>
      </c>
      <c r="C10" s="105">
        <f t="shared" si="0"/>
        <v>0.25</v>
      </c>
      <c r="D10">
        <f t="shared" si="1"/>
        <v>0.25</v>
      </c>
      <c r="F10" t="s">
        <v>19</v>
      </c>
      <c r="G10" s="52">
        <v>0.18</v>
      </c>
    </row>
    <row r="11" spans="1:10" ht="16">
      <c r="A11" s="51" t="s">
        <v>20</v>
      </c>
      <c r="B11" s="51" t="str">
        <f>'Ratings worksheet'!A11</f>
        <v>Azerbaijan</v>
      </c>
      <c r="C11" s="105">
        <f t="shared" si="0"/>
        <v>0.2</v>
      </c>
      <c r="D11">
        <f t="shared" si="1"/>
        <v>0.2</v>
      </c>
      <c r="F11" t="s">
        <v>201</v>
      </c>
      <c r="G11" s="52">
        <v>0.25</v>
      </c>
    </row>
    <row r="12" spans="1:10" ht="16">
      <c r="A12" s="51" t="s">
        <v>86</v>
      </c>
      <c r="B12" s="51" t="str">
        <f>'Ratings worksheet'!A12</f>
        <v>Bahamas</v>
      </c>
      <c r="C12" s="105">
        <f t="shared" si="0"/>
        <v>0</v>
      </c>
      <c r="D12">
        <f t="shared" si="1"/>
        <v>0</v>
      </c>
      <c r="F12" t="s">
        <v>85</v>
      </c>
      <c r="G12" s="52">
        <v>0.3</v>
      </c>
    </row>
    <row r="13" spans="1:10" ht="16">
      <c r="A13" s="51" t="s">
        <v>87</v>
      </c>
      <c r="B13" s="51" t="str">
        <f>'Ratings worksheet'!A13</f>
        <v>Bahrain</v>
      </c>
      <c r="C13" s="105">
        <f t="shared" si="0"/>
        <v>0</v>
      </c>
      <c r="D13">
        <f t="shared" si="1"/>
        <v>0</v>
      </c>
      <c r="F13" t="s">
        <v>176</v>
      </c>
      <c r="G13" s="52">
        <v>0.25</v>
      </c>
    </row>
    <row r="14" spans="1:10" ht="16">
      <c r="A14" s="51" t="s">
        <v>132</v>
      </c>
      <c r="B14" s="51" t="str">
        <f>'Ratings worksheet'!A14</f>
        <v>Bangladesh</v>
      </c>
      <c r="C14" s="105">
        <f t="shared" si="0"/>
        <v>0.32500000000000001</v>
      </c>
      <c r="D14">
        <f t="shared" si="1"/>
        <v>0.32500000000000001</v>
      </c>
      <c r="F14" t="s">
        <v>20</v>
      </c>
      <c r="G14" s="52">
        <v>0.2</v>
      </c>
    </row>
    <row r="15" spans="1:10" ht="16">
      <c r="A15" s="51" t="s">
        <v>88</v>
      </c>
      <c r="B15" s="51" t="str">
        <f>'Ratings worksheet'!A15</f>
        <v>Barbados</v>
      </c>
      <c r="C15" s="105">
        <f t="shared" si="0"/>
        <v>5.5E-2</v>
      </c>
      <c r="D15">
        <f t="shared" si="1"/>
        <v>5.5E-2</v>
      </c>
      <c r="F15" t="s">
        <v>86</v>
      </c>
      <c r="G15" s="52">
        <v>0</v>
      </c>
    </row>
    <row r="16" spans="1:10" ht="16">
      <c r="A16" s="51" t="s">
        <v>5</v>
      </c>
      <c r="B16" s="51" t="str">
        <f>'Ratings worksheet'!A16</f>
        <v>Belarus</v>
      </c>
      <c r="C16" s="105">
        <f t="shared" si="0"/>
        <v>0.18</v>
      </c>
      <c r="D16">
        <f t="shared" si="1"/>
        <v>0.18</v>
      </c>
      <c r="F16" t="s">
        <v>87</v>
      </c>
      <c r="G16" s="52">
        <v>0</v>
      </c>
    </row>
    <row r="17" spans="1:7" ht="16">
      <c r="A17" s="51" t="s">
        <v>177</v>
      </c>
      <c r="B17" s="51" t="str">
        <f>'Ratings worksheet'!A17</f>
        <v>Belgium</v>
      </c>
      <c r="C17" s="105">
        <f t="shared" si="0"/>
        <v>0.25</v>
      </c>
      <c r="D17">
        <f t="shared" si="1"/>
        <v>0.25</v>
      </c>
      <c r="F17" t="s">
        <v>132</v>
      </c>
      <c r="G17" s="52">
        <v>0.32500000000000001</v>
      </c>
    </row>
    <row r="18" spans="1:7" ht="16">
      <c r="A18" s="51" t="s">
        <v>89</v>
      </c>
      <c r="B18" s="51" t="str">
        <f>'Ratings worksheet'!A18</f>
        <v>Belize</v>
      </c>
      <c r="C18" s="105">
        <f t="shared" si="0"/>
        <v>0.27179999999999999</v>
      </c>
      <c r="D18" s="39">
        <v>0.27179999999999999</v>
      </c>
      <c r="F18" t="s">
        <v>88</v>
      </c>
      <c r="G18" s="52">
        <v>5.5E-2</v>
      </c>
    </row>
    <row r="19" spans="1:7" ht="16">
      <c r="A19" s="51" t="s">
        <v>208</v>
      </c>
      <c r="B19" s="51" t="str">
        <f>'Ratings worksheet'!A19</f>
        <v>Benin</v>
      </c>
      <c r="C19" s="105">
        <f t="shared" si="0"/>
        <v>0.3</v>
      </c>
      <c r="D19">
        <f t="shared" si="1"/>
        <v>0.3</v>
      </c>
      <c r="F19" t="s">
        <v>5</v>
      </c>
      <c r="G19" s="52">
        <v>0.18</v>
      </c>
    </row>
    <row r="20" spans="1:7" ht="16">
      <c r="A20" s="51" t="s">
        <v>90</v>
      </c>
      <c r="B20" s="51" t="str">
        <f>'Ratings worksheet'!A20</f>
        <v>Bermuda</v>
      </c>
      <c r="C20" s="105">
        <f t="shared" si="0"/>
        <v>0</v>
      </c>
      <c r="D20">
        <f t="shared" si="1"/>
        <v>0</v>
      </c>
      <c r="F20" t="s">
        <v>177</v>
      </c>
      <c r="G20" s="52">
        <v>0.25</v>
      </c>
    </row>
    <row r="21" spans="1:7" ht="16">
      <c r="A21" s="51" t="s">
        <v>91</v>
      </c>
      <c r="B21" s="51" t="str">
        <f>'Ratings worksheet'!A21</f>
        <v>Bolivia</v>
      </c>
      <c r="C21" s="105">
        <f t="shared" si="0"/>
        <v>0.25</v>
      </c>
      <c r="D21">
        <f t="shared" si="1"/>
        <v>0.25</v>
      </c>
      <c r="F21" t="s">
        <v>208</v>
      </c>
      <c r="G21" s="52">
        <v>0.3</v>
      </c>
    </row>
    <row r="22" spans="1:7" ht="16">
      <c r="A22" s="51" t="s">
        <v>7</v>
      </c>
      <c r="B22" s="51" t="str">
        <f>'Ratings worksheet'!A22</f>
        <v>Bosnia and Herzegovina</v>
      </c>
      <c r="C22" s="105">
        <f t="shared" si="0"/>
        <v>0.1</v>
      </c>
      <c r="D22">
        <f t="shared" si="1"/>
        <v>0.1</v>
      </c>
      <c r="F22" t="s">
        <v>90</v>
      </c>
      <c r="G22" s="52">
        <v>0</v>
      </c>
    </row>
    <row r="23" spans="1:7" ht="16">
      <c r="A23" s="51" t="s">
        <v>123</v>
      </c>
      <c r="B23" s="51" t="str">
        <f>'Ratings worksheet'!A23</f>
        <v>Botswana</v>
      </c>
      <c r="C23" s="105">
        <f t="shared" si="0"/>
        <v>0.22</v>
      </c>
      <c r="D23">
        <f t="shared" si="1"/>
        <v>0.22</v>
      </c>
      <c r="F23" t="s">
        <v>91</v>
      </c>
      <c r="G23" s="52">
        <v>0.25</v>
      </c>
    </row>
    <row r="24" spans="1:7" ht="16">
      <c r="A24" s="51" t="s">
        <v>92</v>
      </c>
      <c r="B24" s="51" t="str">
        <f>'Ratings worksheet'!A24</f>
        <v>Brazil</v>
      </c>
      <c r="C24" s="105">
        <f t="shared" si="0"/>
        <v>0.34</v>
      </c>
      <c r="D24">
        <f t="shared" si="1"/>
        <v>0.34</v>
      </c>
      <c r="F24" t="s">
        <v>441</v>
      </c>
      <c r="G24" s="52">
        <v>0.25</v>
      </c>
    </row>
    <row r="25" spans="1:7" ht="16">
      <c r="A25" s="51" t="s">
        <v>94</v>
      </c>
      <c r="B25" s="51" t="str">
        <f>'Ratings worksheet'!A25</f>
        <v>Bulgaria</v>
      </c>
      <c r="C25" s="105">
        <f t="shared" si="0"/>
        <v>0.1</v>
      </c>
      <c r="D25">
        <f t="shared" si="1"/>
        <v>0.1</v>
      </c>
      <c r="F25" t="s">
        <v>7</v>
      </c>
      <c r="G25" s="52">
        <v>0.1</v>
      </c>
    </row>
    <row r="26" spans="1:7" ht="16">
      <c r="A26" s="51" t="s">
        <v>211</v>
      </c>
      <c r="B26" s="51" t="str">
        <f>'Ratings worksheet'!A26</f>
        <v>Burkina Faso</v>
      </c>
      <c r="C26" s="105">
        <f t="shared" si="0"/>
        <v>0.28000000000000003</v>
      </c>
      <c r="D26">
        <f t="shared" si="1"/>
        <v>0.28000000000000003</v>
      </c>
      <c r="F26" t="s">
        <v>123</v>
      </c>
      <c r="G26" s="52">
        <v>0.22</v>
      </c>
    </row>
    <row r="27" spans="1:7" ht="16">
      <c r="A27" s="51" t="s">
        <v>6</v>
      </c>
      <c r="B27" s="51" t="str">
        <f>'Ratings worksheet'!A27</f>
        <v>Cambodia</v>
      </c>
      <c r="C27" s="105">
        <f t="shared" si="0"/>
        <v>0.2</v>
      </c>
      <c r="D27">
        <f t="shared" si="1"/>
        <v>0.2</v>
      </c>
      <c r="F27" t="s">
        <v>92</v>
      </c>
      <c r="G27" s="52">
        <v>0.34</v>
      </c>
    </row>
    <row r="28" spans="1:7" ht="16">
      <c r="A28" s="51" t="s">
        <v>212</v>
      </c>
      <c r="B28" s="51" t="str">
        <f>'Ratings worksheet'!A28</f>
        <v>Cameroon</v>
      </c>
      <c r="C28" s="105">
        <f t="shared" si="0"/>
        <v>0.33</v>
      </c>
      <c r="D28">
        <f t="shared" si="1"/>
        <v>0.33</v>
      </c>
      <c r="F28" t="s">
        <v>406</v>
      </c>
      <c r="G28" s="52">
        <v>0.185</v>
      </c>
    </row>
    <row r="29" spans="1:7" ht="16">
      <c r="A29" s="51" t="s">
        <v>95</v>
      </c>
      <c r="B29" s="51" t="str">
        <f>'Ratings worksheet'!A29</f>
        <v>Canada</v>
      </c>
      <c r="C29" s="105">
        <f t="shared" si="0"/>
        <v>0.26500000000000001</v>
      </c>
      <c r="D29">
        <f t="shared" si="1"/>
        <v>0.26500000000000001</v>
      </c>
      <c r="F29" t="s">
        <v>94</v>
      </c>
      <c r="G29" s="52">
        <v>0.1</v>
      </c>
    </row>
    <row r="30" spans="1:7" ht="16">
      <c r="A30" s="51" t="s">
        <v>213</v>
      </c>
      <c r="B30" s="51" t="str">
        <f>'Ratings worksheet'!A30</f>
        <v>Cape Verde</v>
      </c>
      <c r="C30" s="105">
        <f t="shared" si="0"/>
        <v>0</v>
      </c>
      <c r="D30">
        <v>0</v>
      </c>
      <c r="F30" t="s">
        <v>211</v>
      </c>
      <c r="G30" s="52">
        <v>0.28000000000000003</v>
      </c>
    </row>
    <row r="31" spans="1:7" ht="16">
      <c r="A31" s="51" t="s">
        <v>55</v>
      </c>
      <c r="B31" s="51" t="str">
        <f>'Ratings worksheet'!A31</f>
        <v>Cayman Islands</v>
      </c>
      <c r="C31" s="105">
        <f t="shared" si="0"/>
        <v>0</v>
      </c>
      <c r="D31">
        <f t="shared" si="1"/>
        <v>0</v>
      </c>
      <c r="F31" t="s">
        <v>415</v>
      </c>
      <c r="G31" s="52">
        <v>0.3</v>
      </c>
    </row>
    <row r="32" spans="1:7" ht="16">
      <c r="A32" s="51" t="s">
        <v>96</v>
      </c>
      <c r="B32" s="51" t="str">
        <f>'Ratings worksheet'!A32</f>
        <v>Chile</v>
      </c>
      <c r="C32" s="105">
        <f t="shared" si="0"/>
        <v>0.27</v>
      </c>
      <c r="D32">
        <f t="shared" si="1"/>
        <v>0.27</v>
      </c>
      <c r="F32" t="s">
        <v>6</v>
      </c>
      <c r="G32" s="52">
        <v>0.2</v>
      </c>
    </row>
    <row r="33" spans="1:7" ht="16">
      <c r="A33" s="51" t="s">
        <v>97</v>
      </c>
      <c r="B33" s="51" t="str">
        <f>'Ratings worksheet'!A33</f>
        <v>China</v>
      </c>
      <c r="C33" s="105">
        <f t="shared" si="0"/>
        <v>0.25</v>
      </c>
      <c r="D33">
        <f t="shared" si="1"/>
        <v>0.25</v>
      </c>
      <c r="F33" t="s">
        <v>212</v>
      </c>
      <c r="G33" s="52">
        <v>0.33</v>
      </c>
    </row>
    <row r="34" spans="1:7" ht="16">
      <c r="A34" s="51" t="s">
        <v>50</v>
      </c>
      <c r="B34" s="51" t="str">
        <f>'Ratings worksheet'!A34</f>
        <v>Colombia</v>
      </c>
      <c r="C34" s="105">
        <f t="shared" si="0"/>
        <v>0.31</v>
      </c>
      <c r="D34">
        <f t="shared" si="1"/>
        <v>0.31</v>
      </c>
      <c r="F34" t="s">
        <v>95</v>
      </c>
      <c r="G34" s="52">
        <v>0.26500000000000001</v>
      </c>
    </row>
    <row r="35" spans="1:7" ht="16">
      <c r="A35" s="51" t="s">
        <v>287</v>
      </c>
      <c r="B35" s="51" t="str">
        <f>'Ratings worksheet'!A35</f>
        <v>Congo (Democratic Republic of)</v>
      </c>
      <c r="C35" s="105">
        <f t="shared" si="0"/>
        <v>0.3</v>
      </c>
      <c r="D35" s="87">
        <v>0.3</v>
      </c>
      <c r="F35" t="s">
        <v>55</v>
      </c>
      <c r="G35" s="52">
        <v>0</v>
      </c>
    </row>
    <row r="36" spans="1:7" ht="16">
      <c r="A36" s="51" t="s">
        <v>288</v>
      </c>
      <c r="B36" s="51" t="str">
        <f>'Ratings worksheet'!A36</f>
        <v>Congo (Republic of)</v>
      </c>
      <c r="C36" s="105">
        <f t="shared" si="0"/>
        <v>0.28000000000000003</v>
      </c>
      <c r="D36">
        <v>0.28000000000000003</v>
      </c>
      <c r="F36" t="s">
        <v>96</v>
      </c>
      <c r="G36" s="52">
        <v>0.27</v>
      </c>
    </row>
    <row r="37" spans="1:7" ht="16">
      <c r="A37" s="51" t="s">
        <v>214</v>
      </c>
      <c r="B37" s="51" t="str">
        <f>'Ratings worksheet'!A37</f>
        <v>Cook Islands</v>
      </c>
      <c r="C37" s="105">
        <f t="shared" si="0"/>
        <v>0.2843</v>
      </c>
      <c r="D37" s="39">
        <v>0.2843</v>
      </c>
      <c r="F37" t="s">
        <v>97</v>
      </c>
      <c r="G37" s="52">
        <v>0.25</v>
      </c>
    </row>
    <row r="38" spans="1:7" ht="16">
      <c r="A38" s="51" t="s">
        <v>56</v>
      </c>
      <c r="B38" s="51" t="str">
        <f>'Ratings worksheet'!A38</f>
        <v>Costa Rica</v>
      </c>
      <c r="C38" s="105">
        <f t="shared" si="0"/>
        <v>0.3</v>
      </c>
      <c r="D38">
        <f t="shared" si="1"/>
        <v>0.3</v>
      </c>
      <c r="F38" t="s">
        <v>50</v>
      </c>
      <c r="G38" s="52">
        <v>0.31</v>
      </c>
    </row>
    <row r="39" spans="1:7" ht="16">
      <c r="A39" s="51" t="s">
        <v>283</v>
      </c>
      <c r="B39" s="51" t="str">
        <f>'Ratings worksheet'!A39</f>
        <v>Côte d'Ivoire</v>
      </c>
      <c r="C39" s="105">
        <f>D39</f>
        <v>0.25</v>
      </c>
      <c r="D39">
        <v>0.25</v>
      </c>
      <c r="F39" t="s">
        <v>517</v>
      </c>
      <c r="G39" s="52">
        <v>0.28000000000000003</v>
      </c>
    </row>
    <row r="40" spans="1:7" ht="16">
      <c r="A40" s="51" t="s">
        <v>98</v>
      </c>
      <c r="B40" s="51" t="str">
        <f>'Ratings worksheet'!A40</f>
        <v>Croatia</v>
      </c>
      <c r="C40" s="105">
        <f t="shared" si="0"/>
        <v>0.18</v>
      </c>
      <c r="D40">
        <f t="shared" si="1"/>
        <v>0.18</v>
      </c>
      <c r="F40" t="s">
        <v>474</v>
      </c>
      <c r="G40" s="52">
        <v>0.3</v>
      </c>
    </row>
    <row r="41" spans="1:7" ht="16">
      <c r="A41" s="51" t="s">
        <v>99</v>
      </c>
      <c r="B41" s="51" t="str">
        <f>'Ratings worksheet'!A41</f>
        <v>Cuba</v>
      </c>
      <c r="C41" s="105">
        <f t="shared" si="0"/>
        <v>0.27179999999999999</v>
      </c>
      <c r="D41" s="39">
        <v>0.27179999999999999</v>
      </c>
      <c r="F41" t="s">
        <v>56</v>
      </c>
      <c r="G41" s="52">
        <v>0.3</v>
      </c>
    </row>
    <row r="42" spans="1:7" ht="16">
      <c r="A42" s="51" t="s">
        <v>217</v>
      </c>
      <c r="B42" s="51" t="str">
        <f>'Ratings worksheet'!A42</f>
        <v>Curacao</v>
      </c>
      <c r="C42" s="105">
        <f t="shared" si="0"/>
        <v>0.22</v>
      </c>
      <c r="D42">
        <f t="shared" si="1"/>
        <v>0.22</v>
      </c>
      <c r="F42" t="s">
        <v>98</v>
      </c>
      <c r="G42" s="52">
        <v>0.18</v>
      </c>
    </row>
    <row r="43" spans="1:7" ht="16">
      <c r="A43" s="51" t="s">
        <v>178</v>
      </c>
      <c r="B43" s="51" t="str">
        <f>'Ratings worksheet'!A43</f>
        <v>Cyprus</v>
      </c>
      <c r="C43" s="105">
        <f t="shared" si="0"/>
        <v>0.125</v>
      </c>
      <c r="D43">
        <f t="shared" si="1"/>
        <v>0.125</v>
      </c>
      <c r="F43" t="s">
        <v>217</v>
      </c>
      <c r="G43" s="52">
        <v>0.22</v>
      </c>
    </row>
    <row r="44" spans="1:7" ht="16">
      <c r="A44" s="51" t="s">
        <v>101</v>
      </c>
      <c r="B44" s="51" t="str">
        <f>'Ratings worksheet'!A44</f>
        <v>Czech Republic</v>
      </c>
      <c r="C44" s="105">
        <f t="shared" si="0"/>
        <v>0.19</v>
      </c>
      <c r="D44">
        <f t="shared" si="1"/>
        <v>0.19</v>
      </c>
      <c r="F44" t="s">
        <v>178</v>
      </c>
      <c r="G44" s="52">
        <v>0.125</v>
      </c>
    </row>
    <row r="45" spans="1:7" ht="16">
      <c r="A45" s="51" t="s">
        <v>102</v>
      </c>
      <c r="B45" s="51" t="str">
        <f>'Ratings worksheet'!A45</f>
        <v>Denmark</v>
      </c>
      <c r="C45" s="105">
        <f t="shared" si="0"/>
        <v>0.22</v>
      </c>
      <c r="D45">
        <f t="shared" si="1"/>
        <v>0.22</v>
      </c>
      <c r="F45" t="s">
        <v>101</v>
      </c>
      <c r="G45" s="52">
        <v>0.19</v>
      </c>
    </row>
    <row r="46" spans="1:7" ht="16">
      <c r="A46" s="51" t="s">
        <v>103</v>
      </c>
      <c r="B46" s="51" t="str">
        <f>'Ratings worksheet'!A46</f>
        <v>Dominican Republic</v>
      </c>
      <c r="C46" s="105">
        <f t="shared" si="0"/>
        <v>0.27</v>
      </c>
      <c r="D46">
        <f t="shared" si="1"/>
        <v>0.27</v>
      </c>
      <c r="F46" t="s">
        <v>102</v>
      </c>
      <c r="G46" s="52">
        <v>0.22</v>
      </c>
    </row>
    <row r="47" spans="1:7" ht="16">
      <c r="A47" s="51" t="s">
        <v>104</v>
      </c>
      <c r="B47" s="51" t="str">
        <f>'Ratings worksheet'!A47</f>
        <v>Ecuador</v>
      </c>
      <c r="C47" s="105">
        <f t="shared" si="0"/>
        <v>0.25</v>
      </c>
      <c r="D47">
        <f t="shared" si="1"/>
        <v>0.25</v>
      </c>
      <c r="F47" t="s">
        <v>420</v>
      </c>
      <c r="G47" s="52">
        <v>0.25</v>
      </c>
    </row>
    <row r="48" spans="1:7" ht="16">
      <c r="A48" s="51" t="s">
        <v>105</v>
      </c>
      <c r="B48" s="51" t="str">
        <f>'Ratings worksheet'!A48</f>
        <v>Egypt</v>
      </c>
      <c r="C48" s="105">
        <f t="shared" si="0"/>
        <v>0.22500000000000001</v>
      </c>
      <c r="D48">
        <f t="shared" si="1"/>
        <v>0.22500000000000001</v>
      </c>
      <c r="F48" t="s">
        <v>434</v>
      </c>
      <c r="G48" s="52">
        <v>0.25</v>
      </c>
    </row>
    <row r="49" spans="1:7" ht="16">
      <c r="A49" s="51" t="s">
        <v>31</v>
      </c>
      <c r="B49" s="51" t="str">
        <f>'Ratings worksheet'!A49</f>
        <v>El Salvador</v>
      </c>
      <c r="C49" s="105">
        <f t="shared" si="0"/>
        <v>0.3</v>
      </c>
      <c r="D49">
        <f t="shared" si="1"/>
        <v>0.3</v>
      </c>
      <c r="F49" t="s">
        <v>103</v>
      </c>
      <c r="G49" s="52">
        <v>0.27</v>
      </c>
    </row>
    <row r="50" spans="1:7" ht="16">
      <c r="A50" s="51" t="s">
        <v>106</v>
      </c>
      <c r="B50" s="51" t="str">
        <f>'Ratings worksheet'!A50</f>
        <v>Estonia</v>
      </c>
      <c r="C50" s="105">
        <f t="shared" si="0"/>
        <v>0.2</v>
      </c>
      <c r="D50">
        <f t="shared" si="1"/>
        <v>0.2</v>
      </c>
      <c r="F50" t="s">
        <v>104</v>
      </c>
      <c r="G50" s="52">
        <v>0.25</v>
      </c>
    </row>
    <row r="51" spans="1:7" ht="16">
      <c r="A51" s="51" t="s">
        <v>284</v>
      </c>
      <c r="B51" s="51" t="str">
        <f>'Ratings worksheet'!A51</f>
        <v>Ethiopia</v>
      </c>
      <c r="C51" s="105">
        <f t="shared" si="0"/>
        <v>0.3</v>
      </c>
      <c r="D51">
        <f t="shared" si="1"/>
        <v>0.3</v>
      </c>
      <c r="F51" t="s">
        <v>105</v>
      </c>
      <c r="G51" s="52">
        <v>0.22500000000000001</v>
      </c>
    </row>
    <row r="52" spans="1:7" ht="16">
      <c r="A52" s="51" t="s">
        <v>219</v>
      </c>
      <c r="B52" s="51" t="str">
        <f>'Ratings worksheet'!A52</f>
        <v>Fiji</v>
      </c>
      <c r="C52" s="105">
        <f t="shared" si="0"/>
        <v>0.2</v>
      </c>
      <c r="D52">
        <f t="shared" si="1"/>
        <v>0.2</v>
      </c>
      <c r="F52" t="s">
        <v>31</v>
      </c>
      <c r="G52" s="52">
        <v>0.3</v>
      </c>
    </row>
    <row r="53" spans="1:7" ht="16">
      <c r="A53" s="51" t="s">
        <v>179</v>
      </c>
      <c r="B53" s="51" t="str">
        <f>'Ratings worksheet'!A53</f>
        <v>Finland</v>
      </c>
      <c r="C53" s="105">
        <f t="shared" si="0"/>
        <v>0.2</v>
      </c>
      <c r="D53">
        <f t="shared" si="1"/>
        <v>0.2</v>
      </c>
      <c r="F53" t="s">
        <v>106</v>
      </c>
      <c r="G53" s="52">
        <v>0.2</v>
      </c>
    </row>
    <row r="54" spans="1:7" ht="16">
      <c r="A54" s="51" t="s">
        <v>180</v>
      </c>
      <c r="B54" s="51" t="str">
        <f>'Ratings worksheet'!A54</f>
        <v>France</v>
      </c>
      <c r="C54" s="105">
        <f t="shared" si="0"/>
        <v>0.26500000000000001</v>
      </c>
      <c r="D54">
        <f t="shared" si="1"/>
        <v>0.26500000000000001</v>
      </c>
      <c r="F54" t="s">
        <v>284</v>
      </c>
      <c r="G54" s="52">
        <v>0.3</v>
      </c>
    </row>
    <row r="55" spans="1:7" ht="16">
      <c r="A55" s="51" t="s">
        <v>220</v>
      </c>
      <c r="B55" s="51" t="str">
        <f>'Ratings worksheet'!A55</f>
        <v>Gabon</v>
      </c>
      <c r="C55" s="105">
        <f t="shared" si="0"/>
        <v>0.3</v>
      </c>
      <c r="D55">
        <f t="shared" si="1"/>
        <v>0.3</v>
      </c>
      <c r="F55" t="s">
        <v>219</v>
      </c>
      <c r="G55" s="52">
        <v>0.2</v>
      </c>
    </row>
    <row r="56" spans="1:7" ht="16">
      <c r="A56" s="51" t="s">
        <v>133</v>
      </c>
      <c r="B56" s="51" t="str">
        <f>'Ratings worksheet'!A56</f>
        <v>Georgia</v>
      </c>
      <c r="C56" s="105">
        <f t="shared" si="0"/>
        <v>0.15</v>
      </c>
      <c r="D56">
        <f t="shared" si="1"/>
        <v>0.15</v>
      </c>
      <c r="F56" t="s">
        <v>179</v>
      </c>
      <c r="G56" s="52">
        <v>0.2</v>
      </c>
    </row>
    <row r="57" spans="1:7" ht="16">
      <c r="A57" s="51" t="s">
        <v>181</v>
      </c>
      <c r="B57" s="51" t="str">
        <f>'Ratings worksheet'!A57</f>
        <v>Germany</v>
      </c>
      <c r="C57" s="105">
        <f t="shared" si="0"/>
        <v>0.3</v>
      </c>
      <c r="D57">
        <f t="shared" si="1"/>
        <v>0.3</v>
      </c>
      <c r="F57" t="s">
        <v>180</v>
      </c>
      <c r="G57" s="52">
        <v>0.26500000000000001</v>
      </c>
    </row>
    <row r="58" spans="1:7" ht="16">
      <c r="A58" s="51" t="s">
        <v>221</v>
      </c>
      <c r="B58" s="51" t="str">
        <f>'Ratings worksheet'!A58</f>
        <v>Ghana</v>
      </c>
      <c r="C58" s="105">
        <f t="shared" si="0"/>
        <v>0.25</v>
      </c>
      <c r="D58">
        <f t="shared" si="1"/>
        <v>0.25</v>
      </c>
      <c r="F58" t="s">
        <v>220</v>
      </c>
      <c r="G58" s="52">
        <v>0.3</v>
      </c>
    </row>
    <row r="59" spans="1:7" ht="16">
      <c r="A59" s="51" t="s">
        <v>182</v>
      </c>
      <c r="B59" s="51" t="str">
        <f>'Ratings worksheet'!A59</f>
        <v>Greece</v>
      </c>
      <c r="C59" s="105">
        <f t="shared" si="0"/>
        <v>0.24</v>
      </c>
      <c r="D59">
        <f t="shared" si="1"/>
        <v>0.24</v>
      </c>
      <c r="F59" t="s">
        <v>334</v>
      </c>
      <c r="G59" s="52">
        <v>0.27</v>
      </c>
    </row>
    <row r="60" spans="1:7" ht="16">
      <c r="A60" s="51" t="s">
        <v>107</v>
      </c>
      <c r="B60" s="51" t="str">
        <f>'Ratings worksheet'!A60</f>
        <v>Guatemala</v>
      </c>
      <c r="C60" s="105">
        <f t="shared" si="0"/>
        <v>0.25</v>
      </c>
      <c r="D60">
        <f t="shared" si="1"/>
        <v>0.25</v>
      </c>
      <c r="F60" t="s">
        <v>133</v>
      </c>
      <c r="G60" s="52">
        <v>0.15</v>
      </c>
    </row>
    <row r="61" spans="1:7" ht="16">
      <c r="A61" s="51" t="s">
        <v>289</v>
      </c>
      <c r="B61" s="51" t="str">
        <f>'Ratings worksheet'!A61</f>
        <v>Guernsey (States of)</v>
      </c>
      <c r="C61" s="105">
        <f t="shared" si="0"/>
        <v>0</v>
      </c>
      <c r="D61">
        <v>0</v>
      </c>
      <c r="F61" t="s">
        <v>181</v>
      </c>
      <c r="G61" s="52">
        <v>0.3</v>
      </c>
    </row>
    <row r="62" spans="1:7" ht="16">
      <c r="A62" s="51" t="s">
        <v>108</v>
      </c>
      <c r="B62" s="51" t="str">
        <f>'Ratings worksheet'!A62</f>
        <v>Honduras</v>
      </c>
      <c r="C62" s="105">
        <f t="shared" si="0"/>
        <v>0.25</v>
      </c>
      <c r="D62">
        <f t="shared" si="1"/>
        <v>0.25</v>
      </c>
      <c r="F62" t="s">
        <v>221</v>
      </c>
      <c r="G62" s="52">
        <v>0.25</v>
      </c>
    </row>
    <row r="63" spans="1:7" ht="16">
      <c r="A63" s="51" t="s">
        <v>59</v>
      </c>
      <c r="B63" s="51" t="str">
        <f>'Ratings worksheet'!A63</f>
        <v>Hong Kong</v>
      </c>
      <c r="C63" s="105">
        <f t="shared" si="0"/>
        <v>0.16500000000000001</v>
      </c>
      <c r="D63">
        <v>0.16500000000000001</v>
      </c>
      <c r="F63" t="s">
        <v>442</v>
      </c>
      <c r="G63" s="52">
        <v>0.1</v>
      </c>
    </row>
    <row r="64" spans="1:7" ht="16">
      <c r="A64" s="51" t="s">
        <v>109</v>
      </c>
      <c r="B64" s="51" t="str">
        <f>'Ratings worksheet'!A64</f>
        <v>Hungary</v>
      </c>
      <c r="C64" s="105">
        <f t="shared" si="0"/>
        <v>0.09</v>
      </c>
      <c r="D64">
        <f t="shared" si="1"/>
        <v>0.09</v>
      </c>
      <c r="F64" t="s">
        <v>182</v>
      </c>
      <c r="G64" s="52">
        <v>0.24</v>
      </c>
    </row>
    <row r="65" spans="1:7" ht="16">
      <c r="A65" s="51" t="s">
        <v>110</v>
      </c>
      <c r="B65" s="51" t="str">
        <f>'Ratings worksheet'!A65</f>
        <v>Iceland</v>
      </c>
      <c r="C65" s="105">
        <f t="shared" si="0"/>
        <v>0.2</v>
      </c>
      <c r="D65">
        <f t="shared" si="1"/>
        <v>0.2</v>
      </c>
      <c r="F65" t="s">
        <v>427</v>
      </c>
      <c r="G65" s="52">
        <v>0.28000000000000003</v>
      </c>
    </row>
    <row r="66" spans="1:7" ht="16">
      <c r="A66" s="51" t="s">
        <v>111</v>
      </c>
      <c r="B66" s="51" t="str">
        <f>'Ratings worksheet'!A66</f>
        <v>India</v>
      </c>
      <c r="C66" s="105">
        <f t="shared" si="0"/>
        <v>0.3</v>
      </c>
      <c r="D66">
        <f t="shared" si="1"/>
        <v>0.3</v>
      </c>
      <c r="F66" t="s">
        <v>107</v>
      </c>
      <c r="G66" s="52">
        <v>0.25</v>
      </c>
    </row>
    <row r="67" spans="1:7" ht="16">
      <c r="A67" s="51" t="s">
        <v>112</v>
      </c>
      <c r="B67" s="51" t="s">
        <v>331</v>
      </c>
      <c r="C67" s="105">
        <f t="shared" ref="C67:C130" si="2">D67</f>
        <v>0.35</v>
      </c>
      <c r="D67">
        <f t="shared" ref="D67:D130" si="3">VLOOKUP(B67,$F$2:$G$173,2,FALSE)</f>
        <v>0.35</v>
      </c>
      <c r="F67" t="s">
        <v>443</v>
      </c>
      <c r="G67" s="52">
        <v>0</v>
      </c>
    </row>
    <row r="68" spans="1:7" ht="16">
      <c r="A68" s="51" t="s">
        <v>331</v>
      </c>
      <c r="B68" s="51" t="str">
        <f>'Ratings worksheet'!A68</f>
        <v>Iraq</v>
      </c>
      <c r="C68" s="105">
        <f t="shared" si="2"/>
        <v>0.35</v>
      </c>
      <c r="D68">
        <f t="shared" si="3"/>
        <v>0.35</v>
      </c>
      <c r="F68" t="s">
        <v>108</v>
      </c>
      <c r="G68" s="52">
        <v>0.25</v>
      </c>
    </row>
    <row r="69" spans="1:7" ht="16">
      <c r="A69" s="51" t="s">
        <v>183</v>
      </c>
      <c r="B69" s="51" t="str">
        <f>'Ratings worksheet'!A69</f>
        <v>Ireland</v>
      </c>
      <c r="C69" s="105">
        <f t="shared" si="2"/>
        <v>0.125</v>
      </c>
      <c r="D69">
        <f t="shared" si="3"/>
        <v>0.125</v>
      </c>
      <c r="F69" t="s">
        <v>444</v>
      </c>
      <c r="G69" s="52">
        <v>0.16500000000000001</v>
      </c>
    </row>
    <row r="70" spans="1:7" ht="16">
      <c r="A70" s="51" t="s">
        <v>113</v>
      </c>
      <c r="B70" s="51" t="str">
        <f>'Ratings worksheet'!A70</f>
        <v>Isle of Man</v>
      </c>
      <c r="C70" s="105">
        <f t="shared" si="2"/>
        <v>0</v>
      </c>
      <c r="D70">
        <f t="shared" si="3"/>
        <v>0</v>
      </c>
      <c r="F70" t="s">
        <v>109</v>
      </c>
      <c r="G70" s="52">
        <v>0.09</v>
      </c>
    </row>
    <row r="71" spans="1:7" ht="16">
      <c r="A71" s="51" t="s">
        <v>114</v>
      </c>
      <c r="B71" s="51" t="str">
        <f>'Ratings worksheet'!A71</f>
        <v>Israel</v>
      </c>
      <c r="C71" s="105">
        <f t="shared" si="2"/>
        <v>0.23</v>
      </c>
      <c r="D71">
        <f t="shared" si="3"/>
        <v>0.23</v>
      </c>
      <c r="F71" t="s">
        <v>110</v>
      </c>
      <c r="G71" s="52">
        <v>0.2</v>
      </c>
    </row>
    <row r="72" spans="1:7" ht="16">
      <c r="A72" s="51" t="s">
        <v>145</v>
      </c>
      <c r="B72" s="51" t="str">
        <f>'Ratings worksheet'!A72</f>
        <v>Italy</v>
      </c>
      <c r="C72" s="105">
        <f t="shared" si="2"/>
        <v>0.24</v>
      </c>
      <c r="D72">
        <f t="shared" si="3"/>
        <v>0.24</v>
      </c>
      <c r="F72" t="s">
        <v>111</v>
      </c>
      <c r="G72" s="52">
        <v>0.3</v>
      </c>
    </row>
    <row r="73" spans="1:7" ht="16">
      <c r="A73" s="51" t="s">
        <v>115</v>
      </c>
      <c r="B73" s="51" t="str">
        <f>'Ratings worksheet'!A73</f>
        <v>Jamaica</v>
      </c>
      <c r="C73" s="105">
        <f t="shared" si="2"/>
        <v>0.25</v>
      </c>
      <c r="D73">
        <f t="shared" si="3"/>
        <v>0.25</v>
      </c>
      <c r="F73" t="s">
        <v>112</v>
      </c>
      <c r="G73" s="52">
        <v>0.22</v>
      </c>
    </row>
    <row r="74" spans="1:7" ht="16">
      <c r="A74" s="51" t="s">
        <v>116</v>
      </c>
      <c r="B74" s="51" t="str">
        <f>'Ratings worksheet'!A74</f>
        <v>Japan</v>
      </c>
      <c r="C74" s="105">
        <f t="shared" si="2"/>
        <v>0.30620000000000003</v>
      </c>
      <c r="D74" s="201">
        <f t="shared" si="3"/>
        <v>0.30620000000000003</v>
      </c>
      <c r="F74" t="s">
        <v>331</v>
      </c>
      <c r="G74" s="52">
        <v>0.35</v>
      </c>
    </row>
    <row r="75" spans="1:7" ht="16">
      <c r="A75" s="51" t="s">
        <v>290</v>
      </c>
      <c r="B75" s="51" t="str">
        <f>'Ratings worksheet'!A75</f>
        <v>Jersey (States of)</v>
      </c>
      <c r="C75" s="105">
        <f t="shared" si="2"/>
        <v>0</v>
      </c>
      <c r="D75">
        <v>0</v>
      </c>
      <c r="F75" t="s">
        <v>183</v>
      </c>
      <c r="G75" s="52">
        <v>0.125</v>
      </c>
    </row>
    <row r="76" spans="1:7" ht="16">
      <c r="A76" s="51" t="s">
        <v>117</v>
      </c>
      <c r="B76" s="51" t="str">
        <f>'Ratings worksheet'!A76</f>
        <v>Jordan</v>
      </c>
      <c r="C76" s="105">
        <f t="shared" si="2"/>
        <v>0.2</v>
      </c>
      <c r="D76">
        <f t="shared" si="3"/>
        <v>0.2</v>
      </c>
      <c r="F76" t="s">
        <v>113</v>
      </c>
      <c r="G76" s="52">
        <v>0</v>
      </c>
    </row>
    <row r="77" spans="1:7" ht="16">
      <c r="A77" s="51" t="s">
        <v>118</v>
      </c>
      <c r="B77" s="51" t="str">
        <f>'Ratings worksheet'!A77</f>
        <v>Kazakhstan</v>
      </c>
      <c r="C77" s="105">
        <f t="shared" si="2"/>
        <v>0.2</v>
      </c>
      <c r="D77">
        <f t="shared" si="3"/>
        <v>0.2</v>
      </c>
      <c r="F77" t="s">
        <v>114</v>
      </c>
      <c r="G77" s="52">
        <v>0.23</v>
      </c>
    </row>
    <row r="78" spans="1:7" ht="16">
      <c r="A78" s="51" t="s">
        <v>184</v>
      </c>
      <c r="B78" s="51" t="str">
        <f>'Ratings worksheet'!A78</f>
        <v>Kenya</v>
      </c>
      <c r="C78" s="105">
        <f t="shared" si="2"/>
        <v>0.3</v>
      </c>
      <c r="D78">
        <f t="shared" si="3"/>
        <v>0.3</v>
      </c>
      <c r="F78" t="s">
        <v>145</v>
      </c>
      <c r="G78" s="52">
        <v>0.24</v>
      </c>
    </row>
    <row r="79" spans="1:7" ht="16">
      <c r="A79" s="51" t="s">
        <v>119</v>
      </c>
      <c r="B79" s="51" t="str">
        <f>'Ratings worksheet'!A79</f>
        <v>Korea</v>
      </c>
      <c r="C79" s="105">
        <f t="shared" si="2"/>
        <v>0.25</v>
      </c>
      <c r="D79">
        <v>0.25</v>
      </c>
      <c r="F79" t="s">
        <v>475</v>
      </c>
      <c r="G79" s="52">
        <v>0.25</v>
      </c>
    </row>
    <row r="80" spans="1:7" ht="16">
      <c r="A80" s="51" t="s">
        <v>120</v>
      </c>
      <c r="B80" s="51" t="str">
        <f>'Ratings worksheet'!A80</f>
        <v>Kuwait</v>
      </c>
      <c r="C80" s="105">
        <f t="shared" si="2"/>
        <v>0.15</v>
      </c>
      <c r="D80">
        <f t="shared" si="3"/>
        <v>0.15</v>
      </c>
      <c r="F80" t="s">
        <v>115</v>
      </c>
      <c r="G80" s="52">
        <v>0.25</v>
      </c>
    </row>
    <row r="81" spans="1:7" ht="16">
      <c r="A81" s="17" t="s">
        <v>353</v>
      </c>
      <c r="B81" s="51" t="str">
        <f>'Ratings worksheet'!A81</f>
        <v>Kyrgyzstan</v>
      </c>
      <c r="C81" s="105">
        <f t="shared" si="2"/>
        <v>0.1</v>
      </c>
      <c r="D81">
        <f t="shared" si="3"/>
        <v>0.1</v>
      </c>
      <c r="F81" t="s">
        <v>116</v>
      </c>
      <c r="G81" s="52">
        <v>0.30620000000000003</v>
      </c>
    </row>
    <row r="82" spans="1:7" ht="16">
      <c r="A82" s="17" t="s">
        <v>343</v>
      </c>
      <c r="B82" s="51" t="s">
        <v>343</v>
      </c>
      <c r="C82" s="105">
        <f t="shared" si="2"/>
        <v>0.2281</v>
      </c>
      <c r="D82" s="39">
        <v>0.2281</v>
      </c>
      <c r="F82" t="s">
        <v>445</v>
      </c>
      <c r="G82" s="52">
        <v>0</v>
      </c>
    </row>
    <row r="83" spans="1:7" ht="16">
      <c r="A83" s="51" t="s">
        <v>121</v>
      </c>
      <c r="B83" s="51" t="str">
        <f>'Ratings worksheet'!A83</f>
        <v>Latvia</v>
      </c>
      <c r="C83" s="105">
        <f t="shared" si="2"/>
        <v>0.2</v>
      </c>
      <c r="D83">
        <f t="shared" si="3"/>
        <v>0.2</v>
      </c>
      <c r="F83" t="s">
        <v>117</v>
      </c>
      <c r="G83" s="52">
        <v>0.2</v>
      </c>
    </row>
    <row r="84" spans="1:7" ht="16">
      <c r="A84" s="51" t="s">
        <v>122</v>
      </c>
      <c r="B84" s="51" t="str">
        <f>'Ratings worksheet'!A84</f>
        <v>Lebanon</v>
      </c>
      <c r="C84" s="105">
        <f t="shared" si="2"/>
        <v>0.17</v>
      </c>
      <c r="D84">
        <f t="shared" si="3"/>
        <v>0.17</v>
      </c>
      <c r="F84" t="s">
        <v>118</v>
      </c>
      <c r="G84" s="52">
        <v>0.2</v>
      </c>
    </row>
    <row r="85" spans="1:7" ht="16">
      <c r="A85" s="51" t="s">
        <v>223</v>
      </c>
      <c r="B85" s="51" t="str">
        <f>'Ratings worksheet'!A85</f>
        <v>Liechtenstein</v>
      </c>
      <c r="C85" s="105">
        <f t="shared" si="2"/>
        <v>0.125</v>
      </c>
      <c r="D85">
        <f t="shared" si="3"/>
        <v>0.125</v>
      </c>
      <c r="F85" t="s">
        <v>184</v>
      </c>
      <c r="G85" s="52">
        <v>0.3</v>
      </c>
    </row>
    <row r="86" spans="1:7" ht="16">
      <c r="A86" s="51" t="s">
        <v>13</v>
      </c>
      <c r="B86" s="51" t="str">
        <f>'Ratings worksheet'!A86</f>
        <v>Lithuania</v>
      </c>
      <c r="C86" s="105">
        <f t="shared" si="2"/>
        <v>0.15</v>
      </c>
      <c r="D86">
        <f t="shared" si="3"/>
        <v>0.15</v>
      </c>
      <c r="F86" t="s">
        <v>446</v>
      </c>
      <c r="G86" s="52">
        <v>0.25</v>
      </c>
    </row>
    <row r="87" spans="1:7" ht="16">
      <c r="A87" s="51" t="s">
        <v>185</v>
      </c>
      <c r="B87" s="51" t="str">
        <f>'Ratings worksheet'!A87</f>
        <v>Luxembourg</v>
      </c>
      <c r="C87" s="105">
        <f t="shared" si="2"/>
        <v>0.24940000000000001</v>
      </c>
      <c r="D87">
        <f t="shared" si="3"/>
        <v>0.24940000000000001</v>
      </c>
      <c r="F87" t="s">
        <v>120</v>
      </c>
      <c r="G87" s="52">
        <v>0.15</v>
      </c>
    </row>
    <row r="88" spans="1:7" ht="16">
      <c r="A88" s="51" t="s">
        <v>32</v>
      </c>
      <c r="B88" s="51" t="str">
        <f>'Ratings worksheet'!A88</f>
        <v>Macao</v>
      </c>
      <c r="C88" s="105">
        <f t="shared" si="2"/>
        <v>0.2281</v>
      </c>
      <c r="D88">
        <v>0.2281</v>
      </c>
      <c r="F88" t="s">
        <v>353</v>
      </c>
      <c r="G88" s="52">
        <v>0.1</v>
      </c>
    </row>
    <row r="89" spans="1:7" ht="16">
      <c r="A89" s="51" t="s">
        <v>146</v>
      </c>
      <c r="B89" s="51" t="str">
        <f>'Ratings worksheet'!A89</f>
        <v>Macedonia</v>
      </c>
      <c r="C89" s="105">
        <f t="shared" si="2"/>
        <v>0.1</v>
      </c>
      <c r="D89">
        <f t="shared" si="3"/>
        <v>0.1</v>
      </c>
      <c r="F89" t="s">
        <v>121</v>
      </c>
      <c r="G89" s="52">
        <v>0.2</v>
      </c>
    </row>
    <row r="90" spans="1:7" ht="16">
      <c r="A90" s="51" t="s">
        <v>14</v>
      </c>
      <c r="B90" s="51" t="s">
        <v>14</v>
      </c>
      <c r="C90" s="105">
        <f t="shared" si="2"/>
        <v>0.24</v>
      </c>
      <c r="D90">
        <f t="shared" si="3"/>
        <v>0.24</v>
      </c>
      <c r="F90" t="s">
        <v>122</v>
      </c>
      <c r="G90" s="52">
        <v>0.17</v>
      </c>
    </row>
    <row r="91" spans="1:7" ht="16">
      <c r="A91" s="51" t="s">
        <v>414</v>
      </c>
      <c r="B91" s="51" t="str">
        <f>'Ratings worksheet'!A91</f>
        <v>Maldives</v>
      </c>
      <c r="C91" s="105">
        <f t="shared" si="2"/>
        <v>0.2281</v>
      </c>
      <c r="D91">
        <v>0.2281</v>
      </c>
      <c r="F91" t="s">
        <v>322</v>
      </c>
      <c r="G91" s="52">
        <v>0.2</v>
      </c>
    </row>
    <row r="92" spans="1:7" ht="16">
      <c r="A92" s="156" t="s">
        <v>325</v>
      </c>
      <c r="B92" s="51" t="s">
        <v>325</v>
      </c>
      <c r="C92" s="105">
        <f t="shared" si="2"/>
        <v>0.2281</v>
      </c>
      <c r="D92" s="39">
        <v>0.2281</v>
      </c>
      <c r="F92" t="s">
        <v>223</v>
      </c>
      <c r="G92" s="52">
        <v>0.125</v>
      </c>
    </row>
    <row r="93" spans="1:7" ht="16">
      <c r="A93" s="51" t="s">
        <v>186</v>
      </c>
      <c r="B93" s="51" t="s">
        <v>186</v>
      </c>
      <c r="C93" s="105">
        <f t="shared" si="2"/>
        <v>0.35</v>
      </c>
      <c r="D93">
        <f t="shared" si="3"/>
        <v>0.35</v>
      </c>
      <c r="F93" t="s">
        <v>13</v>
      </c>
      <c r="G93" s="52">
        <v>0.15</v>
      </c>
    </row>
    <row r="94" spans="1:7" ht="16">
      <c r="A94" s="51" t="s">
        <v>15</v>
      </c>
      <c r="B94" s="51" t="str">
        <f>'Ratings worksheet'!A94</f>
        <v>Mauritius</v>
      </c>
      <c r="C94" s="105">
        <f t="shared" si="2"/>
        <v>0.15</v>
      </c>
      <c r="D94">
        <f t="shared" si="3"/>
        <v>0.15</v>
      </c>
      <c r="F94" t="s">
        <v>185</v>
      </c>
      <c r="G94" s="52">
        <v>0.24940000000000001</v>
      </c>
    </row>
    <row r="95" spans="1:7" ht="16">
      <c r="A95" s="51" t="s">
        <v>16</v>
      </c>
      <c r="B95" s="51" t="str">
        <f>'Ratings worksheet'!A95</f>
        <v>Mexico</v>
      </c>
      <c r="C95" s="105">
        <f t="shared" si="2"/>
        <v>0.3</v>
      </c>
      <c r="D95">
        <f t="shared" si="3"/>
        <v>0.3</v>
      </c>
      <c r="F95" t="s">
        <v>355</v>
      </c>
      <c r="G95" s="52">
        <v>0.12</v>
      </c>
    </row>
    <row r="96" spans="1:7" ht="16">
      <c r="A96" s="51" t="s">
        <v>17</v>
      </c>
      <c r="B96" s="51" t="str">
        <f>'Ratings worksheet'!A96</f>
        <v>Moldova</v>
      </c>
      <c r="C96" s="105">
        <f t="shared" si="2"/>
        <v>0.12</v>
      </c>
      <c r="D96">
        <f t="shared" si="3"/>
        <v>0.12</v>
      </c>
      <c r="F96" t="s">
        <v>146</v>
      </c>
      <c r="G96" s="52">
        <v>0.1</v>
      </c>
    </row>
    <row r="97" spans="1:7" ht="16">
      <c r="A97" s="51" t="s">
        <v>63</v>
      </c>
      <c r="B97" s="51" t="str">
        <f>'Ratings worksheet'!A97</f>
        <v>Mongolia</v>
      </c>
      <c r="C97" s="105">
        <f t="shared" si="2"/>
        <v>0.25</v>
      </c>
      <c r="D97">
        <f t="shared" si="3"/>
        <v>0.25</v>
      </c>
      <c r="F97" t="s">
        <v>336</v>
      </c>
      <c r="G97" s="52">
        <v>0.2</v>
      </c>
    </row>
    <row r="98" spans="1:7" ht="16">
      <c r="A98" s="51" t="s">
        <v>8</v>
      </c>
      <c r="B98" s="51" t="str">
        <f>'Ratings worksheet'!A98</f>
        <v>Montenegro</v>
      </c>
      <c r="C98" s="105">
        <f t="shared" si="2"/>
        <v>0.09</v>
      </c>
      <c r="D98">
        <f t="shared" si="3"/>
        <v>0.09</v>
      </c>
      <c r="F98" t="s">
        <v>327</v>
      </c>
      <c r="G98" s="52">
        <v>0.3</v>
      </c>
    </row>
    <row r="99" spans="1:7" ht="16">
      <c r="A99" s="51" t="s">
        <v>225</v>
      </c>
      <c r="B99" s="51" t="str">
        <f>'Ratings worksheet'!A99</f>
        <v>Montserrat</v>
      </c>
      <c r="C99" s="105">
        <f t="shared" si="2"/>
        <v>0.27179999999999999</v>
      </c>
      <c r="D99" s="39">
        <v>0.27179999999999999</v>
      </c>
      <c r="F99" t="s">
        <v>14</v>
      </c>
      <c r="G99" s="52">
        <v>0.24</v>
      </c>
    </row>
    <row r="100" spans="1:7" ht="16">
      <c r="A100" s="51" t="s">
        <v>18</v>
      </c>
      <c r="B100" s="51" t="str">
        <f>'Ratings worksheet'!A100</f>
        <v>Morocco</v>
      </c>
      <c r="C100" s="105">
        <f t="shared" si="2"/>
        <v>0.31</v>
      </c>
      <c r="D100">
        <f t="shared" si="3"/>
        <v>0.31</v>
      </c>
      <c r="F100" t="s">
        <v>186</v>
      </c>
      <c r="G100" s="52">
        <v>0.35</v>
      </c>
    </row>
    <row r="101" spans="1:7" ht="16">
      <c r="A101" s="51" t="s">
        <v>226</v>
      </c>
      <c r="B101" s="51" t="str">
        <f>'Ratings worksheet'!A101</f>
        <v>Mozambique</v>
      </c>
      <c r="C101" s="105">
        <f t="shared" si="2"/>
        <v>0.32</v>
      </c>
      <c r="D101">
        <f t="shared" si="3"/>
        <v>0.32</v>
      </c>
      <c r="F101" t="s">
        <v>412</v>
      </c>
      <c r="G101" s="52">
        <v>0.25</v>
      </c>
    </row>
    <row r="102" spans="1:7" ht="16">
      <c r="A102" s="51" t="s">
        <v>136</v>
      </c>
      <c r="B102" s="51" t="str">
        <f>'Ratings worksheet'!A102</f>
        <v>Namibia</v>
      </c>
      <c r="C102" s="105">
        <f t="shared" si="2"/>
        <v>0.32</v>
      </c>
      <c r="D102">
        <f t="shared" si="3"/>
        <v>0.32</v>
      </c>
      <c r="F102" t="s">
        <v>15</v>
      </c>
      <c r="G102" s="52">
        <v>0.15</v>
      </c>
    </row>
    <row r="103" spans="1:7" ht="16">
      <c r="A103" s="51" t="s">
        <v>187</v>
      </c>
      <c r="B103" s="51" t="str">
        <f>'Ratings worksheet'!A103</f>
        <v>Netherlands</v>
      </c>
      <c r="C103" s="105">
        <f t="shared" si="2"/>
        <v>0.25</v>
      </c>
      <c r="D103">
        <f t="shared" si="3"/>
        <v>0.25</v>
      </c>
      <c r="F103" t="s">
        <v>16</v>
      </c>
      <c r="G103" s="52">
        <v>0.3</v>
      </c>
    </row>
    <row r="104" spans="1:7" ht="16">
      <c r="A104" s="51" t="s">
        <v>21</v>
      </c>
      <c r="B104" s="51" t="str">
        <f>'Ratings worksheet'!A104</f>
        <v>New Zealand</v>
      </c>
      <c r="C104" s="105">
        <f t="shared" si="2"/>
        <v>0.28000000000000003</v>
      </c>
      <c r="D104">
        <f t="shared" si="3"/>
        <v>0.28000000000000003</v>
      </c>
      <c r="F104" t="s">
        <v>17</v>
      </c>
      <c r="G104" s="52">
        <v>0.12</v>
      </c>
    </row>
    <row r="105" spans="1:7" ht="16">
      <c r="A105" s="51" t="s">
        <v>22</v>
      </c>
      <c r="B105" s="51" t="str">
        <f>'Ratings worksheet'!A105</f>
        <v>Nicaragua</v>
      </c>
      <c r="C105" s="105">
        <f t="shared" si="2"/>
        <v>0.3</v>
      </c>
      <c r="D105">
        <f t="shared" si="3"/>
        <v>0.3</v>
      </c>
      <c r="F105" t="s">
        <v>463</v>
      </c>
      <c r="G105" s="52">
        <v>0.33</v>
      </c>
    </row>
    <row r="106" spans="1:7" ht="16">
      <c r="A106" s="51" t="s">
        <v>321</v>
      </c>
      <c r="B106" s="51" t="s">
        <v>321</v>
      </c>
      <c r="C106" s="105">
        <f t="shared" si="2"/>
        <v>0.2281</v>
      </c>
      <c r="D106" s="39">
        <v>0.2281</v>
      </c>
      <c r="F106" t="s">
        <v>63</v>
      </c>
      <c r="G106" s="52">
        <v>0.25</v>
      </c>
    </row>
    <row r="107" spans="1:7" ht="16">
      <c r="A107" s="51" t="s">
        <v>188</v>
      </c>
      <c r="B107" s="51" t="str">
        <f>'Ratings worksheet'!A107</f>
        <v>Nigeria</v>
      </c>
      <c r="C107" s="105">
        <f t="shared" si="2"/>
        <v>0.3</v>
      </c>
      <c r="D107">
        <f t="shared" si="3"/>
        <v>0.3</v>
      </c>
      <c r="F107" t="s">
        <v>8</v>
      </c>
      <c r="G107" s="52">
        <v>0.09</v>
      </c>
    </row>
    <row r="108" spans="1:7" ht="16">
      <c r="A108" s="51" t="s">
        <v>23</v>
      </c>
      <c r="B108" s="51" t="str">
        <f>'Ratings worksheet'!A108</f>
        <v>Norway</v>
      </c>
      <c r="C108" s="105">
        <f t="shared" si="2"/>
        <v>0.22</v>
      </c>
      <c r="D108">
        <f t="shared" si="3"/>
        <v>0.22</v>
      </c>
      <c r="F108" t="s">
        <v>18</v>
      </c>
      <c r="G108" s="52">
        <v>0.31</v>
      </c>
    </row>
    <row r="109" spans="1:7" ht="16">
      <c r="A109" s="51" t="s">
        <v>24</v>
      </c>
      <c r="B109" s="51" t="str">
        <f>'Ratings worksheet'!A109</f>
        <v>Oman</v>
      </c>
      <c r="C109" s="105">
        <f t="shared" si="2"/>
        <v>0.15</v>
      </c>
      <c r="D109">
        <f t="shared" si="3"/>
        <v>0.15</v>
      </c>
      <c r="F109" t="s">
        <v>226</v>
      </c>
      <c r="G109" s="52">
        <v>0.32</v>
      </c>
    </row>
    <row r="110" spans="1:7" ht="16">
      <c r="A110" s="51" t="s">
        <v>25</v>
      </c>
      <c r="B110" s="51" t="str">
        <f>'Ratings worksheet'!A110</f>
        <v>Pakistan</v>
      </c>
      <c r="C110" s="105">
        <f t="shared" si="2"/>
        <v>0.28999999999999998</v>
      </c>
      <c r="D110">
        <f t="shared" si="3"/>
        <v>0.28999999999999998</v>
      </c>
      <c r="F110" t="s">
        <v>335</v>
      </c>
      <c r="G110" s="52">
        <v>0.25</v>
      </c>
    </row>
    <row r="111" spans="1:7" ht="16">
      <c r="A111" s="51" t="s">
        <v>26</v>
      </c>
      <c r="B111" s="51" t="str">
        <f>'Ratings worksheet'!A111</f>
        <v>Panama</v>
      </c>
      <c r="C111" s="105">
        <f t="shared" si="2"/>
        <v>0.25</v>
      </c>
      <c r="D111">
        <f t="shared" si="3"/>
        <v>0.25</v>
      </c>
      <c r="F111" t="s">
        <v>136</v>
      </c>
      <c r="G111" s="52">
        <v>0.32</v>
      </c>
    </row>
    <row r="112" spans="1:7" ht="16">
      <c r="A112" s="51" t="s">
        <v>9</v>
      </c>
      <c r="B112" s="51" t="str">
        <f>'Ratings worksheet'!A112</f>
        <v>Papua New Guinea</v>
      </c>
      <c r="C112" s="105">
        <f t="shared" si="2"/>
        <v>0.3</v>
      </c>
      <c r="D112">
        <f t="shared" si="3"/>
        <v>0.3</v>
      </c>
      <c r="F112" t="s">
        <v>187</v>
      </c>
      <c r="G112" s="52">
        <v>0.25</v>
      </c>
    </row>
    <row r="113" spans="1:7" ht="16">
      <c r="A113" s="51" t="s">
        <v>27</v>
      </c>
      <c r="B113" s="51" t="str">
        <f>'Ratings worksheet'!A113</f>
        <v>Paraguay</v>
      </c>
      <c r="C113" s="105">
        <f t="shared" si="2"/>
        <v>0.1</v>
      </c>
      <c r="D113">
        <f t="shared" si="3"/>
        <v>0.1</v>
      </c>
      <c r="F113" t="s">
        <v>21</v>
      </c>
      <c r="G113" s="52">
        <v>0.28000000000000003</v>
      </c>
    </row>
    <row r="114" spans="1:7" ht="16">
      <c r="A114" s="51" t="s">
        <v>28</v>
      </c>
      <c r="B114" s="51" t="str">
        <f>'Ratings worksheet'!A114</f>
        <v>Peru</v>
      </c>
      <c r="C114" s="105">
        <f t="shared" si="2"/>
        <v>0.29499999999999998</v>
      </c>
      <c r="D114">
        <f t="shared" si="3"/>
        <v>0.29499999999999998</v>
      </c>
      <c r="F114" t="s">
        <v>22</v>
      </c>
      <c r="G114" s="52">
        <v>0.3</v>
      </c>
    </row>
    <row r="115" spans="1:7" ht="16">
      <c r="A115" s="51" t="s">
        <v>29</v>
      </c>
      <c r="B115" s="51" t="str">
        <f>'Ratings worksheet'!A115</f>
        <v>Philippines</v>
      </c>
      <c r="C115" s="105">
        <f t="shared" si="2"/>
        <v>0.3</v>
      </c>
      <c r="D115">
        <f t="shared" si="3"/>
        <v>0.3</v>
      </c>
      <c r="F115" t="s">
        <v>188</v>
      </c>
      <c r="G115" s="52">
        <v>0.3</v>
      </c>
    </row>
    <row r="116" spans="1:7" ht="16">
      <c r="A116" s="51" t="s">
        <v>30</v>
      </c>
      <c r="B116" s="51" t="str">
        <f>'Ratings worksheet'!A116</f>
        <v>Poland</v>
      </c>
      <c r="C116" s="105">
        <f t="shared" si="2"/>
        <v>0.19</v>
      </c>
      <c r="D116">
        <f t="shared" si="3"/>
        <v>0.19</v>
      </c>
      <c r="F116" t="s">
        <v>23</v>
      </c>
      <c r="G116" s="52">
        <v>0.22</v>
      </c>
    </row>
    <row r="117" spans="1:7" ht="16">
      <c r="A117" s="51" t="s">
        <v>189</v>
      </c>
      <c r="B117" s="51" t="str">
        <f>'Ratings worksheet'!A117</f>
        <v>Portugal</v>
      </c>
      <c r="C117" s="105">
        <f t="shared" si="2"/>
        <v>0.21</v>
      </c>
      <c r="D117">
        <f t="shared" si="3"/>
        <v>0.21</v>
      </c>
      <c r="F117" t="s">
        <v>24</v>
      </c>
      <c r="G117" s="52">
        <v>0.15</v>
      </c>
    </row>
    <row r="118" spans="1:7" ht="16">
      <c r="A118" s="51" t="s">
        <v>74</v>
      </c>
      <c r="B118" s="51" t="str">
        <f>'Ratings worksheet'!A118</f>
        <v>Qatar</v>
      </c>
      <c r="C118" s="105">
        <f t="shared" si="2"/>
        <v>0.1</v>
      </c>
      <c r="D118">
        <f t="shared" si="3"/>
        <v>0.1</v>
      </c>
      <c r="F118" t="s">
        <v>25</v>
      </c>
      <c r="G118" s="52">
        <v>0.28999999999999998</v>
      </c>
    </row>
    <row r="119" spans="1:7" ht="16">
      <c r="A119" s="51" t="s">
        <v>291</v>
      </c>
      <c r="B119" s="51" t="str">
        <f>'Ratings worksheet'!A119</f>
        <v>Ras Al Khaimah (Emirate of)</v>
      </c>
      <c r="C119" s="105">
        <f t="shared" si="2"/>
        <v>0</v>
      </c>
      <c r="D119">
        <v>0</v>
      </c>
      <c r="F119" t="s">
        <v>476</v>
      </c>
      <c r="G119" s="52">
        <v>0.15</v>
      </c>
    </row>
    <row r="120" spans="1:7" ht="16">
      <c r="A120" s="51" t="s">
        <v>0</v>
      </c>
      <c r="B120" s="51" t="str">
        <f>'Ratings worksheet'!A120</f>
        <v>Romania</v>
      </c>
      <c r="C120" s="105">
        <f t="shared" si="2"/>
        <v>0.16</v>
      </c>
      <c r="D120">
        <f t="shared" si="3"/>
        <v>0.16</v>
      </c>
      <c r="F120" t="s">
        <v>26</v>
      </c>
      <c r="G120" s="52">
        <v>0.25</v>
      </c>
    </row>
    <row r="121" spans="1:7" ht="16">
      <c r="A121" s="51" t="s">
        <v>1</v>
      </c>
      <c r="B121" s="51" t="str">
        <f>'Ratings worksheet'!A121</f>
        <v>Russia</v>
      </c>
      <c r="C121" s="105">
        <f t="shared" si="2"/>
        <v>0.2</v>
      </c>
      <c r="D121">
        <f t="shared" si="3"/>
        <v>0.2</v>
      </c>
      <c r="F121" t="s">
        <v>9</v>
      </c>
      <c r="G121" s="52">
        <v>0.3</v>
      </c>
    </row>
    <row r="122" spans="1:7" ht="16">
      <c r="A122" s="51" t="s">
        <v>227</v>
      </c>
      <c r="B122" s="51" t="str">
        <f>'Ratings worksheet'!A122</f>
        <v>Rwanda</v>
      </c>
      <c r="C122" s="105">
        <f t="shared" si="2"/>
        <v>0.3</v>
      </c>
      <c r="D122">
        <f t="shared" si="3"/>
        <v>0.3</v>
      </c>
      <c r="F122" t="s">
        <v>27</v>
      </c>
      <c r="G122" s="52">
        <v>0.1</v>
      </c>
    </row>
    <row r="123" spans="1:7" ht="16">
      <c r="A123" s="51" t="s">
        <v>2</v>
      </c>
      <c r="B123" s="51" t="str">
        <f>'Ratings worksheet'!A123</f>
        <v>Saudi Arabia</v>
      </c>
      <c r="C123" s="105">
        <f t="shared" si="2"/>
        <v>0.2</v>
      </c>
      <c r="D123">
        <f t="shared" si="3"/>
        <v>0.2</v>
      </c>
      <c r="F123" t="s">
        <v>28</v>
      </c>
      <c r="G123" s="52">
        <v>0.29499999999999998</v>
      </c>
    </row>
    <row r="124" spans="1:7" ht="16">
      <c r="A124" s="51" t="s">
        <v>135</v>
      </c>
      <c r="B124" s="51" t="str">
        <f>'Ratings worksheet'!A124</f>
        <v>Senegal</v>
      </c>
      <c r="C124" s="105">
        <f t="shared" si="2"/>
        <v>0.3</v>
      </c>
      <c r="D124">
        <f t="shared" si="3"/>
        <v>0.3</v>
      </c>
      <c r="F124" t="s">
        <v>29</v>
      </c>
      <c r="G124" s="52">
        <v>0.3</v>
      </c>
    </row>
    <row r="125" spans="1:7" ht="16">
      <c r="A125" s="51" t="s">
        <v>147</v>
      </c>
      <c r="B125" s="51" t="str">
        <f>'Ratings worksheet'!A125</f>
        <v>Serbia</v>
      </c>
      <c r="C125" s="105">
        <f t="shared" si="2"/>
        <v>0.15</v>
      </c>
      <c r="D125">
        <f t="shared" si="3"/>
        <v>0.15</v>
      </c>
      <c r="F125" t="s">
        <v>30</v>
      </c>
      <c r="G125" s="52">
        <v>0.19</v>
      </c>
    </row>
    <row r="126" spans="1:7" ht="16">
      <c r="A126" s="51" t="s">
        <v>285</v>
      </c>
      <c r="B126" s="51" t="str">
        <f>'Ratings worksheet'!A126</f>
        <v>Sharjah</v>
      </c>
      <c r="C126" s="105">
        <f t="shared" si="2"/>
        <v>0</v>
      </c>
      <c r="D126">
        <v>0</v>
      </c>
      <c r="F126" t="s">
        <v>189</v>
      </c>
      <c r="G126" s="52">
        <v>0.21</v>
      </c>
    </row>
    <row r="127" spans="1:7" ht="16">
      <c r="A127" s="51" t="s">
        <v>3</v>
      </c>
      <c r="B127" s="51" t="str">
        <f>'Ratings worksheet'!A127</f>
        <v>Singapore</v>
      </c>
      <c r="C127" s="105">
        <f t="shared" si="2"/>
        <v>0.17</v>
      </c>
      <c r="D127">
        <f t="shared" si="3"/>
        <v>0.17</v>
      </c>
      <c r="F127" t="s">
        <v>74</v>
      </c>
      <c r="G127" s="52">
        <v>0.1</v>
      </c>
    </row>
    <row r="128" spans="1:7" ht="16">
      <c r="A128" s="51" t="s">
        <v>61</v>
      </c>
      <c r="B128" s="51" t="str">
        <f>'Ratings worksheet'!A128</f>
        <v>Slovakia</v>
      </c>
      <c r="C128" s="105">
        <f t="shared" si="2"/>
        <v>0.21</v>
      </c>
      <c r="D128">
        <f t="shared" si="3"/>
        <v>0.21</v>
      </c>
      <c r="F128" t="s">
        <v>0</v>
      </c>
      <c r="G128" s="52">
        <v>0.16</v>
      </c>
    </row>
    <row r="129" spans="1:7" ht="16">
      <c r="A129" s="51" t="s">
        <v>190</v>
      </c>
      <c r="B129" s="51" t="s">
        <v>190</v>
      </c>
      <c r="C129" s="105">
        <f t="shared" si="2"/>
        <v>0.19</v>
      </c>
      <c r="D129">
        <f t="shared" si="3"/>
        <v>0.19</v>
      </c>
      <c r="F129" t="s">
        <v>1</v>
      </c>
      <c r="G129" s="52">
        <v>0.2</v>
      </c>
    </row>
    <row r="130" spans="1:7" ht="16">
      <c r="A130" s="51" t="s">
        <v>426</v>
      </c>
      <c r="B130" s="51" t="str">
        <f>'Ratings worksheet'!A130</f>
        <v>Solomon Islands</v>
      </c>
      <c r="C130" s="105">
        <f t="shared" si="2"/>
        <v>0.3</v>
      </c>
      <c r="D130">
        <f t="shared" si="3"/>
        <v>0.3</v>
      </c>
      <c r="F130" t="s">
        <v>227</v>
      </c>
      <c r="G130" s="52">
        <v>0.3</v>
      </c>
    </row>
    <row r="131" spans="1:7" ht="16">
      <c r="A131" s="51" t="s">
        <v>76</v>
      </c>
      <c r="B131" s="51" t="str">
        <f>'Ratings worksheet'!A131</f>
        <v>South Africa</v>
      </c>
      <c r="C131" s="105">
        <f t="shared" ref="C131:C158" si="4">D131</f>
        <v>0.28000000000000003</v>
      </c>
      <c r="D131">
        <f t="shared" ref="D131:D143" si="5">VLOOKUP(B131,$F$2:$G$173,2,FALSE)</f>
        <v>0.28000000000000003</v>
      </c>
      <c r="F131" t="s">
        <v>477</v>
      </c>
      <c r="G131" s="52">
        <v>0.33</v>
      </c>
    </row>
    <row r="132" spans="1:7" ht="16">
      <c r="A132" s="51" t="s">
        <v>138</v>
      </c>
      <c r="B132" s="51" t="str">
        <f>'Ratings worksheet'!A132</f>
        <v>Spain</v>
      </c>
      <c r="C132" s="105">
        <f t="shared" si="4"/>
        <v>0.25</v>
      </c>
      <c r="D132">
        <f t="shared" si="5"/>
        <v>0.25</v>
      </c>
      <c r="F132" t="s">
        <v>478</v>
      </c>
      <c r="G132" s="52">
        <v>0.3</v>
      </c>
    </row>
    <row r="133" spans="1:7" ht="16">
      <c r="A133" s="51" t="s">
        <v>134</v>
      </c>
      <c r="B133" s="51" t="str">
        <f>'Ratings worksheet'!A133</f>
        <v>Sri Lanka</v>
      </c>
      <c r="C133" s="105">
        <f t="shared" si="4"/>
        <v>0.24</v>
      </c>
      <c r="D133">
        <f t="shared" si="5"/>
        <v>0.24</v>
      </c>
      <c r="F133" t="s">
        <v>479</v>
      </c>
      <c r="G133" s="52">
        <v>0.3</v>
      </c>
    </row>
    <row r="134" spans="1:7" ht="16">
      <c r="A134" s="51" t="s">
        <v>191</v>
      </c>
      <c r="B134" s="51" t="str">
        <f>'Ratings worksheet'!A134</f>
        <v>St. Maarten</v>
      </c>
      <c r="C134" s="105">
        <f t="shared" si="4"/>
        <v>0.27179999999999999</v>
      </c>
      <c r="D134" s="39">
        <v>0.27179999999999999</v>
      </c>
      <c r="F134" t="s">
        <v>430</v>
      </c>
      <c r="G134" s="52">
        <v>0.27</v>
      </c>
    </row>
    <row r="135" spans="1:7" ht="16">
      <c r="A135" s="51" t="s">
        <v>10</v>
      </c>
      <c r="B135" s="51" t="str">
        <f>'Ratings worksheet'!A135</f>
        <v>St. Vincent &amp; the Grenadines</v>
      </c>
      <c r="C135" s="105">
        <f t="shared" si="4"/>
        <v>0.27179999999999999</v>
      </c>
      <c r="D135" s="39">
        <v>0.27179999999999999</v>
      </c>
      <c r="F135" t="s">
        <v>2</v>
      </c>
      <c r="G135" s="52">
        <v>0.2</v>
      </c>
    </row>
    <row r="136" spans="1:7" ht="16">
      <c r="A136" s="51" t="s">
        <v>33</v>
      </c>
      <c r="B136" s="51" t="s">
        <v>33</v>
      </c>
      <c r="C136" s="105">
        <f t="shared" si="4"/>
        <v>0.36</v>
      </c>
      <c r="D136">
        <f t="shared" si="5"/>
        <v>0.36</v>
      </c>
      <c r="F136" t="s">
        <v>135</v>
      </c>
      <c r="G136" s="52">
        <v>0.3</v>
      </c>
    </row>
    <row r="137" spans="1:7" ht="16">
      <c r="A137" s="51" t="s">
        <v>413</v>
      </c>
      <c r="B137" s="51" t="str">
        <f>'Ratings worksheet'!A137</f>
        <v>Swaziland</v>
      </c>
      <c r="C137" s="105">
        <f t="shared" si="4"/>
        <v>0.27500000000000002</v>
      </c>
      <c r="D137">
        <f t="shared" si="5"/>
        <v>0.27500000000000002</v>
      </c>
      <c r="F137" t="s">
        <v>147</v>
      </c>
      <c r="G137" s="52">
        <v>0.15</v>
      </c>
    </row>
    <row r="138" spans="1:7" ht="16">
      <c r="A138" s="51" t="s">
        <v>34</v>
      </c>
      <c r="B138" s="51" t="str">
        <f>'Ratings worksheet'!A138</f>
        <v>Sweden</v>
      </c>
      <c r="C138" s="105">
        <f t="shared" si="4"/>
        <v>0.20600000000000002</v>
      </c>
      <c r="D138">
        <f t="shared" si="5"/>
        <v>0.20600000000000002</v>
      </c>
      <c r="F138" t="s">
        <v>329</v>
      </c>
      <c r="G138" s="52">
        <v>0.3</v>
      </c>
    </row>
    <row r="139" spans="1:7" ht="16">
      <c r="A139" s="51" t="s">
        <v>35</v>
      </c>
      <c r="B139" s="51" t="str">
        <f>'Ratings worksheet'!A139</f>
        <v>Switzerland</v>
      </c>
      <c r="C139" s="105">
        <f t="shared" si="4"/>
        <v>0.14929999999999999</v>
      </c>
      <c r="D139">
        <f t="shared" si="5"/>
        <v>0.14929999999999999</v>
      </c>
      <c r="F139" t="s">
        <v>3</v>
      </c>
      <c r="G139" s="52">
        <v>0.17</v>
      </c>
    </row>
    <row r="140" spans="1:7" ht="16">
      <c r="A140" s="51" t="s">
        <v>64</v>
      </c>
      <c r="B140" s="51" t="s">
        <v>64</v>
      </c>
      <c r="C140" s="105">
        <f t="shared" si="4"/>
        <v>0.2</v>
      </c>
      <c r="D140">
        <f t="shared" si="5"/>
        <v>0.2</v>
      </c>
      <c r="F140" t="s">
        <v>447</v>
      </c>
      <c r="G140" s="52">
        <v>0.35</v>
      </c>
    </row>
    <row r="141" spans="1:7" ht="16">
      <c r="A141" s="159" t="s">
        <v>410</v>
      </c>
      <c r="B141" s="51" t="s">
        <v>410</v>
      </c>
      <c r="C141" s="105">
        <f t="shared" si="4"/>
        <v>0.2281</v>
      </c>
      <c r="D141" s="39">
        <v>0.2281</v>
      </c>
      <c r="F141" t="s">
        <v>61</v>
      </c>
      <c r="G141" s="52">
        <v>0.21</v>
      </c>
    </row>
    <row r="142" spans="1:7" ht="16">
      <c r="A142" s="159" t="s">
        <v>332</v>
      </c>
      <c r="B142" s="51" t="str">
        <f>'Ratings worksheet'!A142</f>
        <v>Tanzania</v>
      </c>
      <c r="C142" s="105">
        <f t="shared" si="4"/>
        <v>0.3</v>
      </c>
      <c r="D142">
        <f t="shared" si="5"/>
        <v>0.3</v>
      </c>
      <c r="F142" t="s">
        <v>190</v>
      </c>
      <c r="G142" s="52">
        <v>0.19</v>
      </c>
    </row>
    <row r="143" spans="1:7" ht="16">
      <c r="A143" s="51" t="s">
        <v>65</v>
      </c>
      <c r="B143" s="51" t="str">
        <f>'Ratings worksheet'!A143</f>
        <v>Thailand</v>
      </c>
      <c r="C143" s="105">
        <f t="shared" si="4"/>
        <v>0.2</v>
      </c>
      <c r="D143">
        <f t="shared" si="5"/>
        <v>0.2</v>
      </c>
      <c r="F143" t="s">
        <v>426</v>
      </c>
      <c r="G143" s="52">
        <v>0.3</v>
      </c>
    </row>
    <row r="144" spans="1:7" ht="16">
      <c r="A144" s="156" t="s">
        <v>324</v>
      </c>
      <c r="B144" s="51" t="s">
        <v>324</v>
      </c>
      <c r="C144" s="105">
        <f t="shared" si="4"/>
        <v>0.2281</v>
      </c>
      <c r="D144" s="39">
        <v>0.2281</v>
      </c>
      <c r="F144" t="s">
        <v>76</v>
      </c>
      <c r="G144" s="52">
        <v>0.28000000000000003</v>
      </c>
    </row>
    <row r="145" spans="1:7" ht="16">
      <c r="A145" s="51" t="s">
        <v>11</v>
      </c>
      <c r="B145" s="51" t="str">
        <f>'Ratings worksheet'!A145</f>
        <v>Trinidad and Tobago</v>
      </c>
      <c r="C145" s="105">
        <f t="shared" si="4"/>
        <v>0.3</v>
      </c>
      <c r="D145">
        <f t="shared" ref="D145:D153" si="6">VLOOKUP(B145,$F$2:$G$174,2,FALSE)</f>
        <v>0.3</v>
      </c>
      <c r="F145" t="s">
        <v>138</v>
      </c>
      <c r="G145" s="52">
        <v>0.25</v>
      </c>
    </row>
    <row r="146" spans="1:7" ht="16">
      <c r="A146" s="51" t="s">
        <v>77</v>
      </c>
      <c r="B146" s="51" t="str">
        <f>'Ratings worksheet'!A146</f>
        <v>Tunisia</v>
      </c>
      <c r="C146" s="105">
        <f t="shared" si="4"/>
        <v>0.15</v>
      </c>
      <c r="D146">
        <f t="shared" si="6"/>
        <v>0.15</v>
      </c>
      <c r="F146" t="s">
        <v>134</v>
      </c>
      <c r="G146" s="52">
        <v>0.24</v>
      </c>
    </row>
    <row r="147" spans="1:7" ht="16">
      <c r="A147" s="51" t="s">
        <v>66</v>
      </c>
      <c r="B147" s="51" t="str">
        <f>'Ratings worksheet'!A147</f>
        <v>Turkey</v>
      </c>
      <c r="C147" s="105">
        <f t="shared" si="4"/>
        <v>0.2</v>
      </c>
      <c r="D147">
        <f t="shared" si="6"/>
        <v>0.2</v>
      </c>
      <c r="F147" t="s">
        <v>448</v>
      </c>
      <c r="G147" s="52">
        <v>0.35</v>
      </c>
    </row>
    <row r="148" spans="1:7" ht="16">
      <c r="A148" s="51" t="s">
        <v>292</v>
      </c>
      <c r="B148" s="51" t="str">
        <f>'Ratings worksheet'!A148</f>
        <v>Turks and Caicos Islands</v>
      </c>
      <c r="C148" s="105">
        <f t="shared" si="4"/>
        <v>0</v>
      </c>
      <c r="D148">
        <f t="shared" si="6"/>
        <v>0</v>
      </c>
      <c r="F148" t="s">
        <v>319</v>
      </c>
      <c r="G148" s="52">
        <v>0.35</v>
      </c>
    </row>
    <row r="149" spans="1:7" ht="16">
      <c r="A149" s="51" t="s">
        <v>228</v>
      </c>
      <c r="B149" s="51" t="str">
        <f>'Ratings worksheet'!A149</f>
        <v>Uganda</v>
      </c>
      <c r="C149" s="105">
        <f t="shared" si="4"/>
        <v>0.3</v>
      </c>
      <c r="D149">
        <f t="shared" si="6"/>
        <v>0.3</v>
      </c>
      <c r="F149" t="s">
        <v>33</v>
      </c>
      <c r="G149" s="52">
        <v>0.36</v>
      </c>
    </row>
    <row r="150" spans="1:7" ht="16">
      <c r="A150" s="51" t="s">
        <v>68</v>
      </c>
      <c r="B150" s="51" t="str">
        <f>'Ratings worksheet'!A150</f>
        <v>Ukraine</v>
      </c>
      <c r="C150" s="105">
        <f t="shared" si="4"/>
        <v>0.18</v>
      </c>
      <c r="D150">
        <f t="shared" si="6"/>
        <v>0.18</v>
      </c>
      <c r="F150" t="s">
        <v>413</v>
      </c>
      <c r="G150" s="52">
        <v>0.27500000000000002</v>
      </c>
    </row>
    <row r="151" spans="1:7" ht="16">
      <c r="A151" s="51" t="s">
        <v>60</v>
      </c>
      <c r="B151" s="51" t="str">
        <f>'Ratings worksheet'!A151</f>
        <v>United Arab Emirates</v>
      </c>
      <c r="C151" s="105">
        <f t="shared" si="4"/>
        <v>0.55000000000000004</v>
      </c>
      <c r="D151">
        <f t="shared" si="6"/>
        <v>0.55000000000000004</v>
      </c>
      <c r="F151" t="s">
        <v>34</v>
      </c>
      <c r="G151" s="52">
        <v>0.20600000000000002</v>
      </c>
    </row>
    <row r="152" spans="1:7" ht="16">
      <c r="A152" s="51" t="s">
        <v>57</v>
      </c>
      <c r="B152" s="51" t="str">
        <f>'Ratings worksheet'!A152</f>
        <v>United Kingdom</v>
      </c>
      <c r="C152" s="105">
        <f t="shared" si="4"/>
        <v>0.19</v>
      </c>
      <c r="D152">
        <f t="shared" si="6"/>
        <v>0.19</v>
      </c>
      <c r="F152" t="s">
        <v>35</v>
      </c>
      <c r="G152" s="52">
        <v>0.14929999999999999</v>
      </c>
    </row>
    <row r="153" spans="1:7" ht="16">
      <c r="A153" s="51" t="s">
        <v>356</v>
      </c>
      <c r="B153" s="51" t="str">
        <f>'Ratings worksheet'!A153</f>
        <v>United States</v>
      </c>
      <c r="C153" s="105">
        <f t="shared" si="4"/>
        <v>0.27</v>
      </c>
      <c r="D153">
        <f t="shared" si="6"/>
        <v>0.27</v>
      </c>
      <c r="F153" t="s">
        <v>316</v>
      </c>
      <c r="G153" s="52">
        <v>0.28000000000000003</v>
      </c>
    </row>
    <row r="154" spans="1:7" ht="16">
      <c r="A154" s="51" t="s">
        <v>69</v>
      </c>
      <c r="B154" s="51" t="str">
        <f>'Ratings worksheet'!A154</f>
        <v>Uruguay</v>
      </c>
      <c r="C154" s="105">
        <f t="shared" si="4"/>
        <v>0.25</v>
      </c>
      <c r="D154">
        <f>VLOOKUP(B154,$F$2:$G$174,2,FALSE)</f>
        <v>0.25</v>
      </c>
      <c r="F154" t="s">
        <v>64</v>
      </c>
      <c r="G154" s="52">
        <v>0.2</v>
      </c>
    </row>
    <row r="155" spans="1:7" ht="16">
      <c r="A155" s="172" t="s">
        <v>402</v>
      </c>
      <c r="B155" s="172" t="s">
        <v>402</v>
      </c>
      <c r="C155" s="105">
        <f t="shared" si="4"/>
        <v>7.4999999999999997E-2</v>
      </c>
      <c r="D155">
        <f t="shared" ref="D155:D158" si="7">VLOOKUP(B155,$F$2:$G$174,2,FALSE)</f>
        <v>7.4999999999999997E-2</v>
      </c>
      <c r="F155" t="s">
        <v>332</v>
      </c>
      <c r="G155" s="52">
        <v>0.3</v>
      </c>
    </row>
    <row r="156" spans="1:7" ht="16">
      <c r="A156" s="51" t="s">
        <v>70</v>
      </c>
      <c r="B156" s="51" t="str">
        <f>'Ratings worksheet'!A156</f>
        <v>Venezuela</v>
      </c>
      <c r="C156" s="105">
        <f t="shared" si="4"/>
        <v>0.34</v>
      </c>
      <c r="D156">
        <f t="shared" si="7"/>
        <v>0.34</v>
      </c>
      <c r="F156" t="s">
        <v>65</v>
      </c>
      <c r="G156" s="52">
        <v>0.2</v>
      </c>
    </row>
    <row r="157" spans="1:7" ht="16">
      <c r="A157" s="51" t="s">
        <v>71</v>
      </c>
      <c r="B157" s="51" t="s">
        <v>71</v>
      </c>
      <c r="C157" s="105">
        <f t="shared" si="4"/>
        <v>0.2</v>
      </c>
      <c r="D157">
        <f t="shared" si="7"/>
        <v>0.2</v>
      </c>
      <c r="F157" t="s">
        <v>11</v>
      </c>
      <c r="G157" s="52">
        <v>0.3</v>
      </c>
    </row>
    <row r="158" spans="1:7" ht="16">
      <c r="A158" s="51" t="s">
        <v>192</v>
      </c>
      <c r="B158" s="17" t="s">
        <v>192</v>
      </c>
      <c r="C158" s="105">
        <f t="shared" si="4"/>
        <v>0.35</v>
      </c>
      <c r="D158">
        <f t="shared" si="7"/>
        <v>0.35</v>
      </c>
      <c r="F158" t="s">
        <v>77</v>
      </c>
      <c r="G158" s="52">
        <v>0.15</v>
      </c>
    </row>
    <row r="159" spans="1:7">
      <c r="F159" t="s">
        <v>66</v>
      </c>
      <c r="G159" s="52">
        <v>0.2</v>
      </c>
    </row>
    <row r="160" spans="1:7">
      <c r="F160" t="s">
        <v>67</v>
      </c>
      <c r="G160" s="52">
        <v>0.2</v>
      </c>
    </row>
    <row r="161" spans="6:10">
      <c r="F161" t="s">
        <v>292</v>
      </c>
      <c r="G161" s="52">
        <v>0</v>
      </c>
    </row>
    <row r="162" spans="6:10">
      <c r="F162" t="s">
        <v>228</v>
      </c>
      <c r="G162" s="52">
        <v>0.3</v>
      </c>
    </row>
    <row r="163" spans="6:10">
      <c r="F163" t="s">
        <v>68</v>
      </c>
      <c r="G163" s="52">
        <v>0.18</v>
      </c>
    </row>
    <row r="164" spans="6:10">
      <c r="F164" t="s">
        <v>60</v>
      </c>
      <c r="G164" s="52">
        <v>0.55000000000000004</v>
      </c>
    </row>
    <row r="165" spans="6:10">
      <c r="F165" t="s">
        <v>57</v>
      </c>
      <c r="G165" s="52">
        <v>0.19</v>
      </c>
    </row>
    <row r="166" spans="6:10">
      <c r="F166" t="s">
        <v>356</v>
      </c>
      <c r="G166" s="52">
        <v>0.27</v>
      </c>
    </row>
    <row r="167" spans="6:10">
      <c r="F167" t="s">
        <v>69</v>
      </c>
      <c r="G167" s="52">
        <v>0.25</v>
      </c>
    </row>
    <row r="168" spans="6:10">
      <c r="F168" t="s">
        <v>402</v>
      </c>
      <c r="G168" s="52">
        <v>7.4999999999999997E-2</v>
      </c>
    </row>
    <row r="169" spans="6:10">
      <c r="F169" t="s">
        <v>431</v>
      </c>
      <c r="G169" s="52">
        <v>0</v>
      </c>
    </row>
    <row r="170" spans="6:10">
      <c r="F170" t="s">
        <v>70</v>
      </c>
      <c r="G170" s="52">
        <v>0.34</v>
      </c>
    </row>
    <row r="171" spans="6:10">
      <c r="F171" t="s">
        <v>71</v>
      </c>
      <c r="G171" s="52">
        <v>0.2</v>
      </c>
    </row>
    <row r="172" spans="6:10">
      <c r="F172" t="s">
        <v>449</v>
      </c>
      <c r="G172" s="52">
        <v>0.2</v>
      </c>
    </row>
    <row r="173" spans="6:10">
      <c r="F173" t="s">
        <v>192</v>
      </c>
      <c r="G173" s="52">
        <v>0.35</v>
      </c>
      <c r="J173" s="57"/>
    </row>
    <row r="174" spans="6:10">
      <c r="F174" t="s">
        <v>320</v>
      </c>
      <c r="G174" s="52">
        <v>0.24</v>
      </c>
      <c r="J174" s="57"/>
    </row>
    <row r="175" spans="6:10">
      <c r="J175" s="57"/>
    </row>
    <row r="176" spans="6:10">
      <c r="J176" s="57"/>
    </row>
    <row r="177" spans="10:10">
      <c r="J177" s="57"/>
    </row>
    <row r="178" spans="10:10">
      <c r="J178" s="57"/>
    </row>
    <row r="179" spans="10:10">
      <c r="J179" s="57"/>
    </row>
    <row r="180" spans="10:10">
      <c r="J180" s="57"/>
    </row>
    <row r="181" spans="10:10">
      <c r="J181" s="57"/>
    </row>
    <row r="182" spans="10:10">
      <c r="J182" s="57"/>
    </row>
    <row r="183" spans="10:10">
      <c r="J183" s="57"/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81"/>
  <sheetViews>
    <sheetView topLeftCell="A145" workbookViewId="0">
      <selection activeCell="A161" sqref="A161:G180"/>
    </sheetView>
  </sheetViews>
  <sheetFormatPr baseColWidth="10" defaultRowHeight="16"/>
  <cols>
    <col min="1" max="1" width="26.83203125" style="96" bestFit="1" customWidth="1"/>
    <col min="2" max="2" width="14.33203125" style="150" customWidth="1"/>
    <col min="3" max="4" width="22.1640625" style="22" customWidth="1"/>
    <col min="5" max="6" width="20.83203125" style="30" customWidth="1"/>
    <col min="7" max="7" width="20.83203125" style="53" customWidth="1"/>
    <col min="10" max="10" width="18.5" customWidth="1"/>
    <col min="22" max="22" width="22.6640625" customWidth="1"/>
  </cols>
  <sheetData>
    <row r="1" spans="1:15" s="2" customFormat="1" ht="16" customHeight="1">
      <c r="A1" s="108" t="s">
        <v>75</v>
      </c>
      <c r="B1" s="147" t="s">
        <v>349</v>
      </c>
      <c r="C1" s="108" t="s">
        <v>140</v>
      </c>
      <c r="D1" s="108" t="s">
        <v>139</v>
      </c>
      <c r="E1" s="160" t="s">
        <v>350</v>
      </c>
      <c r="F1" s="160" t="s">
        <v>357</v>
      </c>
      <c r="G1" s="160" t="s">
        <v>392</v>
      </c>
      <c r="H1" s="161"/>
      <c r="I1" s="256" t="s">
        <v>349</v>
      </c>
      <c r="J1" s="256"/>
      <c r="K1" s="162"/>
      <c r="N1" s="257" t="s">
        <v>75</v>
      </c>
      <c r="O1" s="260" t="s">
        <v>586</v>
      </c>
    </row>
    <row r="2" spans="1:15">
      <c r="A2" s="51" t="str">
        <f>'ERPs by country'!A8</f>
        <v>Abu Dhabi</v>
      </c>
      <c r="B2" s="148" t="e">
        <f>VLOOKUP(A2,$N$4:$O$144,2,FALSE)</f>
        <v>#N/A</v>
      </c>
      <c r="C2" s="109">
        <f>'ERPs by country'!E8</f>
        <v>4.730690122813145E-2</v>
      </c>
      <c r="D2" s="26">
        <f>'ERPs by country'!D8</f>
        <v>4.2218747505715949E-3</v>
      </c>
      <c r="E2" s="26">
        <f>C2</f>
        <v>4.730690122813145E-2</v>
      </c>
      <c r="F2" s="64">
        <f>'Country Tax Rates'!C2</f>
        <v>0.55000000000000004</v>
      </c>
      <c r="G2" s="64">
        <f>E2-'ERPs by country'!$E$3</f>
        <v>4.9069012281314495E-3</v>
      </c>
      <c r="I2" s="17" t="s">
        <v>347</v>
      </c>
      <c r="J2" s="17" t="s">
        <v>348</v>
      </c>
      <c r="K2" s="17" t="s">
        <v>312</v>
      </c>
      <c r="L2" s="114" t="s">
        <v>392</v>
      </c>
      <c r="N2" s="258"/>
      <c r="O2" s="261"/>
    </row>
    <row r="3" spans="1:15" ht="16" customHeight="1">
      <c r="A3" s="51" t="str">
        <f>'ERPs by country'!A9</f>
        <v>Albania</v>
      </c>
      <c r="B3" s="148">
        <f t="shared" ref="B3:B66" si="0">VLOOKUP(A3,$N$4:$O$144,2,FALSE)</f>
        <v>69.25</v>
      </c>
      <c r="C3" s="109">
        <f>'ERPs by country'!E9</f>
        <v>8.6918976597047143E-2</v>
      </c>
      <c r="D3" s="26">
        <f>'ERPs by country'!D9</f>
        <v>3.8303918191549574E-2</v>
      </c>
      <c r="E3" s="26">
        <f t="shared" ref="E3:E66" si="1">C3</f>
        <v>8.6918976597047143E-2</v>
      </c>
      <c r="F3" s="64">
        <f>'Country Tax Rates'!C3</f>
        <v>0.15</v>
      </c>
      <c r="G3" s="64">
        <f>E3-'ERPs by country'!$E$3</f>
        <v>4.4518976597047143E-2</v>
      </c>
      <c r="H3" s="82"/>
      <c r="I3" s="17">
        <v>0</v>
      </c>
      <c r="J3" s="110">
        <v>50</v>
      </c>
      <c r="K3" s="105">
        <f>$K$18+L3*'Relative Equity Volatility'!$B$4</f>
        <v>0.24579488157642376</v>
      </c>
      <c r="L3" s="52">
        <f>J41</f>
        <v>0.17499999999999999</v>
      </c>
      <c r="M3" t="s">
        <v>460</v>
      </c>
      <c r="N3" s="259"/>
      <c r="O3" s="262"/>
    </row>
    <row r="4" spans="1:15">
      <c r="A4" s="51" t="str">
        <f>'ERPs by country'!A10</f>
        <v>Andorra (Principality of)</v>
      </c>
      <c r="B4" s="148" t="e">
        <f t="shared" si="0"/>
        <v>#N/A</v>
      </c>
      <c r="C4" s="109">
        <f>'ERPs by country'!E10</f>
        <v>6.1224657438831556E-2</v>
      </c>
      <c r="D4" s="26">
        <f>'ERPs by country'!D10</f>
        <v>1.6196646770374669E-2</v>
      </c>
      <c r="E4" s="26">
        <f t="shared" si="1"/>
        <v>6.1224657438831556E-2</v>
      </c>
      <c r="F4" s="64">
        <f>'Country Tax Rates'!C4</f>
        <v>0.1898</v>
      </c>
      <c r="G4" s="64">
        <f>E4-'ERPs by country'!$E$3</f>
        <v>1.8824657438831556E-2</v>
      </c>
      <c r="H4" s="82"/>
      <c r="I4" s="110">
        <v>50.000999999999998</v>
      </c>
      <c r="J4" s="110">
        <v>55</v>
      </c>
      <c r="K4" s="105">
        <f>$K$18+L4*'Relative Equity Volatility'!$B$4</f>
        <v>0.16105779333481501</v>
      </c>
      <c r="L4" s="52">
        <f>J40</f>
        <v>0.10209260760473131</v>
      </c>
      <c r="M4" s="25" t="s">
        <v>459</v>
      </c>
      <c r="N4" s="249" t="s">
        <v>4</v>
      </c>
      <c r="O4" s="82">
        <v>69.25</v>
      </c>
    </row>
    <row r="5" spans="1:15">
      <c r="A5" s="51" t="str">
        <f>'ERPs by country'!A11</f>
        <v>Angola</v>
      </c>
      <c r="B5" s="148">
        <f t="shared" si="0"/>
        <v>62.75</v>
      </c>
      <c r="C5" s="109">
        <f>'ERPs by country'!E11</f>
        <v>0.10672501428150497</v>
      </c>
      <c r="D5" s="26">
        <f>'ERPs by country'!D11</f>
        <v>5.5344939912038545E-2</v>
      </c>
      <c r="E5" s="26">
        <f t="shared" si="1"/>
        <v>0.10672501428150497</v>
      </c>
      <c r="F5" s="64">
        <f>'Country Tax Rates'!C5</f>
        <v>0.25</v>
      </c>
      <c r="G5" s="64">
        <f>E5-'ERPs by country'!$E$3</f>
        <v>6.4325014281504972E-2</v>
      </c>
      <c r="H5" s="82"/>
      <c r="I5" s="110">
        <v>55.000999999999998</v>
      </c>
      <c r="J5" s="110">
        <v>57</v>
      </c>
      <c r="K5" s="105">
        <f>$K$18+L5*'Relative Equity Volatility'!$B$4</f>
        <v>0.14125175565035719</v>
      </c>
      <c r="L5" s="52">
        <f>J39</f>
        <v>8.5051585884242345E-2</v>
      </c>
      <c r="M5" t="s">
        <v>62</v>
      </c>
      <c r="N5" s="249" t="s">
        <v>337</v>
      </c>
      <c r="O5" s="82">
        <v>62.25</v>
      </c>
    </row>
    <row r="6" spans="1:15">
      <c r="A6" s="51" t="str">
        <f>'ERPs by country'!A12</f>
        <v>Argentina</v>
      </c>
      <c r="B6" s="148">
        <f t="shared" si="0"/>
        <v>67</v>
      </c>
      <c r="C6" s="109">
        <f>'ERPs by country'!E12</f>
        <v>0.16105779333481501</v>
      </c>
      <c r="D6" s="26">
        <f>'ERPs by country'!D12</f>
        <v>0.10209260760473131</v>
      </c>
      <c r="E6" s="26">
        <f t="shared" si="1"/>
        <v>0.16105779333481501</v>
      </c>
      <c r="F6" s="64">
        <f>'Country Tax Rates'!C6</f>
        <v>0.25</v>
      </c>
      <c r="G6" s="64">
        <f>E6-'ERPs by country'!$E$3</f>
        <v>0.11865779333481502</v>
      </c>
      <c r="H6" s="82"/>
      <c r="I6" s="110">
        <v>57.000999999999998</v>
      </c>
      <c r="J6" s="110">
        <v>60</v>
      </c>
      <c r="K6" s="105">
        <f>$K$18+L6*'Relative Equity Volatility'!$B$4</f>
        <v>0.13143795319409429</v>
      </c>
      <c r="L6" s="52">
        <f>J38</f>
        <v>7.6607836383099148E-2</v>
      </c>
      <c r="M6" t="s">
        <v>58</v>
      </c>
      <c r="N6" s="249" t="s">
        <v>131</v>
      </c>
      <c r="O6" s="82">
        <v>62.75</v>
      </c>
    </row>
    <row r="7" spans="1:15">
      <c r="A7" s="51" t="str">
        <f>'ERPs by country'!A13</f>
        <v>Armenia</v>
      </c>
      <c r="B7" s="148">
        <f t="shared" si="0"/>
        <v>64.75</v>
      </c>
      <c r="C7" s="109">
        <f>'ERPs by country'!E13</f>
        <v>7.7997338000444505E-2</v>
      </c>
      <c r="D7" s="26">
        <f>'ERPs by country'!D13</f>
        <v>3.0627782281419401E-2</v>
      </c>
      <c r="E7" s="26">
        <f t="shared" si="1"/>
        <v>7.7997338000444505E-2</v>
      </c>
      <c r="F7" s="64">
        <f>'Country Tax Rates'!C7</f>
        <v>0.18</v>
      </c>
      <c r="G7" s="64">
        <f>E7-'ERPs by country'!$E$3</f>
        <v>3.5597338000444505E-2</v>
      </c>
      <c r="H7" s="82"/>
      <c r="I7" s="110">
        <v>60.000999999999998</v>
      </c>
      <c r="J7" s="110">
        <v>62</v>
      </c>
      <c r="K7" s="105">
        <f>$K$18+L7*'Relative Equity Volatility'!$B$4</f>
        <v>0.11653881673776789</v>
      </c>
      <c r="L7" s="52">
        <f>J37</f>
        <v>6.3788689413181762E-2</v>
      </c>
      <c r="M7" t="s">
        <v>100</v>
      </c>
      <c r="N7" s="249" t="s">
        <v>84</v>
      </c>
      <c r="O7" s="82">
        <v>67</v>
      </c>
    </row>
    <row r="8" spans="1:15">
      <c r="A8" s="51" t="str">
        <f>'ERPs by country'!A14</f>
        <v>Aruba</v>
      </c>
      <c r="B8" s="148" t="e">
        <f t="shared" si="0"/>
        <v>#N/A</v>
      </c>
      <c r="C8" s="109">
        <f>'ERPs by country'!E14</f>
        <v>6.1224657438831556E-2</v>
      </c>
      <c r="D8" s="26">
        <f>'ERPs by country'!D14</f>
        <v>1.6196646770374669E-2</v>
      </c>
      <c r="E8" s="26">
        <f t="shared" si="1"/>
        <v>6.1224657438831556E-2</v>
      </c>
      <c r="F8" s="64">
        <f>'Country Tax Rates'!C8</f>
        <v>0.25</v>
      </c>
      <c r="G8" s="64">
        <f>E8-'ERPs by country'!$E$3</f>
        <v>1.8824657438831556E-2</v>
      </c>
      <c r="H8" s="82"/>
      <c r="I8" s="110">
        <v>62.000999999999998</v>
      </c>
      <c r="J8" s="110">
        <v>64</v>
      </c>
      <c r="K8" s="105">
        <f>$K$18+L8*'Relative Equity Volatility'!$B$4</f>
        <v>0.10672501428150497</v>
      </c>
      <c r="L8" s="52">
        <f>J36</f>
        <v>5.5344939912038545E-2</v>
      </c>
      <c r="M8" t="s">
        <v>78</v>
      </c>
      <c r="N8" s="249" t="s">
        <v>19</v>
      </c>
      <c r="O8" s="82">
        <v>64.75</v>
      </c>
    </row>
    <row r="9" spans="1:15">
      <c r="A9" s="51" t="str">
        <f>'ERPs by country'!A15</f>
        <v>Australia</v>
      </c>
      <c r="B9" s="148">
        <f t="shared" si="0"/>
        <v>80</v>
      </c>
      <c r="C9" s="109">
        <f>'ERPs by country'!E15</f>
        <v>4.24E-2</v>
      </c>
      <c r="D9" s="26">
        <f>'ERPs by country'!D15</f>
        <v>0</v>
      </c>
      <c r="E9" s="26">
        <f t="shared" si="1"/>
        <v>4.24E-2</v>
      </c>
      <c r="F9" s="64">
        <f>'Country Tax Rates'!C9</f>
        <v>0.3</v>
      </c>
      <c r="G9" s="64">
        <f>E9-'ERPs by country'!$E$3</f>
        <v>0</v>
      </c>
      <c r="H9" s="82"/>
      <c r="I9" s="110">
        <v>64.001000000000005</v>
      </c>
      <c r="J9" s="110">
        <v>66</v>
      </c>
      <c r="K9" s="105">
        <f>$K$18+L9*'Relative Equity Volatility'!$B$4</f>
        <v>9.6821995439276054E-2</v>
      </c>
      <c r="L9" s="52">
        <f>J35</f>
        <v>4.6824429051794063E-2</v>
      </c>
      <c r="M9" t="s">
        <v>49</v>
      </c>
      <c r="N9" s="249" t="s">
        <v>85</v>
      </c>
      <c r="O9" s="82">
        <v>80</v>
      </c>
    </row>
    <row r="10" spans="1:15">
      <c r="A10" s="51" t="str">
        <f>'ERPs by country'!A16</f>
        <v>Austria</v>
      </c>
      <c r="B10" s="148">
        <f t="shared" si="0"/>
        <v>78</v>
      </c>
      <c r="C10" s="109">
        <f>'ERPs by country'!E16</f>
        <v>4.6325520982505156E-2</v>
      </c>
      <c r="D10" s="26">
        <f>'ERPs by country'!D16</f>
        <v>3.3774998004572764E-3</v>
      </c>
      <c r="E10" s="26">
        <f t="shared" si="1"/>
        <v>4.6325520982505156E-2</v>
      </c>
      <c r="F10" s="64">
        <f>'Country Tax Rates'!C10</f>
        <v>0.25</v>
      </c>
      <c r="G10" s="64">
        <f>E10-'ERPs by country'!$E$3</f>
        <v>3.9255209825051554E-3</v>
      </c>
      <c r="H10" s="82"/>
      <c r="I10" s="110">
        <v>66.001000000000005</v>
      </c>
      <c r="J10" s="110">
        <v>68</v>
      </c>
      <c r="K10" s="105">
        <f>$K$18+L10*'Relative Equity Volatility'!$B$4</f>
        <v>8.6918976597047143E-2</v>
      </c>
      <c r="L10" s="52">
        <f>J34</f>
        <v>3.8303918191549574E-2</v>
      </c>
      <c r="M10" t="s">
        <v>48</v>
      </c>
      <c r="N10" s="249" t="s">
        <v>176</v>
      </c>
      <c r="O10" s="82">
        <v>78</v>
      </c>
    </row>
    <row r="11" spans="1:15">
      <c r="A11" s="51" t="str">
        <f>'ERPs by country'!A17</f>
        <v>Azerbaijan</v>
      </c>
      <c r="B11" s="148">
        <f t="shared" si="0"/>
        <v>72</v>
      </c>
      <c r="C11" s="109">
        <f>'ERPs by country'!E17</f>
        <v>7.2109056526686768E-2</v>
      </c>
      <c r="D11" s="26">
        <f>'ERPs by country'!D17</f>
        <v>2.5561532580733477E-2</v>
      </c>
      <c r="E11" s="26">
        <f t="shared" si="1"/>
        <v>7.2109056526686768E-2</v>
      </c>
      <c r="F11" s="64">
        <f>'Country Tax Rates'!C11</f>
        <v>0.2</v>
      </c>
      <c r="G11" s="64">
        <f>E11-'ERPs by country'!$E$3</f>
        <v>2.9709056526686768E-2</v>
      </c>
      <c r="H11" s="82"/>
      <c r="I11" s="110">
        <v>68.001000000000005</v>
      </c>
      <c r="J11" s="110">
        <v>69</v>
      </c>
      <c r="K11" s="105">
        <f>$K$18+L11*'Relative Equity Volatility'!$B$4</f>
        <v>7.7997338000444505E-2</v>
      </c>
      <c r="L11" s="52">
        <f>J33</f>
        <v>3.0627782281419401E-2</v>
      </c>
      <c r="M11" t="s">
        <v>81</v>
      </c>
      <c r="N11" s="249" t="s">
        <v>20</v>
      </c>
      <c r="O11" s="82">
        <v>72</v>
      </c>
    </row>
    <row r="12" spans="1:15">
      <c r="A12" s="51" t="str">
        <f>'ERPs by country'!A18</f>
        <v>Bahamas</v>
      </c>
      <c r="B12" s="148">
        <f t="shared" si="0"/>
        <v>72</v>
      </c>
      <c r="C12" s="109">
        <f>'ERPs by country'!E18</f>
        <v>7.7997338000444505E-2</v>
      </c>
      <c r="D12" s="26">
        <f>'ERPs by country'!D18</f>
        <v>3.0627782281419401E-2</v>
      </c>
      <c r="E12" s="26">
        <f t="shared" si="1"/>
        <v>7.7997338000444505E-2</v>
      </c>
      <c r="F12" s="64">
        <f>'Country Tax Rates'!C12</f>
        <v>0</v>
      </c>
      <c r="G12" s="64">
        <f>E12-'ERPs by country'!$E$3</f>
        <v>3.5597338000444505E-2</v>
      </c>
      <c r="H12" s="82"/>
      <c r="I12" s="110">
        <v>69.001000000000005</v>
      </c>
      <c r="J12" s="110">
        <v>72</v>
      </c>
      <c r="K12" s="105">
        <f>$K$18+L12*'Relative Equity Volatility'!$B$4</f>
        <v>7.2109056526686768E-2</v>
      </c>
      <c r="L12" s="52">
        <f>J32</f>
        <v>2.5561532580733477E-2</v>
      </c>
      <c r="M12" t="s">
        <v>80</v>
      </c>
      <c r="N12" s="249" t="s">
        <v>86</v>
      </c>
      <c r="O12" s="82">
        <v>72</v>
      </c>
    </row>
    <row r="13" spans="1:15">
      <c r="A13" s="51" t="str">
        <f>'ERPs by country'!A19</f>
        <v>Bahrain</v>
      </c>
      <c r="B13" s="148">
        <f t="shared" si="0"/>
        <v>68.25</v>
      </c>
      <c r="C13" s="109">
        <f>'ERPs by country'!E19</f>
        <v>9.6821995439276054E-2</v>
      </c>
      <c r="D13" s="26">
        <f>'ERPs by country'!D19</f>
        <v>4.6824429051794063E-2</v>
      </c>
      <c r="E13" s="26">
        <f t="shared" si="1"/>
        <v>9.6821995439276054E-2</v>
      </c>
      <c r="F13" s="64">
        <f>'Country Tax Rates'!C13</f>
        <v>0</v>
      </c>
      <c r="G13" s="64">
        <f>E13-'ERPs by country'!$E$3</f>
        <v>5.4421995439276054E-2</v>
      </c>
      <c r="H13" s="82"/>
      <c r="I13" s="110">
        <v>72.001000000000005</v>
      </c>
      <c r="J13" s="110">
        <v>74</v>
      </c>
      <c r="K13" s="105">
        <f>$K$18+L13*'Relative Equity Volatility'!$B$4</f>
        <v>6.1224657438831556E-2</v>
      </c>
      <c r="L13" s="52">
        <f>J29</f>
        <v>1.6196646770374669E-2</v>
      </c>
      <c r="M13" t="s">
        <v>83</v>
      </c>
      <c r="N13" s="249" t="s">
        <v>87</v>
      </c>
      <c r="O13" s="82">
        <v>68.25</v>
      </c>
    </row>
    <row r="14" spans="1:15">
      <c r="A14" s="51" t="str">
        <f>'ERPs by country'!A20</f>
        <v>Bangladesh</v>
      </c>
      <c r="B14" s="148">
        <f t="shared" si="0"/>
        <v>66.75</v>
      </c>
      <c r="C14" s="109">
        <f>'ERPs by country'!E20</f>
        <v>7.7997338000444505E-2</v>
      </c>
      <c r="D14" s="26">
        <f>'ERPs by country'!D20</f>
        <v>3.0627782281419401E-2</v>
      </c>
      <c r="E14" s="26">
        <f t="shared" si="1"/>
        <v>7.7997338000444505E-2</v>
      </c>
      <c r="F14" s="64">
        <f>'Country Tax Rates'!C14</f>
        <v>0.32500000000000001</v>
      </c>
      <c r="G14" s="64">
        <f>E14-'ERPs by country'!$E$3</f>
        <v>3.5597338000444505E-2</v>
      </c>
      <c r="H14" s="82"/>
      <c r="I14" s="110">
        <v>74.001000000000005</v>
      </c>
      <c r="J14" s="110">
        <v>76</v>
      </c>
      <c r="K14" s="105">
        <f>$K$18+L14*'Relative Equity Volatility'!$B$4</f>
        <v>5.8191300315986662E-2</v>
      </c>
      <c r="L14" s="52">
        <f>J28</f>
        <v>1.358676056093041E-2</v>
      </c>
      <c r="M14" t="s">
        <v>82</v>
      </c>
      <c r="N14" s="249" t="s">
        <v>132</v>
      </c>
      <c r="O14" s="82">
        <v>66.75</v>
      </c>
    </row>
    <row r="15" spans="1:15">
      <c r="A15" s="51" t="str">
        <f>'ERPs by country'!A21</f>
        <v>Barbados</v>
      </c>
      <c r="B15" s="148" t="e">
        <f t="shared" si="0"/>
        <v>#N/A</v>
      </c>
      <c r="C15" s="109">
        <f>'ERPs by country'!E21</f>
        <v>0.11653881673776789</v>
      </c>
      <c r="D15" s="26">
        <f>'ERPs by country'!D21</f>
        <v>6.3788689413181762E-2</v>
      </c>
      <c r="E15" s="26">
        <f t="shared" si="1"/>
        <v>0.11653881673776789</v>
      </c>
      <c r="F15" s="64">
        <f>'Country Tax Rates'!C15</f>
        <v>5.5E-2</v>
      </c>
      <c r="G15" s="64">
        <f>E15-'ERPs by country'!$E$3</f>
        <v>7.4138816737767899E-2</v>
      </c>
      <c r="H15" s="82"/>
      <c r="I15" s="110">
        <v>76.001000000000005</v>
      </c>
      <c r="J15" s="110">
        <v>80</v>
      </c>
      <c r="K15" s="105">
        <f>$K$18+L15*'Relative Equity Volatility'!$B$4</f>
        <v>5.0786340280806475E-2</v>
      </c>
      <c r="L15" s="52">
        <f>J26</f>
        <v>7.2155677555223634E-3</v>
      </c>
      <c r="M15" t="s">
        <v>42</v>
      </c>
      <c r="N15" s="249" t="s">
        <v>5</v>
      </c>
      <c r="O15" s="82">
        <v>65</v>
      </c>
    </row>
    <row r="16" spans="1:15">
      <c r="A16" s="51" t="str">
        <f>'ERPs by country'!A22</f>
        <v>Belarus</v>
      </c>
      <c r="B16" s="148">
        <f t="shared" si="0"/>
        <v>65</v>
      </c>
      <c r="C16" s="109">
        <f>'ERPs by country'!E22</f>
        <v>0.10672501428150497</v>
      </c>
      <c r="D16" s="26">
        <f>'ERPs by country'!D22</f>
        <v>5.5344939912038545E-2</v>
      </c>
      <c r="E16" s="26">
        <f t="shared" si="1"/>
        <v>0.10672501428150497</v>
      </c>
      <c r="F16" s="64">
        <f>'Country Tax Rates'!C16</f>
        <v>0.18</v>
      </c>
      <c r="G16" s="64">
        <f>E16-'ERPs by country'!$E$3</f>
        <v>6.4325014281504972E-2</v>
      </c>
      <c r="H16" s="82"/>
      <c r="I16" s="110">
        <v>80.001000000000005</v>
      </c>
      <c r="J16" s="110">
        <v>82.5</v>
      </c>
      <c r="K16" s="105">
        <f>$K$18+L16*'Relative Equity Volatility'!$B$4</f>
        <v>4.8377497859723763E-2</v>
      </c>
      <c r="L16" s="52">
        <f>J24</f>
        <v>5.1430110597872171E-3</v>
      </c>
      <c r="M16" t="s">
        <v>46</v>
      </c>
      <c r="N16" s="249" t="s">
        <v>177</v>
      </c>
      <c r="O16" s="82">
        <v>77.5</v>
      </c>
    </row>
    <row r="17" spans="1:15">
      <c r="A17" s="51" t="str">
        <f>'ERPs by country'!A23</f>
        <v>Belgium</v>
      </c>
      <c r="B17" s="148">
        <f t="shared" si="0"/>
        <v>77.5</v>
      </c>
      <c r="C17" s="109">
        <f>'ERPs by country'!E23</f>
        <v>4.8377497859723763E-2</v>
      </c>
      <c r="D17" s="26">
        <f>'ERPs by country'!D23</f>
        <v>5.1430110597872171E-3</v>
      </c>
      <c r="E17" s="26">
        <f t="shared" si="1"/>
        <v>4.8377497859723763E-2</v>
      </c>
      <c r="F17" s="64">
        <f>'Country Tax Rates'!C17</f>
        <v>0.25</v>
      </c>
      <c r="G17" s="64">
        <f>E17-'ERPs by country'!$E$3</f>
        <v>5.9774978597237627E-3</v>
      </c>
      <c r="H17" s="82"/>
      <c r="I17" s="110">
        <v>82.501000000000005</v>
      </c>
      <c r="J17" s="110">
        <v>85</v>
      </c>
      <c r="K17" s="105">
        <f>$K$18+L17*'Relative Equity Volatility'!$B$4</f>
        <v>4.6325520982505156E-2</v>
      </c>
      <c r="L17" s="52">
        <f>J22</f>
        <v>3.3774998004572764E-3</v>
      </c>
      <c r="M17" t="s">
        <v>44</v>
      </c>
      <c r="N17" s="249" t="s">
        <v>91</v>
      </c>
      <c r="O17" s="82">
        <v>66.5</v>
      </c>
    </row>
    <row r="18" spans="1:15">
      <c r="A18" s="51" t="str">
        <f>'ERPs by country'!A24</f>
        <v>Belize</v>
      </c>
      <c r="B18" s="148" t="e">
        <f t="shared" si="0"/>
        <v>#N/A</v>
      </c>
      <c r="C18" s="109">
        <f>'ERPs by country'!E24</f>
        <v>0.14125175565035719</v>
      </c>
      <c r="D18" s="26">
        <f>'ERPs by country'!D24</f>
        <v>8.5051585884242345E-2</v>
      </c>
      <c r="E18" s="26">
        <f t="shared" si="1"/>
        <v>0.14125175565035719</v>
      </c>
      <c r="F18" s="64">
        <f>'Country Tax Rates'!C18</f>
        <v>0.27179999999999999</v>
      </c>
      <c r="G18" s="64">
        <f>E18-'ERPs by country'!$E$3</f>
        <v>9.8851755650357198E-2</v>
      </c>
      <c r="H18" s="82"/>
      <c r="I18" s="110">
        <v>85.001000000000005</v>
      </c>
      <c r="J18" s="110">
        <v>90.000100000000003</v>
      </c>
      <c r="K18" s="105">
        <f>'ERPs by country'!E3</f>
        <v>4.24E-2</v>
      </c>
      <c r="L18" s="52">
        <f>J21</f>
        <v>0</v>
      </c>
      <c r="M18" t="s">
        <v>47</v>
      </c>
      <c r="N18" s="249" t="s">
        <v>123</v>
      </c>
      <c r="O18" s="82">
        <v>76.5</v>
      </c>
    </row>
    <row r="19" spans="1:15">
      <c r="A19" s="51" t="str">
        <f>'ERPs by country'!A25</f>
        <v>Benin</v>
      </c>
      <c r="B19" s="148" t="e">
        <f t="shared" si="0"/>
        <v>#N/A</v>
      </c>
      <c r="C19" s="109">
        <f>'ERPs by country'!E25</f>
        <v>8.6918976597047143E-2</v>
      </c>
      <c r="D19" s="26">
        <f>'ERPs by country'!D25</f>
        <v>3.8303918191549574E-2</v>
      </c>
      <c r="E19" s="26">
        <f t="shared" si="1"/>
        <v>8.6918976597047143E-2</v>
      </c>
      <c r="F19" s="64">
        <f>'Country Tax Rates'!C19</f>
        <v>0.3</v>
      </c>
      <c r="G19" s="64">
        <f>E19-'ERPs by country'!$E$3</f>
        <v>4.4518976597047143E-2</v>
      </c>
      <c r="H19" s="82"/>
      <c r="N19" s="249" t="s">
        <v>92</v>
      </c>
      <c r="O19" s="82">
        <v>69.5</v>
      </c>
    </row>
    <row r="20" spans="1:15">
      <c r="A20" s="51" t="str">
        <f>'ERPs by country'!A26</f>
        <v>Bermuda</v>
      </c>
      <c r="B20" s="148" t="e">
        <f t="shared" si="0"/>
        <v>#N/A</v>
      </c>
      <c r="C20" s="109">
        <f>'ERPs by country'!E26</f>
        <v>5.0786340280806475E-2</v>
      </c>
      <c r="D20" s="26">
        <f>'ERPs by country'!D26</f>
        <v>7.2155677555223634E-3</v>
      </c>
      <c r="E20" s="26">
        <f t="shared" si="1"/>
        <v>5.0786340280806475E-2</v>
      </c>
      <c r="F20" s="64">
        <f>'Country Tax Rates'!C20</f>
        <v>0</v>
      </c>
      <c r="G20" s="64">
        <f>E20-'ERPs by country'!$E$3</f>
        <v>8.3863402808064744E-3</v>
      </c>
      <c r="H20" s="82"/>
      <c r="I20" s="19" t="s">
        <v>39</v>
      </c>
      <c r="J20" s="17" t="s">
        <v>570</v>
      </c>
      <c r="N20" s="249" t="s">
        <v>338</v>
      </c>
      <c r="O20" s="82">
        <v>79</v>
      </c>
    </row>
    <row r="21" spans="1:15">
      <c r="A21" s="51" t="str">
        <f>'ERPs by country'!A27</f>
        <v>Bolivia</v>
      </c>
      <c r="B21" s="148">
        <f t="shared" si="0"/>
        <v>66.5</v>
      </c>
      <c r="C21" s="109">
        <f>'ERPs by country'!E27</f>
        <v>9.6821995439276054E-2</v>
      </c>
      <c r="D21" s="26">
        <f>'ERPs by country'!D27</f>
        <v>4.6824429051794063E-2</v>
      </c>
      <c r="E21" s="26">
        <f t="shared" si="1"/>
        <v>9.6821995439276054E-2</v>
      </c>
      <c r="F21" s="64">
        <f>'Country Tax Rates'!C21</f>
        <v>0.25</v>
      </c>
      <c r="G21" s="64">
        <f>E21-'ERPs by country'!$E$3</f>
        <v>5.4421995439276054E-2</v>
      </c>
      <c r="H21" s="82"/>
      <c r="I21" s="155" t="s">
        <v>47</v>
      </c>
      <c r="J21" s="105">
        <f>'Default Spreads for Ratings'!C8/10000</f>
        <v>0</v>
      </c>
      <c r="K21" s="85"/>
      <c r="N21" s="249" t="s">
        <v>94</v>
      </c>
      <c r="O21" s="82">
        <v>74.75</v>
      </c>
    </row>
    <row r="22" spans="1:15">
      <c r="A22" s="51" t="str">
        <f>'ERPs by country'!A28</f>
        <v>Bosnia and Herzegovina</v>
      </c>
      <c r="B22" s="148" t="e">
        <f t="shared" si="0"/>
        <v>#N/A</v>
      </c>
      <c r="C22" s="109">
        <f>'ERPs by country'!E28</f>
        <v>0.10672501428150497</v>
      </c>
      <c r="D22" s="26">
        <f>'ERPs by country'!D28</f>
        <v>5.5344939912038545E-2</v>
      </c>
      <c r="E22" s="26">
        <f t="shared" si="1"/>
        <v>0.10672501428150497</v>
      </c>
      <c r="F22" s="64">
        <f>'Country Tax Rates'!C22</f>
        <v>0.1</v>
      </c>
      <c r="G22" s="64">
        <f>E22-'ERPs by country'!$E$3</f>
        <v>6.4325014281504972E-2</v>
      </c>
      <c r="H22" s="82"/>
      <c r="I22" s="155" t="s">
        <v>44</v>
      </c>
      <c r="J22" s="105">
        <f>'Default Spreads for Ratings'!C5/10000</f>
        <v>3.3774998004572764E-3</v>
      </c>
      <c r="K22" s="85"/>
      <c r="N22" s="249" t="s">
        <v>211</v>
      </c>
      <c r="O22" s="82">
        <v>61.25</v>
      </c>
    </row>
    <row r="23" spans="1:15">
      <c r="A23" s="51" t="str">
        <f>'ERPs by country'!A29</f>
        <v>Botswana</v>
      </c>
      <c r="B23" s="148">
        <f t="shared" si="0"/>
        <v>76.5</v>
      </c>
      <c r="C23" s="109">
        <f>'ERPs by country'!E29</f>
        <v>5.4265779333481506E-2</v>
      </c>
      <c r="D23" s="26">
        <f>'ERPs by country'!D29</f>
        <v>1.0209260760473134E-2</v>
      </c>
      <c r="E23" s="26">
        <f t="shared" si="1"/>
        <v>5.4265779333481506E-2</v>
      </c>
      <c r="F23" s="64">
        <f>'Country Tax Rates'!C23</f>
        <v>0.22</v>
      </c>
      <c r="G23" s="64">
        <f>E23-'ERPs by country'!$E$3</f>
        <v>1.1865779333481506E-2</v>
      </c>
      <c r="H23" s="82"/>
      <c r="I23" s="155" t="s">
        <v>45</v>
      </c>
      <c r="J23" s="105">
        <f>'Default Spreads for Ratings'!C6/10000</f>
        <v>4.2218747505715949E-3</v>
      </c>
      <c r="K23" s="85"/>
      <c r="N23" s="249" t="s">
        <v>212</v>
      </c>
      <c r="O23" s="82">
        <v>61.25</v>
      </c>
    </row>
    <row r="24" spans="1:15">
      <c r="A24" s="51" t="str">
        <f>'ERPs by country'!A30</f>
        <v>Brazil</v>
      </c>
      <c r="B24" s="148">
        <f t="shared" si="0"/>
        <v>69.5</v>
      </c>
      <c r="C24" s="109">
        <f>'ERPs by country'!E30</f>
        <v>7.2109056526686768E-2</v>
      </c>
      <c r="D24" s="26">
        <f>'ERPs by country'!D30</f>
        <v>2.5561532580733477E-2</v>
      </c>
      <c r="E24" s="26">
        <f t="shared" si="1"/>
        <v>7.2109056526686768E-2</v>
      </c>
      <c r="F24" s="64">
        <f>'Country Tax Rates'!C24</f>
        <v>0.34</v>
      </c>
      <c r="G24" s="64">
        <f>E24-'ERPs by country'!$E$3</f>
        <v>2.9709056526686768E-2</v>
      </c>
      <c r="H24" s="82"/>
      <c r="I24" s="155" t="s">
        <v>46</v>
      </c>
      <c r="J24" s="105">
        <f>'Default Spreads for Ratings'!C7/10000</f>
        <v>5.1430110597872171E-3</v>
      </c>
      <c r="K24" s="85"/>
      <c r="N24" s="249" t="s">
        <v>95</v>
      </c>
      <c r="O24" s="82">
        <v>81.25</v>
      </c>
    </row>
    <row r="25" spans="1:15">
      <c r="A25" s="51" t="str">
        <f>'ERPs by country'!A31</f>
        <v>Bulgaria</v>
      </c>
      <c r="B25" s="148">
        <f t="shared" si="0"/>
        <v>74.75</v>
      </c>
      <c r="C25" s="109">
        <f>'ERPs by country'!E31</f>
        <v>5.8191300315986662E-2</v>
      </c>
      <c r="D25" s="26">
        <f>'ERPs by country'!D31</f>
        <v>1.358676056093041E-2</v>
      </c>
      <c r="E25" s="26">
        <f t="shared" si="1"/>
        <v>5.8191300315986662E-2</v>
      </c>
      <c r="F25" s="64">
        <f>'Country Tax Rates'!C25</f>
        <v>0.1</v>
      </c>
      <c r="G25" s="64">
        <f>E25-'ERPs by country'!$E$3</f>
        <v>1.5791300315986662E-2</v>
      </c>
      <c r="H25" s="82"/>
      <c r="I25" s="155" t="s">
        <v>41</v>
      </c>
      <c r="J25" s="105">
        <f>'Default Spreads for Ratings'!C2/10000</f>
        <v>5.987386009901537E-3</v>
      </c>
      <c r="K25" s="85"/>
      <c r="N25" s="249" t="s">
        <v>96</v>
      </c>
      <c r="O25" s="82">
        <v>73.75</v>
      </c>
    </row>
    <row r="26" spans="1:15">
      <c r="A26" s="51" t="str">
        <f>'ERPs by country'!A32</f>
        <v>Burkina Faso</v>
      </c>
      <c r="B26" s="148">
        <f t="shared" si="0"/>
        <v>61.25</v>
      </c>
      <c r="C26" s="109">
        <f>'ERPs by country'!E32</f>
        <v>9.6821995439276054E-2</v>
      </c>
      <c r="D26" s="26">
        <f>'ERPs by country'!D32</f>
        <v>4.6824429051794063E-2</v>
      </c>
      <c r="E26" s="26">
        <f t="shared" si="1"/>
        <v>9.6821995439276054E-2</v>
      </c>
      <c r="F26" s="64">
        <f>'Country Tax Rates'!C26</f>
        <v>0.28000000000000003</v>
      </c>
      <c r="G26" s="64">
        <f>E26-'ERPs by country'!$E$3</f>
        <v>5.4421995439276054E-2</v>
      </c>
      <c r="H26" s="82"/>
      <c r="I26" s="155" t="s">
        <v>42</v>
      </c>
      <c r="J26" s="105">
        <f>'Default Spreads for Ratings'!C3/10000</f>
        <v>7.2155677555223634E-3</v>
      </c>
      <c r="K26" s="85"/>
      <c r="N26" s="249" t="s">
        <v>497</v>
      </c>
      <c r="O26" s="82">
        <v>71.75</v>
      </c>
    </row>
    <row r="27" spans="1:15">
      <c r="A27" s="51" t="str">
        <f>'ERPs by country'!A33</f>
        <v>Cambodia</v>
      </c>
      <c r="B27" s="148" t="e">
        <f t="shared" si="0"/>
        <v>#N/A</v>
      </c>
      <c r="C27" s="109">
        <f>'ERPs by country'!E33</f>
        <v>9.6821995439276054E-2</v>
      </c>
      <c r="D27" s="26">
        <f>'ERPs by country'!D33</f>
        <v>4.6824429051794063E-2</v>
      </c>
      <c r="E27" s="26">
        <f t="shared" si="1"/>
        <v>9.6821995439276054E-2</v>
      </c>
      <c r="F27" s="64">
        <f>'Country Tax Rates'!C27</f>
        <v>0.2</v>
      </c>
      <c r="G27" s="64">
        <f>E27-'ERPs by country'!$E$3</f>
        <v>5.4421995439276054E-2</v>
      </c>
      <c r="H27" s="82"/>
      <c r="I27" s="155" t="s">
        <v>43</v>
      </c>
      <c r="J27" s="105">
        <f>'Default Spreads for Ratings'!C4/10000</f>
        <v>1.0209260760473134E-2</v>
      </c>
      <c r="K27" s="85"/>
      <c r="N27" s="249" t="s">
        <v>50</v>
      </c>
      <c r="O27" s="82">
        <v>64.5</v>
      </c>
    </row>
    <row r="28" spans="1:15">
      <c r="A28" s="51" t="str">
        <f>'ERPs by country'!A34</f>
        <v>Cameroon</v>
      </c>
      <c r="B28" s="148">
        <f t="shared" si="0"/>
        <v>61.25</v>
      </c>
      <c r="C28" s="109">
        <f>'ERPs by country'!E34</f>
        <v>9.6821995439276054E-2</v>
      </c>
      <c r="D28" s="26">
        <f>'ERPs by country'!D34</f>
        <v>4.6824429051794063E-2</v>
      </c>
      <c r="E28" s="26">
        <f t="shared" si="1"/>
        <v>9.6821995439276054E-2</v>
      </c>
      <c r="F28" s="64">
        <f>'Country Tax Rates'!C28</f>
        <v>0.33</v>
      </c>
      <c r="G28" s="64">
        <f>E28-'ERPs by country'!$E$3</f>
        <v>5.4421995439276054E-2</v>
      </c>
      <c r="H28" s="82"/>
      <c r="I28" s="155" t="s">
        <v>82</v>
      </c>
      <c r="J28" s="105">
        <f>'Default Spreads for Ratings'!C15/10000</f>
        <v>1.358676056093041E-2</v>
      </c>
      <c r="K28" s="85"/>
      <c r="N28" s="249" t="s">
        <v>500</v>
      </c>
      <c r="O28" s="82">
        <v>57.5</v>
      </c>
    </row>
    <row r="29" spans="1:15">
      <c r="A29" s="51" t="str">
        <f>'ERPs by country'!A35</f>
        <v>Canada</v>
      </c>
      <c r="B29" s="148">
        <f t="shared" si="0"/>
        <v>81.25</v>
      </c>
      <c r="C29" s="109">
        <f>'ERPs by country'!E35</f>
        <v>4.24E-2</v>
      </c>
      <c r="D29" s="26">
        <f>'ERPs by country'!D35</f>
        <v>0</v>
      </c>
      <c r="E29" s="26">
        <f t="shared" si="1"/>
        <v>4.24E-2</v>
      </c>
      <c r="F29" s="64">
        <f>'Country Tax Rates'!C29</f>
        <v>0.26500000000000001</v>
      </c>
      <c r="G29" s="64">
        <f>E29-'ERPs by country'!$E$3</f>
        <v>0</v>
      </c>
      <c r="H29" s="82"/>
      <c r="I29" s="155" t="s">
        <v>83</v>
      </c>
      <c r="J29" s="105">
        <f>'Default Spreads for Ratings'!C16/10000</f>
        <v>1.6196646770374669E-2</v>
      </c>
      <c r="K29" s="85"/>
      <c r="N29" s="249" t="s">
        <v>499</v>
      </c>
      <c r="O29" s="82">
        <v>66.5</v>
      </c>
    </row>
    <row r="30" spans="1:15">
      <c r="A30" s="51" t="str">
        <f>'ERPs by country'!A36</f>
        <v>Cape Verde</v>
      </c>
      <c r="B30" s="148" t="e">
        <f t="shared" si="0"/>
        <v>#N/A</v>
      </c>
      <c r="C30" s="109">
        <f>'ERPs by country'!E36</f>
        <v>0.10672501428150497</v>
      </c>
      <c r="D30" s="26">
        <f>'ERPs by country'!D36</f>
        <v>5.5344939912038545E-2</v>
      </c>
      <c r="E30" s="26">
        <f t="shared" si="1"/>
        <v>0.10672501428150497</v>
      </c>
      <c r="F30" s="64">
        <f>'Country Tax Rates'!C30</f>
        <v>0</v>
      </c>
      <c r="G30" s="64">
        <f>E30-'ERPs by country'!$E$3</f>
        <v>6.4325014281504972E-2</v>
      </c>
      <c r="H30" s="82"/>
      <c r="I30" s="155" t="s">
        <v>124</v>
      </c>
      <c r="J30" s="105">
        <f>'Default Spreads for Ratings'!C17/10000</f>
        <v>1.8729771620717626E-2</v>
      </c>
      <c r="K30" s="85"/>
      <c r="N30" s="249" t="s">
        <v>56</v>
      </c>
      <c r="O30" s="82">
        <v>73</v>
      </c>
    </row>
    <row r="31" spans="1:15">
      <c r="A31" s="51" t="str">
        <f>'ERPs by country'!A37</f>
        <v>Cayman Islands</v>
      </c>
      <c r="B31" s="148" t="e">
        <f t="shared" si="0"/>
        <v>#N/A</v>
      </c>
      <c r="C31" s="109">
        <f>'ERPs by country'!E37</f>
        <v>4.8377497859723763E-2</v>
      </c>
      <c r="D31" s="26">
        <f>'ERPs by country'!D37</f>
        <v>5.1430110597872171E-3</v>
      </c>
      <c r="E31" s="26">
        <f t="shared" si="1"/>
        <v>4.8377497859723763E-2</v>
      </c>
      <c r="F31" s="64">
        <f>'Country Tax Rates'!C31</f>
        <v>0</v>
      </c>
      <c r="G31" s="64">
        <f>E31-'ERPs by country'!$E$3</f>
        <v>5.9774978597237627E-3</v>
      </c>
      <c r="H31" s="82"/>
      <c r="I31" s="155" t="s">
        <v>79</v>
      </c>
      <c r="J31" s="105">
        <f>'Default Spreads for Ratings'!C12/10000</f>
        <v>2.1262896471060586E-2</v>
      </c>
      <c r="K31" s="85"/>
      <c r="N31" s="249" t="s">
        <v>384</v>
      </c>
      <c r="O31" s="82">
        <v>60.5</v>
      </c>
    </row>
    <row r="32" spans="1:15">
      <c r="A32" s="51" t="str">
        <f>'ERPs by country'!A38</f>
        <v>Chile</v>
      </c>
      <c r="B32" s="148">
        <f t="shared" si="0"/>
        <v>73.75</v>
      </c>
      <c r="C32" s="109">
        <f>'ERPs by country'!E38</f>
        <v>4.9358878105350057E-2</v>
      </c>
      <c r="D32" s="26">
        <f>'ERPs by country'!D38</f>
        <v>5.987386009901537E-3</v>
      </c>
      <c r="E32" s="26">
        <f t="shared" si="1"/>
        <v>4.9358878105350057E-2</v>
      </c>
      <c r="F32" s="64">
        <f>'Country Tax Rates'!C32</f>
        <v>0.27</v>
      </c>
      <c r="G32" s="64">
        <f>E32-'ERPs by country'!$E$3</f>
        <v>6.9588781053500567E-3</v>
      </c>
      <c r="H32" s="82"/>
      <c r="I32" s="155" t="s">
        <v>80</v>
      </c>
      <c r="J32" s="105">
        <f>'Default Spreads for Ratings'!C13/10000</f>
        <v>2.5561532580733477E-2</v>
      </c>
      <c r="K32" s="85"/>
      <c r="N32" s="249" t="s">
        <v>98</v>
      </c>
      <c r="O32" s="82">
        <v>75.5</v>
      </c>
    </row>
    <row r="33" spans="1:15">
      <c r="A33" s="51" t="str">
        <f>'ERPs by country'!A39</f>
        <v>China</v>
      </c>
      <c r="B33" s="148" t="e">
        <f t="shared" si="0"/>
        <v>#N/A</v>
      </c>
      <c r="C33" s="109">
        <f>'ERPs by country'!E39</f>
        <v>4.9358878105350057E-2</v>
      </c>
      <c r="D33" s="26">
        <f>'ERPs by country'!D39</f>
        <v>5.987386009901537E-3</v>
      </c>
      <c r="E33" s="26">
        <f t="shared" si="1"/>
        <v>4.9358878105350057E-2</v>
      </c>
      <c r="F33" s="64">
        <f>'Country Tax Rates'!C33</f>
        <v>0.25</v>
      </c>
      <c r="G33" s="64">
        <f>E33-'ERPs by country'!$E$3</f>
        <v>6.9588781053500567E-3</v>
      </c>
      <c r="H33" s="82"/>
      <c r="I33" s="155" t="s">
        <v>81</v>
      </c>
      <c r="J33" s="105">
        <f>'Default Spreads for Ratings'!C14/10000</f>
        <v>3.0627782281419401E-2</v>
      </c>
      <c r="K33" s="85"/>
      <c r="N33" s="249" t="s">
        <v>99</v>
      </c>
      <c r="O33" s="82">
        <v>55.25</v>
      </c>
    </row>
    <row r="34" spans="1:15">
      <c r="A34" s="51" t="str">
        <f>'ERPs by country'!A40</f>
        <v>Colombia</v>
      </c>
      <c r="B34" s="148">
        <f t="shared" si="0"/>
        <v>64.5</v>
      </c>
      <c r="C34" s="109">
        <f>'ERPs by country'!E40</f>
        <v>6.1224657438831556E-2</v>
      </c>
      <c r="D34" s="26">
        <f>'ERPs by country'!D40</f>
        <v>1.6196646770374669E-2</v>
      </c>
      <c r="E34" s="26">
        <f t="shared" si="1"/>
        <v>6.1224657438831556E-2</v>
      </c>
      <c r="F34" s="64">
        <f>'Country Tax Rates'!C34</f>
        <v>0.31</v>
      </c>
      <c r="G34" s="64">
        <f>E34-'ERPs by country'!$E$3</f>
        <v>1.8824657438831556E-2</v>
      </c>
      <c r="H34" s="82"/>
      <c r="I34" s="155" t="s">
        <v>48</v>
      </c>
      <c r="J34" s="105">
        <f>'Default Spreads for Ratings'!C9/10000</f>
        <v>3.8303918191549574E-2</v>
      </c>
      <c r="K34" s="85"/>
      <c r="N34" s="249" t="s">
        <v>178</v>
      </c>
      <c r="O34" s="82">
        <v>71.25</v>
      </c>
    </row>
    <row r="35" spans="1:15">
      <c r="A35" s="51" t="str">
        <f>'ERPs by country'!A41</f>
        <v>Congo (Democratic Republic of)</v>
      </c>
      <c r="B35" s="148" t="e">
        <f t="shared" si="0"/>
        <v>#N/A</v>
      </c>
      <c r="C35" s="109">
        <f>'ERPs by country'!E41</f>
        <v>0.11653881673776789</v>
      </c>
      <c r="D35" s="26">
        <f>'ERPs by country'!D41</f>
        <v>6.3788689413181762E-2</v>
      </c>
      <c r="E35" s="26">
        <f t="shared" si="1"/>
        <v>0.11653881673776789</v>
      </c>
      <c r="F35" s="64">
        <f>'Country Tax Rates'!C35</f>
        <v>0.3</v>
      </c>
      <c r="G35" s="64">
        <f>E35-'ERPs by country'!$E$3</f>
        <v>7.4138816737767899E-2</v>
      </c>
      <c r="H35" s="82"/>
      <c r="I35" s="155" t="s">
        <v>49</v>
      </c>
      <c r="J35" s="105">
        <f>'Default Spreads for Ratings'!C10/10000</f>
        <v>4.6824429051794063E-2</v>
      </c>
      <c r="K35" s="85"/>
      <c r="N35" s="249" t="s">
        <v>101</v>
      </c>
      <c r="O35" s="82">
        <v>77.75</v>
      </c>
    </row>
    <row r="36" spans="1:15">
      <c r="A36" s="51" t="str">
        <f>'ERPs by country'!A42</f>
        <v>Congo (Republic of)</v>
      </c>
      <c r="B36" s="148" t="e">
        <f t="shared" si="0"/>
        <v>#N/A</v>
      </c>
      <c r="C36" s="109">
        <f>'ERPs by country'!E42</f>
        <v>0.13143795319409429</v>
      </c>
      <c r="D36" s="26">
        <f>'ERPs by country'!D42</f>
        <v>7.6607836383099148E-2</v>
      </c>
      <c r="E36" s="26">
        <f t="shared" si="1"/>
        <v>0.13143795319409429</v>
      </c>
      <c r="F36" s="64">
        <f>'Country Tax Rates'!C36</f>
        <v>0.28000000000000003</v>
      </c>
      <c r="G36" s="64">
        <f>E36-'ERPs by country'!$E$3</f>
        <v>8.9037953194094299E-2</v>
      </c>
      <c r="H36" s="82"/>
      <c r="I36" s="155" t="s">
        <v>78</v>
      </c>
      <c r="J36" s="105">
        <f>'Default Spreads for Ratings'!C11/10000</f>
        <v>5.5344939912038545E-2</v>
      </c>
      <c r="K36" s="85"/>
      <c r="N36" s="249" t="s">
        <v>102</v>
      </c>
      <c r="O36" s="82">
        <v>85.5</v>
      </c>
    </row>
    <row r="37" spans="1:15">
      <c r="A37" s="51" t="str">
        <f>'ERPs by country'!A43</f>
        <v>Cook Islands</v>
      </c>
      <c r="B37" s="148" t="e">
        <f t="shared" si="0"/>
        <v>#N/A</v>
      </c>
      <c r="C37" s="109">
        <f>'ERPs by country'!E43</f>
        <v>8.6918976597047143E-2</v>
      </c>
      <c r="D37" s="26">
        <f>'ERPs by country'!D43</f>
        <v>3.8303918191549574E-2</v>
      </c>
      <c r="E37" s="26">
        <f t="shared" si="1"/>
        <v>8.6918976597047143E-2</v>
      </c>
      <c r="F37" s="64">
        <f>'Country Tax Rates'!C37</f>
        <v>0.2843</v>
      </c>
      <c r="G37" s="64">
        <f>E37-'ERPs by country'!$E$3</f>
        <v>4.4518976597047143E-2</v>
      </c>
      <c r="H37" s="82"/>
      <c r="I37" s="155" t="s">
        <v>100</v>
      </c>
      <c r="J37" s="105">
        <f>'Default Spreads for Ratings'!C19/10000</f>
        <v>6.3788689413181762E-2</v>
      </c>
      <c r="K37" s="85"/>
      <c r="N37" s="249" t="s">
        <v>103</v>
      </c>
      <c r="O37" s="82">
        <v>73</v>
      </c>
    </row>
    <row r="38" spans="1:15">
      <c r="A38" s="51" t="str">
        <f>'ERPs by country'!A44</f>
        <v>Costa Rica</v>
      </c>
      <c r="B38" s="148">
        <f t="shared" si="0"/>
        <v>73</v>
      </c>
      <c r="C38" s="109">
        <f>'ERPs by country'!E44</f>
        <v>9.6821995439276054E-2</v>
      </c>
      <c r="D38" s="26">
        <f>'ERPs by country'!D44</f>
        <v>4.6824429051794063E-2</v>
      </c>
      <c r="E38" s="26">
        <f t="shared" si="1"/>
        <v>9.6821995439276054E-2</v>
      </c>
      <c r="F38" s="64">
        <f>'Country Tax Rates'!C38</f>
        <v>0.3</v>
      </c>
      <c r="G38" s="64">
        <f>E38-'ERPs by country'!$E$3</f>
        <v>5.4421995439276054E-2</v>
      </c>
      <c r="H38" s="82"/>
      <c r="I38" s="155" t="s">
        <v>58</v>
      </c>
      <c r="J38" s="105">
        <f>'Default Spreads for Ratings'!C20/10000</f>
        <v>7.6607836383099148E-2</v>
      </c>
      <c r="K38" s="85"/>
      <c r="N38" s="249" t="s">
        <v>104</v>
      </c>
      <c r="O38" s="82">
        <v>68.5</v>
      </c>
    </row>
    <row r="39" spans="1:15">
      <c r="A39" s="51" t="str">
        <f>'ERPs by country'!A45</f>
        <v>Côte d'Ivoire</v>
      </c>
      <c r="B39" s="148" t="e">
        <f t="shared" si="0"/>
        <v>#N/A</v>
      </c>
      <c r="C39" s="109">
        <f>'ERPs by country'!E45</f>
        <v>7.7997338000444505E-2</v>
      </c>
      <c r="D39" s="26">
        <f>'ERPs by country'!D45</f>
        <v>3.0627782281419401E-2</v>
      </c>
      <c r="E39" s="26">
        <f t="shared" si="1"/>
        <v>7.7997338000444505E-2</v>
      </c>
      <c r="F39" s="64">
        <f>'Country Tax Rates'!C39</f>
        <v>0.25</v>
      </c>
      <c r="G39" s="64">
        <f>E39-'ERPs by country'!$E$3</f>
        <v>3.5597338000444505E-2</v>
      </c>
      <c r="H39" s="82"/>
      <c r="I39" s="155" t="s">
        <v>62</v>
      </c>
      <c r="J39" s="105">
        <f>'Default Spreads for Ratings'!C21/10000</f>
        <v>8.5051585884242345E-2</v>
      </c>
      <c r="K39" s="85"/>
      <c r="N39" s="249" t="s">
        <v>105</v>
      </c>
      <c r="O39" s="82">
        <v>64.5</v>
      </c>
    </row>
    <row r="40" spans="1:15">
      <c r="A40" s="51" t="str">
        <f>'ERPs by country'!A46</f>
        <v>Croatia</v>
      </c>
      <c r="B40" s="148">
        <f t="shared" si="0"/>
        <v>75.5</v>
      </c>
      <c r="C40" s="109">
        <f>'ERPs by country'!E46</f>
        <v>6.7112938912589293E-2</v>
      </c>
      <c r="D40" s="26">
        <f>'ERPs by country'!D46</f>
        <v>2.1262896471060586E-2</v>
      </c>
      <c r="E40" s="26">
        <f t="shared" si="1"/>
        <v>6.7112938912589293E-2</v>
      </c>
      <c r="F40" s="64">
        <f>'Country Tax Rates'!C40</f>
        <v>0.18</v>
      </c>
      <c r="G40" s="64">
        <f>E40-'ERPs by country'!$E$3</f>
        <v>2.4712938912589293E-2</v>
      </c>
      <c r="H40" s="82"/>
      <c r="I40" s="155" t="s">
        <v>346</v>
      </c>
      <c r="J40" s="105">
        <f>'Default Spreads for Ratings'!C18/10000</f>
        <v>0.10209260760473131</v>
      </c>
      <c r="K40" s="85"/>
      <c r="N40" s="249" t="s">
        <v>31</v>
      </c>
      <c r="O40" s="82">
        <v>68.25</v>
      </c>
    </row>
    <row r="41" spans="1:15">
      <c r="A41" s="51" t="str">
        <f>'ERPs by country'!A47</f>
        <v>Cuba</v>
      </c>
      <c r="B41" s="148">
        <f t="shared" si="0"/>
        <v>55.25</v>
      </c>
      <c r="C41" s="109">
        <f>'ERPs by country'!E47</f>
        <v>0.16105779333481501</v>
      </c>
      <c r="D41" s="26">
        <f>'ERPs by country'!D47</f>
        <v>0.10209260760473131</v>
      </c>
      <c r="E41" s="26">
        <f t="shared" si="1"/>
        <v>0.16105779333481501</v>
      </c>
      <c r="F41" s="64">
        <f>'Country Tax Rates'!C41</f>
        <v>0.27179999999999999</v>
      </c>
      <c r="G41" s="64">
        <f>E41-'ERPs by country'!$E$3</f>
        <v>0.11865779333481502</v>
      </c>
      <c r="H41" s="82"/>
      <c r="I41" s="155" t="s">
        <v>137</v>
      </c>
      <c r="J41" s="105">
        <f>'ERPs by country'!C205/10000</f>
        <v>0.17499999999999999</v>
      </c>
      <c r="K41" s="94"/>
      <c r="N41" s="249" t="s">
        <v>106</v>
      </c>
      <c r="O41" s="82">
        <v>73.25</v>
      </c>
    </row>
    <row r="42" spans="1:15">
      <c r="A42" s="51" t="str">
        <f>'ERPs by country'!A48</f>
        <v>Curacao</v>
      </c>
      <c r="B42" s="148" t="e">
        <f t="shared" si="0"/>
        <v>#N/A</v>
      </c>
      <c r="C42" s="109">
        <f>'ERPs by country'!E48</f>
        <v>6.1224657438831556E-2</v>
      </c>
      <c r="D42" s="26">
        <f>'ERPs by country'!D48</f>
        <v>1.6196646770374669E-2</v>
      </c>
      <c r="E42" s="26">
        <f t="shared" si="1"/>
        <v>6.1224657438831556E-2</v>
      </c>
      <c r="F42" s="64">
        <f>'Country Tax Rates'!C42</f>
        <v>0.22</v>
      </c>
      <c r="G42" s="64">
        <f>E42-'ERPs by country'!$E$3</f>
        <v>1.8824657438831556E-2</v>
      </c>
      <c r="H42" s="82"/>
      <c r="N42" s="249" t="s">
        <v>284</v>
      </c>
      <c r="O42" s="82">
        <v>56.75</v>
      </c>
    </row>
    <row r="43" spans="1:15">
      <c r="A43" s="51" t="str">
        <f>'ERPs by country'!A49</f>
        <v>Cyprus</v>
      </c>
      <c r="B43" s="148">
        <f t="shared" si="0"/>
        <v>71.25</v>
      </c>
      <c r="C43" s="109">
        <f>'ERPs by country'!E49</f>
        <v>6.7112938912589293E-2</v>
      </c>
      <c r="D43" s="26">
        <f>'ERPs by country'!D49</f>
        <v>2.1262896471060586E-2</v>
      </c>
      <c r="E43" s="26">
        <f t="shared" si="1"/>
        <v>6.7112938912589293E-2</v>
      </c>
      <c r="F43" s="64">
        <f>'Country Tax Rates'!C43</f>
        <v>0.125</v>
      </c>
      <c r="G43" s="64">
        <f>E43-'ERPs by country'!$E$3</f>
        <v>2.4712938912589293E-2</v>
      </c>
      <c r="H43" s="82"/>
      <c r="N43" s="249" t="s">
        <v>179</v>
      </c>
      <c r="O43" s="82">
        <v>81.75</v>
      </c>
    </row>
    <row r="44" spans="1:15">
      <c r="A44" s="51" t="str">
        <f>'ERPs by country'!A50</f>
        <v>Czech Republic</v>
      </c>
      <c r="B44" s="148">
        <f t="shared" si="0"/>
        <v>77.75</v>
      </c>
      <c r="C44" s="109">
        <f>'ERPs by country'!E50</f>
        <v>4.8377497859723763E-2</v>
      </c>
      <c r="D44" s="26">
        <f>'ERPs by country'!D50</f>
        <v>5.1430110597872171E-3</v>
      </c>
      <c r="E44" s="26">
        <f t="shared" si="1"/>
        <v>4.8377497859723763E-2</v>
      </c>
      <c r="F44" s="64">
        <f>'Country Tax Rates'!C44</f>
        <v>0.19</v>
      </c>
      <c r="G44" s="64">
        <f>E44-'ERPs by country'!$E$3</f>
        <v>5.9774978597237627E-3</v>
      </c>
      <c r="H44" s="82"/>
      <c r="N44" s="249" t="s">
        <v>180</v>
      </c>
      <c r="O44" s="82">
        <v>74</v>
      </c>
    </row>
    <row r="45" spans="1:15">
      <c r="A45" s="51" t="str">
        <f>'ERPs by country'!A51</f>
        <v>Denmark</v>
      </c>
      <c r="B45" s="148">
        <f t="shared" si="0"/>
        <v>85.5</v>
      </c>
      <c r="C45" s="109">
        <f>'ERPs by country'!E51</f>
        <v>4.24E-2</v>
      </c>
      <c r="D45" s="26">
        <f>'ERPs by country'!D51</f>
        <v>0</v>
      </c>
      <c r="E45" s="26">
        <f t="shared" si="1"/>
        <v>4.24E-2</v>
      </c>
      <c r="F45" s="64">
        <f>'Country Tax Rates'!C45</f>
        <v>0.22</v>
      </c>
      <c r="G45" s="64">
        <f>E45-'ERPs by country'!$E$3</f>
        <v>0</v>
      </c>
      <c r="H45" s="82"/>
      <c r="N45" s="249" t="s">
        <v>220</v>
      </c>
      <c r="O45" s="82">
        <v>65.25</v>
      </c>
    </row>
    <row r="46" spans="1:15">
      <c r="A46" s="51" t="str">
        <f>'ERPs by country'!A52</f>
        <v>Dominican Republic</v>
      </c>
      <c r="B46" s="148">
        <f t="shared" si="0"/>
        <v>73</v>
      </c>
      <c r="C46" s="109">
        <f>'ERPs by country'!E52</f>
        <v>7.7997338000444505E-2</v>
      </c>
      <c r="D46" s="26">
        <f>'ERPs by country'!D52</f>
        <v>3.0627782281419401E-2</v>
      </c>
      <c r="E46" s="26">
        <f t="shared" si="1"/>
        <v>7.7997338000444505E-2</v>
      </c>
      <c r="F46" s="64">
        <f>'Country Tax Rates'!C46</f>
        <v>0.27</v>
      </c>
      <c r="G46" s="64">
        <f>E46-'ERPs by country'!$E$3</f>
        <v>3.5597338000444505E-2</v>
      </c>
      <c r="H46" s="82"/>
      <c r="N46" s="249" t="s">
        <v>334</v>
      </c>
      <c r="O46" s="82">
        <v>65.75</v>
      </c>
    </row>
    <row r="47" spans="1:15">
      <c r="A47" s="51" t="str">
        <f>'ERPs by country'!A53</f>
        <v>Ecuador</v>
      </c>
      <c r="B47" s="148">
        <f t="shared" si="0"/>
        <v>68.5</v>
      </c>
      <c r="C47" s="109">
        <f>'ERPs by country'!E53</f>
        <v>0.14125175565035719</v>
      </c>
      <c r="D47" s="26">
        <f>'ERPs by country'!D53</f>
        <v>8.5051585884242345E-2</v>
      </c>
      <c r="E47" s="26">
        <f t="shared" si="1"/>
        <v>0.14125175565035719</v>
      </c>
      <c r="F47" s="64">
        <f>'Country Tax Rates'!C47</f>
        <v>0.25</v>
      </c>
      <c r="G47" s="64">
        <f>E47-'ERPs by country'!$E$3</f>
        <v>9.8851755650357198E-2</v>
      </c>
      <c r="H47" s="82"/>
      <c r="N47" s="249" t="s">
        <v>181</v>
      </c>
      <c r="O47" s="82">
        <v>82.5</v>
      </c>
    </row>
    <row r="48" spans="1:15">
      <c r="A48" s="51" t="str">
        <f>'ERPs by country'!A54</f>
        <v>Egypt</v>
      </c>
      <c r="B48" s="148">
        <f t="shared" si="0"/>
        <v>64.5</v>
      </c>
      <c r="C48" s="109">
        <f>'ERPs by country'!E54</f>
        <v>9.6821995439276054E-2</v>
      </c>
      <c r="D48" s="26">
        <f>'ERPs by country'!D54</f>
        <v>4.6824429051794063E-2</v>
      </c>
      <c r="E48" s="26">
        <f t="shared" si="1"/>
        <v>9.6821995439276054E-2</v>
      </c>
      <c r="F48" s="64">
        <f>'Country Tax Rates'!C48</f>
        <v>0.22500000000000001</v>
      </c>
      <c r="G48" s="64">
        <f>E48-'ERPs by country'!$E$3</f>
        <v>5.4421995439276054E-2</v>
      </c>
      <c r="H48" s="82"/>
      <c r="N48" s="249" t="s">
        <v>221</v>
      </c>
      <c r="O48" s="82">
        <v>67</v>
      </c>
    </row>
    <row r="49" spans="1:15">
      <c r="A49" s="51" t="str">
        <f>'ERPs by country'!A55</f>
        <v>El Salvador</v>
      </c>
      <c r="B49" s="148">
        <f t="shared" si="0"/>
        <v>68.25</v>
      </c>
      <c r="C49" s="109">
        <f>'ERPs by country'!E55</f>
        <v>0.11653881673776789</v>
      </c>
      <c r="D49" s="26">
        <f>'ERPs by country'!D55</f>
        <v>6.3788689413181762E-2</v>
      </c>
      <c r="E49" s="26">
        <f t="shared" si="1"/>
        <v>0.11653881673776789</v>
      </c>
      <c r="F49" s="64">
        <f>'Country Tax Rates'!C49</f>
        <v>0.3</v>
      </c>
      <c r="G49" s="64">
        <f>E49-'ERPs by country'!$E$3</f>
        <v>7.4138816737767899E-2</v>
      </c>
      <c r="H49" s="82"/>
      <c r="N49" s="249" t="s">
        <v>182</v>
      </c>
      <c r="O49" s="82">
        <v>69.25</v>
      </c>
    </row>
    <row r="50" spans="1:15">
      <c r="A50" s="51" t="str">
        <f>'ERPs by country'!A56</f>
        <v>Estonia</v>
      </c>
      <c r="B50" s="148">
        <f t="shared" si="0"/>
        <v>73.25</v>
      </c>
      <c r="C50" s="109">
        <f>'ERPs by country'!E56</f>
        <v>4.9358878105350057E-2</v>
      </c>
      <c r="D50" s="26">
        <f>'ERPs by country'!D56</f>
        <v>5.987386009901537E-3</v>
      </c>
      <c r="E50" s="26">
        <f t="shared" si="1"/>
        <v>4.9358878105350057E-2</v>
      </c>
      <c r="F50" s="64">
        <f>'Country Tax Rates'!C50</f>
        <v>0.2</v>
      </c>
      <c r="G50" s="64">
        <f>E50-'ERPs by country'!$E$3</f>
        <v>6.9588781053500567E-3</v>
      </c>
      <c r="H50" s="82"/>
      <c r="N50" s="249" t="s">
        <v>107</v>
      </c>
      <c r="O50" s="82">
        <v>71.5</v>
      </c>
    </row>
    <row r="51" spans="1:15">
      <c r="A51" s="51" t="str">
        <f>'ERPs by country'!A57</f>
        <v>Ethiopia</v>
      </c>
      <c r="B51" s="148">
        <f t="shared" si="0"/>
        <v>56.75</v>
      </c>
      <c r="C51" s="109">
        <f>'ERPs by country'!E57</f>
        <v>0.13143795319409429</v>
      </c>
      <c r="D51" s="26">
        <f>'ERPs by country'!D57</f>
        <v>7.6607836383099148E-2</v>
      </c>
      <c r="E51" s="26">
        <f t="shared" si="1"/>
        <v>0.13143795319409429</v>
      </c>
      <c r="F51" s="64">
        <f>'Country Tax Rates'!C51</f>
        <v>0.3</v>
      </c>
      <c r="G51" s="64">
        <f>E51-'ERPs by country'!$E$3</f>
        <v>8.9037953194094299E-2</v>
      </c>
      <c r="H51" s="82"/>
      <c r="N51" s="249" t="s">
        <v>317</v>
      </c>
      <c r="O51" s="82">
        <v>57.5</v>
      </c>
    </row>
    <row r="52" spans="1:15">
      <c r="A52" s="51" t="str">
        <f>'ERPs by country'!A58</f>
        <v>Fiji</v>
      </c>
      <c r="B52" s="148" t="e">
        <f t="shared" si="0"/>
        <v>#N/A</v>
      </c>
      <c r="C52" s="109">
        <f>'ERPs by country'!E58</f>
        <v>8.6918976597047143E-2</v>
      </c>
      <c r="D52" s="26">
        <f>'ERPs by country'!D58</f>
        <v>3.8303918191549574E-2</v>
      </c>
      <c r="E52" s="26">
        <f t="shared" si="1"/>
        <v>8.6918976597047143E-2</v>
      </c>
      <c r="F52" s="64">
        <f>'Country Tax Rates'!C52</f>
        <v>0.2</v>
      </c>
      <c r="G52" s="64">
        <f>E52-'ERPs by country'!$E$3</f>
        <v>4.4518976597047143E-2</v>
      </c>
      <c r="H52" s="82"/>
      <c r="N52" s="249" t="s">
        <v>333</v>
      </c>
      <c r="O52" s="82">
        <v>62.75</v>
      </c>
    </row>
    <row r="53" spans="1:15">
      <c r="A53" s="51" t="str">
        <f>'ERPs by country'!A59</f>
        <v>Finland</v>
      </c>
      <c r="B53" s="148">
        <f t="shared" si="0"/>
        <v>81.75</v>
      </c>
      <c r="C53" s="109">
        <f>'ERPs by country'!E59</f>
        <v>4.6325520982505156E-2</v>
      </c>
      <c r="D53" s="26">
        <f>'ERPs by country'!D59</f>
        <v>3.3774998004572764E-3</v>
      </c>
      <c r="E53" s="26">
        <f t="shared" si="1"/>
        <v>4.6325520982505156E-2</v>
      </c>
      <c r="F53" s="64">
        <f>'Country Tax Rates'!C53</f>
        <v>0.2</v>
      </c>
      <c r="G53" s="64">
        <f>E53-'ERPs by country'!$E$3</f>
        <v>3.9255209825051554E-3</v>
      </c>
      <c r="H53" s="82"/>
      <c r="N53" s="249" t="s">
        <v>330</v>
      </c>
      <c r="O53" s="82">
        <v>66.25</v>
      </c>
    </row>
    <row r="54" spans="1:15">
      <c r="A54" s="51" t="str">
        <f>'ERPs by country'!A60</f>
        <v>France</v>
      </c>
      <c r="B54" s="148">
        <f t="shared" si="0"/>
        <v>74</v>
      </c>
      <c r="C54" s="109">
        <f>'ERPs by country'!E60</f>
        <v>4.730690122813145E-2</v>
      </c>
      <c r="D54" s="26">
        <f>'ERPs by country'!D60</f>
        <v>4.2218747505715949E-3</v>
      </c>
      <c r="E54" s="26">
        <f t="shared" si="1"/>
        <v>4.730690122813145E-2</v>
      </c>
      <c r="F54" s="64">
        <f>'Country Tax Rates'!C54</f>
        <v>0.26500000000000001</v>
      </c>
      <c r="G54" s="64">
        <f>E54-'ERPs by country'!$E$3</f>
        <v>4.9069012281314495E-3</v>
      </c>
      <c r="H54" s="82"/>
      <c r="N54" s="249" t="s">
        <v>326</v>
      </c>
      <c r="O54" s="82">
        <v>56.25</v>
      </c>
    </row>
    <row r="55" spans="1:15">
      <c r="A55" s="51" t="str">
        <f>'ERPs by country'!A61</f>
        <v>Gabon</v>
      </c>
      <c r="B55" s="148">
        <f t="shared" si="0"/>
        <v>65.25</v>
      </c>
      <c r="C55" s="109">
        <f>'ERPs by country'!E61</f>
        <v>0.11653881673776789</v>
      </c>
      <c r="D55" s="26">
        <f>'ERPs by country'!D61</f>
        <v>6.3788689413181762E-2</v>
      </c>
      <c r="E55" s="26">
        <f t="shared" si="1"/>
        <v>0.11653881673776789</v>
      </c>
      <c r="F55" s="64">
        <f>'Country Tax Rates'!C55</f>
        <v>0.3</v>
      </c>
      <c r="G55" s="64">
        <f>E55-'ERPs by country'!$E$3</f>
        <v>7.4138816737767899E-2</v>
      </c>
      <c r="H55" s="82"/>
      <c r="N55" s="249" t="s">
        <v>108</v>
      </c>
      <c r="O55" s="82">
        <v>68</v>
      </c>
    </row>
    <row r="56" spans="1:15">
      <c r="A56" s="51" t="str">
        <f>'ERPs by country'!A62</f>
        <v>Georgia</v>
      </c>
      <c r="B56" s="148" t="e">
        <f t="shared" si="0"/>
        <v>#N/A</v>
      </c>
      <c r="C56" s="109">
        <f>'ERPs by country'!E62</f>
        <v>7.2109056526686768E-2</v>
      </c>
      <c r="D56" s="26">
        <f>'ERPs by country'!D62</f>
        <v>2.5561532580733477E-2</v>
      </c>
      <c r="E56" s="26">
        <f t="shared" si="1"/>
        <v>7.2109056526686768E-2</v>
      </c>
      <c r="F56" s="64">
        <f>'Country Tax Rates'!C56</f>
        <v>0.15</v>
      </c>
      <c r="G56" s="64">
        <f>E56-'ERPs by country'!$E$3</f>
        <v>2.9709056526686768E-2</v>
      </c>
      <c r="H56" s="82"/>
      <c r="N56" s="249" t="s">
        <v>59</v>
      </c>
      <c r="O56" s="82">
        <v>76.75</v>
      </c>
    </row>
    <row r="57" spans="1:15">
      <c r="A57" s="51" t="str">
        <f>'ERPs by country'!A63</f>
        <v>Germany</v>
      </c>
      <c r="B57" s="148">
        <f t="shared" si="0"/>
        <v>82.5</v>
      </c>
      <c r="C57" s="109">
        <f>'ERPs by country'!E63</f>
        <v>4.24E-2</v>
      </c>
      <c r="D57" s="26">
        <f>'ERPs by country'!D63</f>
        <v>0</v>
      </c>
      <c r="E57" s="26">
        <f t="shared" si="1"/>
        <v>4.24E-2</v>
      </c>
      <c r="F57" s="64">
        <f>'Country Tax Rates'!C57</f>
        <v>0.3</v>
      </c>
      <c r="G57" s="64">
        <f>E57-'ERPs by country'!$E$3</f>
        <v>0</v>
      </c>
      <c r="H57" s="82"/>
      <c r="N57" s="249" t="s">
        <v>109</v>
      </c>
      <c r="O57" s="82">
        <v>74</v>
      </c>
    </row>
    <row r="58" spans="1:15">
      <c r="A58" s="51" t="str">
        <f>'ERPs by country'!A64</f>
        <v>Ghana</v>
      </c>
      <c r="B58" s="148">
        <f t="shared" si="0"/>
        <v>67</v>
      </c>
      <c r="C58" s="109">
        <f>'ERPs by country'!E64</f>
        <v>0.10672501428150497</v>
      </c>
      <c r="D58" s="26">
        <f>'ERPs by country'!D64</f>
        <v>5.5344939912038545E-2</v>
      </c>
      <c r="E58" s="26">
        <f t="shared" si="1"/>
        <v>0.10672501428150497</v>
      </c>
      <c r="F58" s="64">
        <f>'Country Tax Rates'!C58</f>
        <v>0.25</v>
      </c>
      <c r="G58" s="64">
        <f>E58-'ERPs by country'!$E$3</f>
        <v>6.4325014281504972E-2</v>
      </c>
      <c r="H58" s="82"/>
      <c r="N58" s="249" t="s">
        <v>110</v>
      </c>
      <c r="O58" s="82">
        <v>81</v>
      </c>
    </row>
    <row r="59" spans="1:15">
      <c r="A59" s="51" t="str">
        <f>'ERPs by country'!A65</f>
        <v>Greece</v>
      </c>
      <c r="B59" s="148">
        <f t="shared" si="0"/>
        <v>69.25</v>
      </c>
      <c r="C59" s="109">
        <f>'ERPs by country'!E65</f>
        <v>7.7997338000444505E-2</v>
      </c>
      <c r="D59" s="26">
        <f>'ERPs by country'!D65</f>
        <v>3.0627782281419401E-2</v>
      </c>
      <c r="E59" s="26">
        <f t="shared" si="1"/>
        <v>7.7997338000444505E-2</v>
      </c>
      <c r="F59" s="64">
        <f>'Country Tax Rates'!C59</f>
        <v>0.24</v>
      </c>
      <c r="G59" s="64">
        <f>E59-'ERPs by country'!$E$3</f>
        <v>3.5597338000444505E-2</v>
      </c>
      <c r="H59" s="82"/>
      <c r="N59" s="249" t="s">
        <v>111</v>
      </c>
      <c r="O59" s="82">
        <v>72.5</v>
      </c>
    </row>
    <row r="60" spans="1:15">
      <c r="A60" s="51" t="str">
        <f>'ERPs by country'!A66</f>
        <v>Guatemala</v>
      </c>
      <c r="B60" s="148">
        <f t="shared" si="0"/>
        <v>71.5</v>
      </c>
      <c r="C60" s="109">
        <f>'ERPs by country'!E66</f>
        <v>6.7112938912589293E-2</v>
      </c>
      <c r="D60" s="26">
        <f>'ERPs by country'!D66</f>
        <v>2.1262896471060586E-2</v>
      </c>
      <c r="E60" s="26">
        <f t="shared" si="1"/>
        <v>6.7112938912589293E-2</v>
      </c>
      <c r="F60" s="64">
        <f>'Country Tax Rates'!C60</f>
        <v>0.25</v>
      </c>
      <c r="G60" s="64">
        <f>E60-'ERPs by country'!$E$3</f>
        <v>2.4712938912589293E-2</v>
      </c>
      <c r="H60" s="82"/>
      <c r="N60" s="249" t="s">
        <v>112</v>
      </c>
      <c r="O60" s="82">
        <v>69.25</v>
      </c>
    </row>
    <row r="61" spans="1:15">
      <c r="A61" s="51" t="str">
        <f>'ERPs by country'!A67</f>
        <v>Guernsey (States of)</v>
      </c>
      <c r="B61" s="148" t="e">
        <f t="shared" si="0"/>
        <v>#N/A</v>
      </c>
      <c r="C61" s="109">
        <f>'ERPs by country'!E67</f>
        <v>4.8377497859723763E-2</v>
      </c>
      <c r="D61" s="26">
        <f>'ERPs by country'!D67</f>
        <v>5.1430110597872171E-3</v>
      </c>
      <c r="E61" s="26">
        <f t="shared" si="1"/>
        <v>4.8377497859723763E-2</v>
      </c>
      <c r="F61" s="64">
        <f>'Country Tax Rates'!C61</f>
        <v>0</v>
      </c>
      <c r="G61" s="64">
        <f>E61-'ERPs by country'!$E$3</f>
        <v>5.9774978597237627E-3</v>
      </c>
      <c r="H61" s="82"/>
      <c r="N61" s="249" t="s">
        <v>328</v>
      </c>
      <c r="O61" s="82">
        <v>63.75</v>
      </c>
    </row>
    <row r="62" spans="1:15">
      <c r="A62" s="51" t="str">
        <f>'ERPs by country'!A68</f>
        <v>Honduras</v>
      </c>
      <c r="B62" s="148">
        <f t="shared" si="0"/>
        <v>68</v>
      </c>
      <c r="C62" s="109">
        <f>'ERPs by country'!E68</f>
        <v>8.6918976597047143E-2</v>
      </c>
      <c r="D62" s="26">
        <f>'ERPs by country'!D68</f>
        <v>3.8303918191549574E-2</v>
      </c>
      <c r="E62" s="26">
        <f t="shared" si="1"/>
        <v>8.6918976597047143E-2</v>
      </c>
      <c r="F62" s="64">
        <f>'Country Tax Rates'!C62</f>
        <v>0.25</v>
      </c>
      <c r="G62" s="64">
        <f>E62-'ERPs by country'!$E$3</f>
        <v>4.4518976597047143E-2</v>
      </c>
      <c r="H62" s="82"/>
      <c r="N62" s="249" t="s">
        <v>331</v>
      </c>
      <c r="O62" s="82">
        <v>65.25</v>
      </c>
    </row>
    <row r="63" spans="1:15">
      <c r="A63" s="51" t="str">
        <f>'ERPs by country'!A69</f>
        <v>Hong Kong</v>
      </c>
      <c r="B63" s="148">
        <f t="shared" si="0"/>
        <v>76.75</v>
      </c>
      <c r="C63" s="109">
        <f>'ERPs by country'!E69</f>
        <v>4.8377497859723763E-2</v>
      </c>
      <c r="D63" s="26">
        <f>'ERPs by country'!D69</f>
        <v>5.1430110597872171E-3</v>
      </c>
      <c r="E63" s="26">
        <f t="shared" si="1"/>
        <v>4.8377497859723763E-2</v>
      </c>
      <c r="F63" s="64">
        <f>'Country Tax Rates'!C63</f>
        <v>0.16500000000000001</v>
      </c>
      <c r="G63" s="64">
        <f>E63-'ERPs by country'!$E$3</f>
        <v>5.9774978597237627E-3</v>
      </c>
      <c r="H63" s="82"/>
      <c r="N63" s="249" t="s">
        <v>183</v>
      </c>
      <c r="O63" s="82">
        <v>82.25</v>
      </c>
    </row>
    <row r="64" spans="1:15">
      <c r="A64" s="51" t="str">
        <f>'ERPs by country'!A70</f>
        <v>Hungary</v>
      </c>
      <c r="B64" s="148">
        <f t="shared" si="0"/>
        <v>74</v>
      </c>
      <c r="C64" s="109">
        <f>'ERPs by country'!E70</f>
        <v>6.1224657438831556E-2</v>
      </c>
      <c r="D64" s="26">
        <f>'ERPs by country'!D70</f>
        <v>1.6196646770374669E-2</v>
      </c>
      <c r="E64" s="26">
        <f t="shared" si="1"/>
        <v>6.1224657438831556E-2</v>
      </c>
      <c r="F64" s="64">
        <f>'Country Tax Rates'!C64</f>
        <v>0.09</v>
      </c>
      <c r="G64" s="64">
        <f>E64-'ERPs by country'!$E$3</f>
        <v>1.8824657438831556E-2</v>
      </c>
      <c r="H64" s="82"/>
      <c r="N64" s="249" t="s">
        <v>114</v>
      </c>
      <c r="O64" s="82">
        <v>75.75</v>
      </c>
    </row>
    <row r="65" spans="1:15">
      <c r="A65" s="51" t="str">
        <f>'ERPs by country'!A71</f>
        <v>Iceland</v>
      </c>
      <c r="B65" s="148">
        <f t="shared" si="0"/>
        <v>81</v>
      </c>
      <c r="C65" s="109">
        <f>'ERPs by country'!E71</f>
        <v>5.0786340280806475E-2</v>
      </c>
      <c r="D65" s="26">
        <f>'ERPs by country'!D71</f>
        <v>7.2155677555223634E-3</v>
      </c>
      <c r="E65" s="26">
        <f t="shared" si="1"/>
        <v>5.0786340280806475E-2</v>
      </c>
      <c r="F65" s="64">
        <f>'Country Tax Rates'!C65</f>
        <v>0.2</v>
      </c>
      <c r="G65" s="64">
        <f>E65-'ERPs by country'!$E$3</f>
        <v>8.3863402808064744E-3</v>
      </c>
      <c r="H65" s="82"/>
      <c r="N65" s="249" t="s">
        <v>145</v>
      </c>
      <c r="O65" s="82">
        <v>76.5</v>
      </c>
    </row>
    <row r="66" spans="1:15">
      <c r="A66" s="51" t="str">
        <f>'ERPs by country'!A72</f>
        <v>India</v>
      </c>
      <c r="B66" s="148">
        <f t="shared" si="0"/>
        <v>72.5</v>
      </c>
      <c r="C66" s="109">
        <f>'ERPs by country'!E72</f>
        <v>6.4168798175710431E-2</v>
      </c>
      <c r="D66" s="26">
        <f>'ERPs by country'!D72</f>
        <v>1.8729771620717626E-2</v>
      </c>
      <c r="E66" s="26">
        <f t="shared" si="1"/>
        <v>6.4168798175710431E-2</v>
      </c>
      <c r="F66" s="64">
        <f>'Country Tax Rates'!C66</f>
        <v>0.3</v>
      </c>
      <c r="G66" s="64">
        <f>E66-'ERPs by country'!$E$3</f>
        <v>2.1768798175710431E-2</v>
      </c>
      <c r="H66" s="82"/>
      <c r="N66" s="249" t="s">
        <v>115</v>
      </c>
      <c r="O66" s="82">
        <v>73.75</v>
      </c>
    </row>
    <row r="67" spans="1:15">
      <c r="A67" s="51" t="str">
        <f>'ERPs by country'!A73</f>
        <v>Indonesia</v>
      </c>
      <c r="B67" s="148">
        <f t="shared" ref="B67:B130" si="2">VLOOKUP(A67,$N$4:$O$144,2,FALSE)</f>
        <v>69.25</v>
      </c>
      <c r="C67" s="109">
        <f>'ERPs by country'!E73</f>
        <v>6.1224657438831556E-2</v>
      </c>
      <c r="D67" s="26">
        <f>'ERPs by country'!D73</f>
        <v>1.6196646770374669E-2</v>
      </c>
      <c r="E67" s="26">
        <f t="shared" ref="E67:E131" si="3">C67</f>
        <v>6.1224657438831556E-2</v>
      </c>
      <c r="F67" s="64">
        <f>'Country Tax Rates'!C67</f>
        <v>0.35</v>
      </c>
      <c r="G67" s="64">
        <f>E67-'ERPs by country'!$E$3</f>
        <v>1.8824657438831556E-2</v>
      </c>
      <c r="H67" s="82"/>
      <c r="N67" s="249" t="s">
        <v>116</v>
      </c>
      <c r="O67" s="82">
        <v>80.25</v>
      </c>
    </row>
    <row r="68" spans="1:15">
      <c r="A68" s="51" t="str">
        <f>'ERPs by country'!A74</f>
        <v>Iraq</v>
      </c>
      <c r="B68" s="148">
        <f t="shared" si="2"/>
        <v>65.25</v>
      </c>
      <c r="C68" s="109">
        <f>'ERPs by country'!E74</f>
        <v>0.11653881673776789</v>
      </c>
      <c r="D68" s="26">
        <f>'ERPs by country'!D74</f>
        <v>6.3788689413181762E-2</v>
      </c>
      <c r="E68" s="26">
        <f t="shared" si="3"/>
        <v>0.11653881673776789</v>
      </c>
      <c r="F68" s="64">
        <f>'Country Tax Rates'!C68</f>
        <v>0.35</v>
      </c>
      <c r="G68" s="64">
        <f>E68-'ERPs by country'!$E$3</f>
        <v>7.4138816737767899E-2</v>
      </c>
      <c r="H68" s="82"/>
      <c r="N68" s="249" t="s">
        <v>117</v>
      </c>
      <c r="O68" s="82">
        <v>64.75</v>
      </c>
    </row>
    <row r="69" spans="1:15">
      <c r="A69" s="51" t="str">
        <f>'ERPs by country'!A75</f>
        <v>Ireland</v>
      </c>
      <c r="B69" s="148">
        <f t="shared" si="2"/>
        <v>82.25</v>
      </c>
      <c r="C69" s="109">
        <f>'ERPs by country'!E75</f>
        <v>5.0786340280806475E-2</v>
      </c>
      <c r="D69" s="26">
        <f>'ERPs by country'!D75</f>
        <v>7.2155677555223634E-3</v>
      </c>
      <c r="E69" s="26">
        <f t="shared" si="3"/>
        <v>5.0786340280806475E-2</v>
      </c>
      <c r="F69" s="64">
        <f>'Country Tax Rates'!C69</f>
        <v>0.125</v>
      </c>
      <c r="G69" s="64">
        <f>E69-'ERPs by country'!$E$3</f>
        <v>8.3863402808064744E-3</v>
      </c>
      <c r="H69" s="82"/>
      <c r="N69" s="249" t="s">
        <v>118</v>
      </c>
      <c r="O69" s="82">
        <v>72.75</v>
      </c>
    </row>
    <row r="70" spans="1:15">
      <c r="A70" s="51" t="str">
        <f>'ERPs by country'!A76</f>
        <v>Isle of Man</v>
      </c>
      <c r="B70" s="148" t="e">
        <f t="shared" si="2"/>
        <v>#N/A</v>
      </c>
      <c r="C70" s="109">
        <f>'ERPs by country'!E76</f>
        <v>4.8377497859723763E-2</v>
      </c>
      <c r="D70" s="26">
        <f>'ERPs by country'!D76</f>
        <v>5.1430110597872171E-3</v>
      </c>
      <c r="E70" s="26">
        <f t="shared" si="3"/>
        <v>4.8377497859723763E-2</v>
      </c>
      <c r="F70" s="64">
        <f>'Country Tax Rates'!C70</f>
        <v>0</v>
      </c>
      <c r="G70" s="64">
        <f>E70-'ERPs by country'!$E$3</f>
        <v>5.9774978597237627E-3</v>
      </c>
      <c r="H70" s="82"/>
      <c r="N70" s="249" t="s">
        <v>184</v>
      </c>
      <c r="O70" s="82">
        <v>63</v>
      </c>
    </row>
    <row r="71" spans="1:15">
      <c r="A71" s="51" t="str">
        <f>'ERPs by country'!A77</f>
        <v>Israel</v>
      </c>
      <c r="B71" s="148">
        <f t="shared" si="2"/>
        <v>75.75</v>
      </c>
      <c r="C71" s="109">
        <f>'ERPs by country'!E77</f>
        <v>4.9358878105350057E-2</v>
      </c>
      <c r="D71" s="26">
        <f>'ERPs by country'!D77</f>
        <v>5.987386009901537E-3</v>
      </c>
      <c r="E71" s="26">
        <f t="shared" si="3"/>
        <v>4.9358878105350057E-2</v>
      </c>
      <c r="F71" s="64">
        <f>'Country Tax Rates'!C71</f>
        <v>0.23</v>
      </c>
      <c r="G71" s="64">
        <f>E71-'ERPs by country'!$E$3</f>
        <v>6.9588781053500567E-3</v>
      </c>
      <c r="H71" s="82"/>
      <c r="N71" s="249" t="s">
        <v>385</v>
      </c>
      <c r="O71" s="82">
        <v>51.5</v>
      </c>
    </row>
    <row r="72" spans="1:15">
      <c r="A72" s="51" t="str">
        <f>'ERPs by country'!A78</f>
        <v>Italy</v>
      </c>
      <c r="B72" s="148">
        <f t="shared" si="2"/>
        <v>76.5</v>
      </c>
      <c r="C72" s="109">
        <f>'ERPs by country'!E78</f>
        <v>6.4168798175710431E-2</v>
      </c>
      <c r="D72" s="26">
        <f>'ERPs by country'!D78</f>
        <v>1.8729771620717626E-2</v>
      </c>
      <c r="E72" s="26">
        <f t="shared" si="3"/>
        <v>6.4168798175710431E-2</v>
      </c>
      <c r="F72" s="64">
        <f>'Country Tax Rates'!C72</f>
        <v>0.24</v>
      </c>
      <c r="G72" s="64">
        <f>E72-'ERPs by country'!$E$3</f>
        <v>2.1768798175710431E-2</v>
      </c>
      <c r="H72" s="82"/>
      <c r="N72" s="249" t="s">
        <v>495</v>
      </c>
      <c r="O72" s="82">
        <v>80.75</v>
      </c>
    </row>
    <row r="73" spans="1:15">
      <c r="A73" s="51" t="str">
        <f>'ERPs by country'!A79</f>
        <v>Jamaica</v>
      </c>
      <c r="B73" s="148">
        <f t="shared" si="2"/>
        <v>73.75</v>
      </c>
      <c r="C73" s="109">
        <f>'ERPs by country'!E79</f>
        <v>9.6821995439276054E-2</v>
      </c>
      <c r="D73" s="26">
        <f>'ERPs by country'!D79</f>
        <v>4.6824429051794063E-2</v>
      </c>
      <c r="E73" s="26">
        <f t="shared" si="3"/>
        <v>9.6821995439276054E-2</v>
      </c>
      <c r="F73" s="64">
        <f>'Country Tax Rates'!C73</f>
        <v>0.25</v>
      </c>
      <c r="G73" s="64">
        <f>E73-'ERPs by country'!$E$3</f>
        <v>5.4421995439276054E-2</v>
      </c>
      <c r="H73" s="82"/>
      <c r="N73" s="249" t="s">
        <v>120</v>
      </c>
      <c r="O73" s="82">
        <v>72.75</v>
      </c>
    </row>
    <row r="74" spans="1:15">
      <c r="A74" s="51" t="str">
        <f>'ERPs by country'!A80</f>
        <v>Japan</v>
      </c>
      <c r="B74" s="148">
        <f t="shared" si="2"/>
        <v>80.25</v>
      </c>
      <c r="C74" s="109">
        <f>'ERPs by country'!E80</f>
        <v>4.9358878105350057E-2</v>
      </c>
      <c r="D74" s="26">
        <f>'ERPs by country'!D80</f>
        <v>5.987386009901537E-3</v>
      </c>
      <c r="E74" s="26">
        <f t="shared" si="3"/>
        <v>4.9358878105350057E-2</v>
      </c>
      <c r="F74" s="64">
        <f>'Country Tax Rates'!C74</f>
        <v>0.30620000000000003</v>
      </c>
      <c r="G74" s="64">
        <f>E74-'ERPs by country'!$E$3</f>
        <v>6.9588781053500567E-3</v>
      </c>
      <c r="H74" s="82"/>
      <c r="N74" s="249" t="s">
        <v>121</v>
      </c>
      <c r="O74" s="82">
        <v>73.5</v>
      </c>
    </row>
    <row r="75" spans="1:15">
      <c r="A75" s="51" t="str">
        <f>'ERPs by country'!A81</f>
        <v>Jersey (States of)</v>
      </c>
      <c r="B75" s="148" t="e">
        <f t="shared" si="2"/>
        <v>#N/A</v>
      </c>
      <c r="C75" s="109">
        <f>'ERPs by country'!E81</f>
        <v>4.24E-2</v>
      </c>
      <c r="D75" s="26">
        <f>'ERPs by country'!D81</f>
        <v>0</v>
      </c>
      <c r="E75" s="26">
        <f t="shared" si="3"/>
        <v>4.24E-2</v>
      </c>
      <c r="F75" s="64">
        <f>'Country Tax Rates'!C75</f>
        <v>0</v>
      </c>
      <c r="G75" s="64">
        <f>E75-'ERPs by country'!$E$3</f>
        <v>0</v>
      </c>
      <c r="H75" s="82"/>
      <c r="N75" s="249" t="s">
        <v>122</v>
      </c>
      <c r="O75" s="82">
        <v>51.5</v>
      </c>
    </row>
    <row r="76" spans="1:15">
      <c r="A76" s="51" t="str">
        <f>'ERPs by country'!A82</f>
        <v>Jordan</v>
      </c>
      <c r="B76" s="148">
        <f t="shared" si="2"/>
        <v>64.75</v>
      </c>
      <c r="C76" s="109">
        <f>'ERPs by country'!E82</f>
        <v>8.6918976597047143E-2</v>
      </c>
      <c r="D76" s="26">
        <f>'ERPs by country'!D82</f>
        <v>3.8303918191549574E-2</v>
      </c>
      <c r="E76" s="26">
        <f t="shared" si="3"/>
        <v>8.6918976597047143E-2</v>
      </c>
      <c r="F76" s="64">
        <f>'Country Tax Rates'!C76</f>
        <v>0.2</v>
      </c>
      <c r="G76" s="64">
        <f>E76-'ERPs by country'!$E$3</f>
        <v>4.4518976597047143E-2</v>
      </c>
      <c r="H76" s="82"/>
      <c r="N76" s="249" t="s">
        <v>318</v>
      </c>
      <c r="O76" s="82">
        <v>59</v>
      </c>
    </row>
    <row r="77" spans="1:15">
      <c r="A77" s="51" t="str">
        <f>'ERPs by country'!A83</f>
        <v>Kazakhstan</v>
      </c>
      <c r="B77" s="148">
        <f t="shared" si="2"/>
        <v>72.75</v>
      </c>
      <c r="C77" s="109">
        <f>'ERPs by country'!E83</f>
        <v>6.1224657438831556E-2</v>
      </c>
      <c r="D77" s="26">
        <f>'ERPs by country'!D83</f>
        <v>1.6196646770374669E-2</v>
      </c>
      <c r="E77" s="26">
        <f t="shared" si="3"/>
        <v>6.1224657438831556E-2</v>
      </c>
      <c r="F77" s="64">
        <f>'Country Tax Rates'!C77</f>
        <v>0.2</v>
      </c>
      <c r="G77" s="64">
        <f>E77-'ERPs by country'!$E$3</f>
        <v>1.8824657438831556E-2</v>
      </c>
      <c r="H77" s="82"/>
      <c r="N77" s="249" t="s">
        <v>322</v>
      </c>
      <c r="O77" s="82">
        <v>66.25</v>
      </c>
    </row>
    <row r="78" spans="1:15">
      <c r="A78" s="51" t="str">
        <f>'ERPs by country'!A84</f>
        <v>Kenya</v>
      </c>
      <c r="B78" s="148">
        <f t="shared" si="2"/>
        <v>63</v>
      </c>
      <c r="C78" s="109">
        <f>'ERPs by country'!E84</f>
        <v>9.6821995439276054E-2</v>
      </c>
      <c r="D78" s="26">
        <f>'ERPs by country'!D84</f>
        <v>4.6824429051794063E-2</v>
      </c>
      <c r="E78" s="26">
        <f t="shared" si="3"/>
        <v>9.6821995439276054E-2</v>
      </c>
      <c r="F78" s="64">
        <f>'Country Tax Rates'!C78</f>
        <v>0.3</v>
      </c>
      <c r="G78" s="64">
        <f>E78-'ERPs by country'!$E$3</f>
        <v>5.4421995439276054E-2</v>
      </c>
      <c r="H78" s="82"/>
      <c r="N78" s="249" t="s">
        <v>13</v>
      </c>
      <c r="O78" s="82">
        <v>74.5</v>
      </c>
    </row>
    <row r="79" spans="1:15">
      <c r="A79" s="51" t="str">
        <f>'ERPs by country'!A85</f>
        <v>Korea</v>
      </c>
      <c r="B79" s="148" t="e">
        <f t="shared" si="2"/>
        <v>#N/A</v>
      </c>
      <c r="C79" s="109">
        <f>'ERPs by country'!E85</f>
        <v>4.730690122813145E-2</v>
      </c>
      <c r="D79" s="26">
        <f>'ERPs by country'!D85</f>
        <v>4.2218747505715949E-3</v>
      </c>
      <c r="E79" s="26">
        <f t="shared" si="3"/>
        <v>4.730690122813145E-2</v>
      </c>
      <c r="F79" s="64">
        <f>'Country Tax Rates'!C79</f>
        <v>0.25</v>
      </c>
      <c r="G79" s="64">
        <f>E79-'ERPs by country'!$E$3</f>
        <v>4.9069012281314495E-3</v>
      </c>
      <c r="H79" s="82"/>
      <c r="N79" s="249" t="s">
        <v>185</v>
      </c>
      <c r="O79" s="82">
        <v>86.25</v>
      </c>
    </row>
    <row r="80" spans="1:15">
      <c r="A80" s="51" t="str">
        <f>'ERPs by country'!A86</f>
        <v>Kuwait</v>
      </c>
      <c r="B80" s="148">
        <f t="shared" si="2"/>
        <v>72.75</v>
      </c>
      <c r="C80" s="109">
        <f>'ERPs by country'!E86</f>
        <v>4.9358878105350057E-2</v>
      </c>
      <c r="D80" s="26">
        <f>'ERPs by country'!D86</f>
        <v>5.987386009901537E-3</v>
      </c>
      <c r="E80" s="26">
        <f t="shared" si="3"/>
        <v>4.9358878105350057E-2</v>
      </c>
      <c r="F80" s="64">
        <f>'Country Tax Rates'!C80</f>
        <v>0.15</v>
      </c>
      <c r="G80" s="64">
        <f>E80-'ERPs by country'!$E$3</f>
        <v>6.9588781053500567E-3</v>
      </c>
      <c r="H80" s="82"/>
      <c r="N80" s="249" t="s">
        <v>336</v>
      </c>
      <c r="O80" s="82">
        <v>63.5</v>
      </c>
    </row>
    <row r="81" spans="1:15">
      <c r="A81" s="51" t="str">
        <f>'ERPs by country'!A87</f>
        <v>Kyrgyzstan</v>
      </c>
      <c r="B81" s="148" t="e">
        <f t="shared" si="2"/>
        <v>#N/A</v>
      </c>
      <c r="C81" s="109">
        <f>'ERPs by country'!E87</f>
        <v>9.6821995439276054E-2</v>
      </c>
      <c r="D81" s="26">
        <f>'ERPs by country'!D87</f>
        <v>4.6824429051794063E-2</v>
      </c>
      <c r="E81" s="26">
        <f t="shared" si="3"/>
        <v>9.6821995439276054E-2</v>
      </c>
      <c r="F81" s="64">
        <f>'Country Tax Rates'!C81</f>
        <v>0.1</v>
      </c>
      <c r="G81" s="64">
        <f>E81-'ERPs by country'!$E$3</f>
        <v>5.4421995439276054E-2</v>
      </c>
      <c r="H81" s="82"/>
      <c r="N81" s="249" t="s">
        <v>327</v>
      </c>
      <c r="O81" s="82">
        <v>59.75</v>
      </c>
    </row>
    <row r="82" spans="1:15">
      <c r="A82" s="51" t="str">
        <f>'ERPs by country'!A89</f>
        <v>Latvia</v>
      </c>
      <c r="B82" s="148">
        <f t="shared" si="2"/>
        <v>73.5</v>
      </c>
      <c r="C82" s="109">
        <f>'ERPs by country'!E89</f>
        <v>5.4265779333481506E-2</v>
      </c>
      <c r="D82" s="26">
        <f>'ERPs by country'!D89</f>
        <v>1.0209260760473134E-2</v>
      </c>
      <c r="E82" s="26">
        <f t="shared" si="3"/>
        <v>5.4265779333481506E-2</v>
      </c>
      <c r="F82" s="64">
        <f>'Country Tax Rates'!C83</f>
        <v>0.2</v>
      </c>
      <c r="G82" s="64">
        <f>E82-'ERPs by country'!$E$3</f>
        <v>1.1865779333481506E-2</v>
      </c>
      <c r="H82" s="82"/>
      <c r="N82" s="249" t="s">
        <v>14</v>
      </c>
      <c r="O82" s="82">
        <v>74</v>
      </c>
    </row>
    <row r="83" spans="1:15">
      <c r="A83" s="51" t="str">
        <f>'ERPs by country'!A90</f>
        <v>Lebanon</v>
      </c>
      <c r="B83" s="148">
        <f t="shared" si="2"/>
        <v>51.5</v>
      </c>
      <c r="C83" s="109">
        <f>'ERPs by country'!E90</f>
        <v>0.24579488157642376</v>
      </c>
      <c r="D83" s="26">
        <f>'ERPs by country'!D90</f>
        <v>0.17499999999999999</v>
      </c>
      <c r="E83" s="26">
        <f t="shared" si="3"/>
        <v>0.24579488157642376</v>
      </c>
      <c r="F83" s="64">
        <f>'Country Tax Rates'!C84</f>
        <v>0.17</v>
      </c>
      <c r="G83" s="64">
        <f>E83-'ERPs by country'!$E$3</f>
        <v>0.20339488157642377</v>
      </c>
      <c r="H83" s="82"/>
      <c r="N83" s="249" t="s">
        <v>325</v>
      </c>
      <c r="O83" s="82">
        <v>59.25</v>
      </c>
    </row>
    <row r="84" spans="1:15">
      <c r="A84" s="51" t="str">
        <f>'ERPs by country'!A91</f>
        <v>Liechtenstein</v>
      </c>
      <c r="B84" s="148" t="e">
        <f t="shared" si="2"/>
        <v>#N/A</v>
      </c>
      <c r="C84" s="109">
        <f>'ERPs by country'!E91</f>
        <v>4.24E-2</v>
      </c>
      <c r="D84" s="26">
        <f>'ERPs by country'!D91</f>
        <v>0</v>
      </c>
      <c r="E84" s="26">
        <f t="shared" si="3"/>
        <v>4.24E-2</v>
      </c>
      <c r="F84" s="64">
        <f>'Country Tax Rates'!C85</f>
        <v>0.125</v>
      </c>
      <c r="G84" s="64">
        <f>E84-'ERPs by country'!$E$3</f>
        <v>0</v>
      </c>
      <c r="H84" s="82"/>
      <c r="N84" s="249" t="s">
        <v>186</v>
      </c>
      <c r="O84" s="82">
        <v>76.25</v>
      </c>
    </row>
    <row r="85" spans="1:15">
      <c r="A85" s="51" t="str">
        <f>'ERPs by country'!A92</f>
        <v>Lithuania</v>
      </c>
      <c r="B85" s="148">
        <f t="shared" si="2"/>
        <v>74.5</v>
      </c>
      <c r="C85" s="109">
        <f>'ERPs by country'!E92</f>
        <v>5.0786340280806475E-2</v>
      </c>
      <c r="D85" s="26">
        <f>'ERPs by country'!D92</f>
        <v>7.2155677555223634E-3</v>
      </c>
      <c r="E85" s="26">
        <f t="shared" si="3"/>
        <v>5.0786340280806475E-2</v>
      </c>
      <c r="F85" s="64">
        <f>'Country Tax Rates'!C86</f>
        <v>0.15</v>
      </c>
      <c r="G85" s="64">
        <f>E85-'ERPs by country'!$E$3</f>
        <v>8.3863402808064744E-3</v>
      </c>
      <c r="H85" s="82"/>
      <c r="N85" s="249" t="s">
        <v>16</v>
      </c>
      <c r="O85" s="82">
        <v>70</v>
      </c>
    </row>
    <row r="86" spans="1:15">
      <c r="A86" s="51" t="str">
        <f>'ERPs by country'!A93</f>
        <v>Luxembourg</v>
      </c>
      <c r="B86" s="148">
        <f t="shared" si="2"/>
        <v>86.25</v>
      </c>
      <c r="C86" s="109">
        <f>'ERPs by country'!E93</f>
        <v>4.24E-2</v>
      </c>
      <c r="D86" s="26">
        <f>'ERPs by country'!D93</f>
        <v>0</v>
      </c>
      <c r="E86" s="26">
        <f t="shared" si="3"/>
        <v>4.24E-2</v>
      </c>
      <c r="F86" s="64">
        <f>'Country Tax Rates'!C87</f>
        <v>0.24940000000000001</v>
      </c>
      <c r="G86" s="64">
        <f>E86-'ERPs by country'!$E$3</f>
        <v>0</v>
      </c>
      <c r="H86" s="82"/>
      <c r="N86" s="249" t="s">
        <v>17</v>
      </c>
      <c r="O86" s="82">
        <v>68.25</v>
      </c>
    </row>
    <row r="87" spans="1:15">
      <c r="A87" s="51" t="str">
        <f>'ERPs by country'!A94</f>
        <v>Macao</v>
      </c>
      <c r="B87" s="148" t="e">
        <f t="shared" si="2"/>
        <v>#N/A</v>
      </c>
      <c r="C87" s="109">
        <f>'ERPs by country'!E94</f>
        <v>4.8377497859723763E-2</v>
      </c>
      <c r="D87" s="26">
        <f>'ERPs by country'!D94</f>
        <v>5.1430110597872171E-3</v>
      </c>
      <c r="E87" s="26">
        <f t="shared" si="3"/>
        <v>4.8377497859723763E-2</v>
      </c>
      <c r="F87" s="64">
        <f>'Country Tax Rates'!C88</f>
        <v>0.2281</v>
      </c>
      <c r="G87" s="64">
        <f>E87-'ERPs by country'!$E$3</f>
        <v>5.9774978597237627E-3</v>
      </c>
      <c r="H87" s="82"/>
      <c r="N87" s="249" t="s">
        <v>63</v>
      </c>
      <c r="O87" s="82">
        <v>66.25</v>
      </c>
    </row>
    <row r="88" spans="1:15">
      <c r="A88" s="51" t="str">
        <f>'ERPs by country'!A95</f>
        <v>Macedonia</v>
      </c>
      <c r="B88" s="148" t="e">
        <f t="shared" si="2"/>
        <v>#N/A</v>
      </c>
      <c r="C88" s="109">
        <f>'ERPs by country'!E95</f>
        <v>7.7997338000444505E-2</v>
      </c>
      <c r="D88" s="26">
        <f>'ERPs by country'!D95</f>
        <v>3.0627782281419401E-2</v>
      </c>
      <c r="E88" s="26">
        <f t="shared" si="3"/>
        <v>7.7997338000444505E-2</v>
      </c>
      <c r="F88" s="64">
        <f>'Country Tax Rates'!C89</f>
        <v>0.1</v>
      </c>
      <c r="G88" s="64">
        <f>E88-'ERPs by country'!$E$3</f>
        <v>3.5597338000444505E-2</v>
      </c>
      <c r="H88" s="82"/>
      <c r="N88" s="249" t="s">
        <v>18</v>
      </c>
      <c r="O88" s="82">
        <v>68.25</v>
      </c>
    </row>
    <row r="89" spans="1:15">
      <c r="A89" s="51" t="str">
        <f>'ERPs by country'!A96</f>
        <v>Malaysia</v>
      </c>
      <c r="B89" s="148">
        <f t="shared" si="2"/>
        <v>74</v>
      </c>
      <c r="C89" s="109">
        <f>'ERPs by country'!E96</f>
        <v>5.4265779333481506E-2</v>
      </c>
      <c r="D89" s="26">
        <f>'ERPs by country'!D96</f>
        <v>1.0209260760473134E-2</v>
      </c>
      <c r="E89" s="26">
        <f t="shared" si="3"/>
        <v>5.4265779333481506E-2</v>
      </c>
      <c r="F89" s="64">
        <f>'Country Tax Rates'!C90</f>
        <v>0.24</v>
      </c>
      <c r="G89" s="64">
        <f>E89-'ERPs by country'!$E$3</f>
        <v>1.1865779333481506E-2</v>
      </c>
      <c r="H89" s="82"/>
      <c r="N89" s="249" t="s">
        <v>226</v>
      </c>
      <c r="O89" s="82">
        <v>50.5</v>
      </c>
    </row>
    <row r="90" spans="1:15">
      <c r="A90" s="51" t="str">
        <f>'ERPs by country'!A97</f>
        <v>Maldives</v>
      </c>
      <c r="B90" s="148" t="e">
        <f t="shared" si="2"/>
        <v>#N/A</v>
      </c>
      <c r="C90" s="109">
        <f>'ERPs by country'!E97</f>
        <v>0.11653881673776789</v>
      </c>
      <c r="D90" s="26">
        <f>'ERPs by country'!D97</f>
        <v>6.3788689413181762E-2</v>
      </c>
      <c r="E90" s="26">
        <f t="shared" si="3"/>
        <v>0.11653881673776789</v>
      </c>
      <c r="F90" s="64">
        <f>'Country Tax Rates'!C91</f>
        <v>0.2281</v>
      </c>
      <c r="G90" s="64">
        <f>E90-'ERPs by country'!$E$3</f>
        <v>7.4138816737767899E-2</v>
      </c>
      <c r="H90" s="82"/>
      <c r="N90" s="249" t="s">
        <v>335</v>
      </c>
      <c r="O90" s="82">
        <v>53</v>
      </c>
    </row>
    <row r="91" spans="1:15">
      <c r="A91" s="51" t="str">
        <f>'ERPs by country'!A98</f>
        <v>Mali</v>
      </c>
      <c r="B91" s="148">
        <f t="shared" si="2"/>
        <v>59.25</v>
      </c>
      <c r="C91" s="109">
        <f>'ERPs by country'!E98</f>
        <v>0.11653881673776789</v>
      </c>
      <c r="D91" s="26">
        <f>'ERPs by country'!D98</f>
        <v>6.3788689413181762E-2</v>
      </c>
      <c r="E91" s="26">
        <f t="shared" si="3"/>
        <v>0.11653881673776789</v>
      </c>
      <c r="F91" s="64">
        <f>'Country Tax Rates'!C92</f>
        <v>0.2281</v>
      </c>
      <c r="G91" s="64">
        <f>E91-'ERPs by country'!$E$3</f>
        <v>7.4138816737767899E-2</v>
      </c>
      <c r="H91" s="82"/>
      <c r="N91" s="249" t="s">
        <v>136</v>
      </c>
      <c r="O91" s="82">
        <v>72</v>
      </c>
    </row>
    <row r="92" spans="1:15">
      <c r="A92" s="51" t="str">
        <f>'ERPs by country'!A99</f>
        <v>Malta</v>
      </c>
      <c r="B92" s="148">
        <f t="shared" si="2"/>
        <v>76.25</v>
      </c>
      <c r="C92" s="109">
        <f>'ERPs by country'!E99</f>
        <v>5.0786340280806475E-2</v>
      </c>
      <c r="D92" s="26">
        <f>'ERPs by country'!D99</f>
        <v>7.2155677555223634E-3</v>
      </c>
      <c r="E92" s="26">
        <f t="shared" si="3"/>
        <v>5.0786340280806475E-2</v>
      </c>
      <c r="F92" s="64">
        <f>'Country Tax Rates'!C93</f>
        <v>0.35</v>
      </c>
      <c r="G92" s="64">
        <f>E92-'ERPs by country'!$E$3</f>
        <v>8.3863402808064744E-3</v>
      </c>
      <c r="H92" s="82"/>
      <c r="N92" s="249" t="s">
        <v>187</v>
      </c>
      <c r="O92" s="82">
        <v>80.25</v>
      </c>
    </row>
    <row r="93" spans="1:15">
      <c r="A93" s="51" t="str">
        <f>'ERPs by country'!A100</f>
        <v>Mauritius</v>
      </c>
      <c r="B93" s="148" t="e">
        <f t="shared" si="2"/>
        <v>#N/A</v>
      </c>
      <c r="C93" s="109">
        <f>'ERPs by country'!E100</f>
        <v>6.1224657438831556E-2</v>
      </c>
      <c r="D93" s="26">
        <f>'ERPs by country'!D100</f>
        <v>1.6196646770374669E-2</v>
      </c>
      <c r="E93" s="26">
        <f t="shared" si="3"/>
        <v>6.1224657438831556E-2</v>
      </c>
      <c r="F93" s="64">
        <f>'Country Tax Rates'!C94</f>
        <v>0.15</v>
      </c>
      <c r="G93" s="64">
        <f>E93-'ERPs by country'!$E$3</f>
        <v>1.8824657438831556E-2</v>
      </c>
      <c r="H93" s="82"/>
      <c r="N93" s="249" t="s">
        <v>21</v>
      </c>
      <c r="O93" s="82">
        <v>79.5</v>
      </c>
    </row>
    <row r="94" spans="1:15">
      <c r="A94" s="51" t="str">
        <f>'ERPs by country'!A101</f>
        <v>Mexico</v>
      </c>
      <c r="B94" s="148">
        <f t="shared" si="2"/>
        <v>70</v>
      </c>
      <c r="C94" s="109">
        <f>'ERPs by country'!E101</f>
        <v>5.8191300315986662E-2</v>
      </c>
      <c r="D94" s="26">
        <f>'ERPs by country'!D101</f>
        <v>1.358676056093041E-2</v>
      </c>
      <c r="E94" s="26">
        <f t="shared" si="3"/>
        <v>5.8191300315986662E-2</v>
      </c>
      <c r="F94" s="64">
        <f>'Country Tax Rates'!C95</f>
        <v>0.3</v>
      </c>
      <c r="G94" s="64">
        <f>E94-'ERPs by country'!$E$3</f>
        <v>1.5791300315986662E-2</v>
      </c>
      <c r="H94" s="82"/>
      <c r="N94" s="249" t="s">
        <v>22</v>
      </c>
      <c r="O94" s="82">
        <v>66.75</v>
      </c>
    </row>
    <row r="95" spans="1:15">
      <c r="A95" s="51" t="str">
        <f>'ERPs by country'!A102</f>
        <v>Moldova</v>
      </c>
      <c r="B95" s="148">
        <f t="shared" si="2"/>
        <v>68.25</v>
      </c>
      <c r="C95" s="109">
        <f>'ERPs by country'!E102</f>
        <v>0.10672501428150497</v>
      </c>
      <c r="D95" s="26">
        <f>'ERPs by country'!D102</f>
        <v>5.5344939912038545E-2</v>
      </c>
      <c r="E95" s="26">
        <f t="shared" si="3"/>
        <v>0.10672501428150497</v>
      </c>
      <c r="F95" s="64">
        <f>'Country Tax Rates'!C96</f>
        <v>0.12</v>
      </c>
      <c r="G95" s="64">
        <f>E95-'ERPs by country'!$E$3</f>
        <v>6.4325014281504972E-2</v>
      </c>
      <c r="H95" s="82"/>
      <c r="N95" s="249" t="s">
        <v>321</v>
      </c>
      <c r="O95" s="82">
        <v>58</v>
      </c>
    </row>
    <row r="96" spans="1:15">
      <c r="A96" s="51" t="str">
        <f>'ERPs by country'!A103</f>
        <v>Mongolia</v>
      </c>
      <c r="B96" s="148">
        <f t="shared" si="2"/>
        <v>66.25</v>
      </c>
      <c r="C96" s="109">
        <f>'ERPs by country'!E103</f>
        <v>0.10672501428150497</v>
      </c>
      <c r="D96" s="26">
        <f>'ERPs by country'!D103</f>
        <v>5.5344939912038545E-2</v>
      </c>
      <c r="E96" s="26">
        <f t="shared" si="3"/>
        <v>0.10672501428150497</v>
      </c>
      <c r="F96" s="64">
        <f>'Country Tax Rates'!C97</f>
        <v>0.25</v>
      </c>
      <c r="G96" s="64">
        <f>E96-'ERPs by country'!$E$3</f>
        <v>6.4325014281504972E-2</v>
      </c>
      <c r="H96" s="82"/>
      <c r="N96" s="249" t="s">
        <v>188</v>
      </c>
      <c r="O96" s="82">
        <v>60.5</v>
      </c>
    </row>
    <row r="97" spans="1:15">
      <c r="A97" s="51" t="str">
        <f>'ERPs by country'!A104</f>
        <v>Montenegro</v>
      </c>
      <c r="B97" s="148" t="e">
        <f t="shared" si="2"/>
        <v>#N/A</v>
      </c>
      <c r="C97" s="109">
        <f>'ERPs by country'!E104</f>
        <v>8.6918976597047143E-2</v>
      </c>
      <c r="D97" s="26">
        <f>'ERPs by country'!D104</f>
        <v>3.8303918191549574E-2</v>
      </c>
      <c r="E97" s="26">
        <f t="shared" si="3"/>
        <v>8.6918976597047143E-2</v>
      </c>
      <c r="F97" s="64">
        <f>'Country Tax Rates'!C98</f>
        <v>0.09</v>
      </c>
      <c r="G97" s="64">
        <f>E97-'ERPs by country'!$E$3</f>
        <v>4.4518976597047143E-2</v>
      </c>
      <c r="H97" s="82"/>
      <c r="N97" s="249" t="s">
        <v>23</v>
      </c>
      <c r="O97" s="82">
        <v>88</v>
      </c>
    </row>
    <row r="98" spans="1:15">
      <c r="A98" s="51" t="str">
        <f>'ERPs by country'!A105</f>
        <v>Montserrat</v>
      </c>
      <c r="B98" s="148" t="e">
        <f t="shared" si="2"/>
        <v>#N/A</v>
      </c>
      <c r="C98" s="109">
        <f>'ERPs by country'!E105</f>
        <v>6.4168798175710431E-2</v>
      </c>
      <c r="D98" s="26">
        <f>'ERPs by country'!D105</f>
        <v>1.8729771620717626E-2</v>
      </c>
      <c r="E98" s="26">
        <f t="shared" si="3"/>
        <v>6.4168798175710431E-2</v>
      </c>
      <c r="F98" s="64">
        <f>'Country Tax Rates'!C99</f>
        <v>0.27179999999999999</v>
      </c>
      <c r="G98" s="64">
        <f>E98-'ERPs by country'!$E$3</f>
        <v>2.1768798175710431E-2</v>
      </c>
      <c r="H98" s="82"/>
      <c r="N98" s="249" t="s">
        <v>24</v>
      </c>
      <c r="O98" s="82">
        <v>71.75</v>
      </c>
    </row>
    <row r="99" spans="1:15">
      <c r="A99" s="51" t="str">
        <f>'ERPs by country'!A106</f>
        <v>Morocco</v>
      </c>
      <c r="B99" s="148">
        <f t="shared" si="2"/>
        <v>68.25</v>
      </c>
      <c r="C99" s="109">
        <f>'ERPs by country'!E106</f>
        <v>6.7112938912589293E-2</v>
      </c>
      <c r="D99" s="26">
        <f>'ERPs by country'!D106</f>
        <v>2.1262896471060586E-2</v>
      </c>
      <c r="E99" s="26">
        <f t="shared" si="3"/>
        <v>6.7112938912589293E-2</v>
      </c>
      <c r="F99" s="64">
        <f>'Country Tax Rates'!C100</f>
        <v>0.31</v>
      </c>
      <c r="G99" s="64">
        <f>E99-'ERPs by country'!$E$3</f>
        <v>2.4712938912589293E-2</v>
      </c>
      <c r="H99" s="82"/>
      <c r="N99" s="249" t="s">
        <v>25</v>
      </c>
      <c r="O99" s="82">
        <v>57.25</v>
      </c>
    </row>
    <row r="100" spans="1:15">
      <c r="A100" s="51" t="str">
        <f>'ERPs by country'!A107</f>
        <v>Mozambique</v>
      </c>
      <c r="B100" s="148">
        <f t="shared" si="2"/>
        <v>50.5</v>
      </c>
      <c r="C100" s="109">
        <f>'ERPs by country'!E107</f>
        <v>0.13143795319409429</v>
      </c>
      <c r="D100" s="26">
        <f>'ERPs by country'!D107</f>
        <v>7.6607836383099148E-2</v>
      </c>
      <c r="E100" s="26">
        <f t="shared" si="3"/>
        <v>0.13143795319409429</v>
      </c>
      <c r="F100" s="64">
        <f>'Country Tax Rates'!C101</f>
        <v>0.32</v>
      </c>
      <c r="G100" s="64">
        <f>E100-'ERPs by country'!$E$3</f>
        <v>8.9037953194094299E-2</v>
      </c>
      <c r="H100" s="82"/>
      <c r="N100" s="249" t="s">
        <v>26</v>
      </c>
      <c r="O100" s="82">
        <v>74</v>
      </c>
    </row>
    <row r="101" spans="1:15">
      <c r="A101" s="51" t="str">
        <f>'ERPs by country'!A108</f>
        <v>Namibia</v>
      </c>
      <c r="B101" s="148">
        <f t="shared" si="2"/>
        <v>72</v>
      </c>
      <c r="C101" s="109">
        <f>'ERPs by country'!E108</f>
        <v>7.7997338000444505E-2</v>
      </c>
      <c r="D101" s="26">
        <f>'ERPs by country'!D108</f>
        <v>3.0627782281419401E-2</v>
      </c>
      <c r="E101" s="26">
        <f t="shared" si="3"/>
        <v>7.7997338000444505E-2</v>
      </c>
      <c r="F101" s="64">
        <f>'Country Tax Rates'!C102</f>
        <v>0.32</v>
      </c>
      <c r="G101" s="64">
        <f>E101-'ERPs by country'!$E$3</f>
        <v>3.5597338000444505E-2</v>
      </c>
      <c r="H101" s="82"/>
      <c r="N101" s="249" t="s">
        <v>9</v>
      </c>
      <c r="O101" s="82">
        <v>67.5</v>
      </c>
    </row>
    <row r="102" spans="1:15">
      <c r="A102" s="51" t="str">
        <f>'ERPs by country'!A109</f>
        <v>Netherlands</v>
      </c>
      <c r="B102" s="148">
        <f t="shared" si="2"/>
        <v>80.25</v>
      </c>
      <c r="C102" s="109">
        <f>'ERPs by country'!E109</f>
        <v>4.24E-2</v>
      </c>
      <c r="D102" s="26">
        <f>'ERPs by country'!D109</f>
        <v>0</v>
      </c>
      <c r="E102" s="26">
        <f t="shared" si="3"/>
        <v>4.24E-2</v>
      </c>
      <c r="F102" s="64">
        <f>'Country Tax Rates'!C103</f>
        <v>0.25</v>
      </c>
      <c r="G102" s="64">
        <f>E102-'ERPs by country'!$E$3</f>
        <v>0</v>
      </c>
      <c r="H102" s="82"/>
      <c r="N102" s="249" t="s">
        <v>27</v>
      </c>
      <c r="O102" s="82">
        <v>68.75</v>
      </c>
    </row>
    <row r="103" spans="1:15">
      <c r="A103" s="51" t="str">
        <f>'ERPs by country'!A110</f>
        <v>New Zealand</v>
      </c>
      <c r="B103" s="148">
        <f t="shared" si="2"/>
        <v>79.5</v>
      </c>
      <c r="C103" s="109">
        <f>'ERPs by country'!E110</f>
        <v>4.24E-2</v>
      </c>
      <c r="D103" s="26">
        <f>'ERPs by country'!D110</f>
        <v>0</v>
      </c>
      <c r="E103" s="26">
        <f t="shared" si="3"/>
        <v>4.24E-2</v>
      </c>
      <c r="F103" s="64">
        <f>'Country Tax Rates'!C104</f>
        <v>0.28000000000000003</v>
      </c>
      <c r="G103" s="64">
        <f>E103-'ERPs by country'!$E$3</f>
        <v>0</v>
      </c>
      <c r="H103" s="82"/>
      <c r="N103" s="249" t="s">
        <v>28</v>
      </c>
      <c r="O103" s="82">
        <v>70.75</v>
      </c>
    </row>
    <row r="104" spans="1:15">
      <c r="A104" s="51" t="str">
        <f>'ERPs by country'!A111</f>
        <v>Nicaragua</v>
      </c>
      <c r="B104" s="148">
        <f t="shared" si="2"/>
        <v>66.75</v>
      </c>
      <c r="C104" s="109">
        <f>'ERPs by country'!E111</f>
        <v>0.10672501428150497</v>
      </c>
      <c r="D104" s="26">
        <f>'ERPs by country'!D111</f>
        <v>5.5344939912038545E-2</v>
      </c>
      <c r="E104" s="26">
        <f t="shared" si="3"/>
        <v>0.10672501428150497</v>
      </c>
      <c r="F104" s="64">
        <f>'Country Tax Rates'!C105</f>
        <v>0.3</v>
      </c>
      <c r="G104" s="64">
        <f>E104-'ERPs by country'!$E$3</f>
        <v>6.4325014281504972E-2</v>
      </c>
      <c r="H104" s="82"/>
      <c r="N104" s="249" t="s">
        <v>29</v>
      </c>
      <c r="O104" s="82">
        <v>69.75</v>
      </c>
    </row>
    <row r="105" spans="1:15">
      <c r="A105" s="51" t="str">
        <f>'ERPs by country'!A112</f>
        <v>Niger</v>
      </c>
      <c r="B105" s="148">
        <f t="shared" si="2"/>
        <v>58</v>
      </c>
      <c r="C105" s="109">
        <f>'ERPs by country'!E112</f>
        <v>0.10672501428150497</v>
      </c>
      <c r="D105" s="26">
        <f>'ERPs by country'!D112</f>
        <v>5.5344939912038545E-2</v>
      </c>
      <c r="E105" s="26">
        <f t="shared" ref="E105" si="4">C105</f>
        <v>0.10672501428150497</v>
      </c>
      <c r="F105" s="64">
        <f>'Country Tax Rates'!C106</f>
        <v>0.2281</v>
      </c>
      <c r="G105" s="64">
        <f>E105-'ERPs by country'!$E$3</f>
        <v>6.4325014281504972E-2</v>
      </c>
      <c r="H105" s="82"/>
      <c r="N105" s="249" t="s">
        <v>30</v>
      </c>
      <c r="O105" s="82">
        <v>74.5</v>
      </c>
    </row>
    <row r="106" spans="1:15">
      <c r="A106" s="51" t="str">
        <f>'ERPs by country'!A113</f>
        <v>Nigeria</v>
      </c>
      <c r="B106" s="148">
        <f t="shared" si="2"/>
        <v>60.5</v>
      </c>
      <c r="C106" s="109">
        <f>'ERPs by country'!E113</f>
        <v>9.6821995439276054E-2</v>
      </c>
      <c r="D106" s="26">
        <f>'ERPs by country'!D113</f>
        <v>4.6824429051794063E-2</v>
      </c>
      <c r="E106" s="26">
        <f t="shared" si="3"/>
        <v>9.6821995439276054E-2</v>
      </c>
      <c r="F106" s="64">
        <f>'Country Tax Rates'!C107</f>
        <v>0.3</v>
      </c>
      <c r="G106" s="64">
        <f>E106-'ERPs by country'!$E$3</f>
        <v>5.4421995439276054E-2</v>
      </c>
      <c r="H106" s="82"/>
      <c r="N106" s="249" t="s">
        <v>189</v>
      </c>
      <c r="O106" s="82">
        <v>77.25</v>
      </c>
    </row>
    <row r="107" spans="1:15">
      <c r="A107" s="51" t="str">
        <f>'ERPs by country'!A114</f>
        <v>Norway</v>
      </c>
      <c r="B107" s="148">
        <f t="shared" si="2"/>
        <v>88</v>
      </c>
      <c r="C107" s="109">
        <f>'ERPs by country'!E114</f>
        <v>4.24E-2</v>
      </c>
      <c r="D107" s="26">
        <f>'ERPs by country'!D114</f>
        <v>0</v>
      </c>
      <c r="E107" s="26">
        <f t="shared" si="3"/>
        <v>4.24E-2</v>
      </c>
      <c r="F107" s="64">
        <f>'Country Tax Rates'!C108</f>
        <v>0.22</v>
      </c>
      <c r="G107" s="64">
        <f>E107-'ERPs by country'!$E$3</f>
        <v>0</v>
      </c>
      <c r="H107" s="82"/>
      <c r="N107" s="249" t="s">
        <v>74</v>
      </c>
      <c r="O107" s="82">
        <v>78</v>
      </c>
    </row>
    <row r="108" spans="1:15">
      <c r="A108" s="51" t="str">
        <f>'ERPs by country'!A115</f>
        <v>Oman</v>
      </c>
      <c r="B108" s="148">
        <f t="shared" si="2"/>
        <v>71.75</v>
      </c>
      <c r="C108" s="109">
        <f>'ERPs by country'!E115</f>
        <v>7.7997338000444505E-2</v>
      </c>
      <c r="D108" s="26">
        <f>'ERPs by country'!D115</f>
        <v>3.0627782281419401E-2</v>
      </c>
      <c r="E108" s="26">
        <f t="shared" si="3"/>
        <v>7.7997338000444505E-2</v>
      </c>
      <c r="F108" s="64">
        <f>'Country Tax Rates'!C109</f>
        <v>0.15</v>
      </c>
      <c r="G108" s="64">
        <f>E108-'ERPs by country'!$E$3</f>
        <v>3.5597338000444505E-2</v>
      </c>
      <c r="H108" s="82"/>
      <c r="N108" s="249" t="s">
        <v>0</v>
      </c>
      <c r="O108" s="82">
        <v>70.5</v>
      </c>
    </row>
    <row r="109" spans="1:15">
      <c r="A109" s="51" t="str">
        <f>'ERPs by country'!A116</f>
        <v>Pakistan</v>
      </c>
      <c r="B109" s="148">
        <f t="shared" si="2"/>
        <v>57.25</v>
      </c>
      <c r="C109" s="109">
        <f>'ERPs by country'!E116</f>
        <v>0.10672501428150497</v>
      </c>
      <c r="D109" s="26">
        <f>'ERPs by country'!D116</f>
        <v>5.5344939912038545E-2</v>
      </c>
      <c r="E109" s="26">
        <f t="shared" si="3"/>
        <v>0.10672501428150497</v>
      </c>
      <c r="F109" s="64">
        <f>'Country Tax Rates'!C110</f>
        <v>0.28999999999999998</v>
      </c>
      <c r="G109" s="64">
        <f>E109-'ERPs by country'!$E$3</f>
        <v>6.4325014281504972E-2</v>
      </c>
      <c r="H109" s="82"/>
      <c r="N109" s="249" t="s">
        <v>1</v>
      </c>
      <c r="O109" s="82">
        <v>73.5</v>
      </c>
    </row>
    <row r="110" spans="1:15">
      <c r="A110" s="51" t="str">
        <f>'ERPs by country'!A117</f>
        <v>Panama</v>
      </c>
      <c r="B110" s="148">
        <f t="shared" si="2"/>
        <v>74</v>
      </c>
      <c r="C110" s="109">
        <f>'ERPs by country'!E117</f>
        <v>6.1224657438831556E-2</v>
      </c>
      <c r="D110" s="26">
        <f>'ERPs by country'!D117</f>
        <v>1.6196646770374669E-2</v>
      </c>
      <c r="E110" s="26">
        <f t="shared" si="3"/>
        <v>6.1224657438831556E-2</v>
      </c>
      <c r="F110" s="64">
        <f>'Country Tax Rates'!C111</f>
        <v>0.25</v>
      </c>
      <c r="G110" s="64">
        <f>E110-'ERPs by country'!$E$3</f>
        <v>1.8824657438831556E-2</v>
      </c>
      <c r="H110" s="82"/>
      <c r="N110" s="249" t="s">
        <v>2</v>
      </c>
      <c r="O110" s="82">
        <v>79.25</v>
      </c>
    </row>
    <row r="111" spans="1:15">
      <c r="A111" s="51" t="str">
        <f>'ERPs by country'!A118</f>
        <v>Papua New Guinea</v>
      </c>
      <c r="B111" s="148">
        <f t="shared" si="2"/>
        <v>67.5</v>
      </c>
      <c r="C111" s="109">
        <f>'ERPs by country'!E118</f>
        <v>9.6821995439276054E-2</v>
      </c>
      <c r="D111" s="26">
        <f>'ERPs by country'!D118</f>
        <v>4.6824429051794063E-2</v>
      </c>
      <c r="E111" s="26">
        <f t="shared" si="3"/>
        <v>9.6821995439276054E-2</v>
      </c>
      <c r="F111" s="64">
        <f>'Country Tax Rates'!C112</f>
        <v>0.3</v>
      </c>
      <c r="G111" s="64">
        <f>E111-'ERPs by country'!$E$3</f>
        <v>5.4421995439276054E-2</v>
      </c>
      <c r="H111" s="82"/>
      <c r="N111" s="249" t="s">
        <v>135</v>
      </c>
      <c r="O111" s="82">
        <v>61.75</v>
      </c>
    </row>
    <row r="112" spans="1:15">
      <c r="A112" s="51" t="str">
        <f>'ERPs by country'!A119</f>
        <v>Paraguay</v>
      </c>
      <c r="B112" s="148">
        <f t="shared" si="2"/>
        <v>68.75</v>
      </c>
      <c r="C112" s="109">
        <f>'ERPs by country'!E119</f>
        <v>6.7112938912589293E-2</v>
      </c>
      <c r="D112" s="26">
        <f>'ERPs by country'!D119</f>
        <v>2.1262896471060586E-2</v>
      </c>
      <c r="E112" s="26">
        <f t="shared" si="3"/>
        <v>6.7112938912589293E-2</v>
      </c>
      <c r="F112" s="64">
        <f>'Country Tax Rates'!C113</f>
        <v>0.1</v>
      </c>
      <c r="G112" s="64">
        <f>E112-'ERPs by country'!$E$3</f>
        <v>2.4712938912589293E-2</v>
      </c>
      <c r="H112" s="82"/>
      <c r="N112" s="249" t="s">
        <v>498</v>
      </c>
      <c r="O112" s="82">
        <v>69.5</v>
      </c>
    </row>
    <row r="113" spans="1:15">
      <c r="A113" s="51" t="str">
        <f>'ERPs by country'!A120</f>
        <v>Peru</v>
      </c>
      <c r="B113" s="148">
        <f t="shared" si="2"/>
        <v>70.75</v>
      </c>
      <c r="C113" s="109">
        <f>'ERPs by country'!E120</f>
        <v>5.8191300315986662E-2</v>
      </c>
      <c r="D113" s="26">
        <f>'ERPs by country'!D120</f>
        <v>1.358676056093041E-2</v>
      </c>
      <c r="E113" s="26">
        <f t="shared" si="3"/>
        <v>5.8191300315986662E-2</v>
      </c>
      <c r="F113" s="64">
        <f>'Country Tax Rates'!C114</f>
        <v>0.29499999999999998</v>
      </c>
      <c r="G113" s="64">
        <f>E113-'ERPs by country'!$E$3</f>
        <v>1.5791300315986662E-2</v>
      </c>
      <c r="H113" s="82"/>
      <c r="N113" s="249" t="s">
        <v>329</v>
      </c>
      <c r="O113" s="82">
        <v>57</v>
      </c>
    </row>
    <row r="114" spans="1:15">
      <c r="A114" s="51" t="str">
        <f>'ERPs by country'!A121</f>
        <v>Philippines</v>
      </c>
      <c r="B114" s="148">
        <f t="shared" si="2"/>
        <v>69.75</v>
      </c>
      <c r="C114" s="109">
        <f>'ERPs by country'!E121</f>
        <v>6.1224657438831556E-2</v>
      </c>
      <c r="D114" s="26">
        <f>'ERPs by country'!D121</f>
        <v>1.6196646770374669E-2</v>
      </c>
      <c r="E114" s="26">
        <f t="shared" si="3"/>
        <v>6.1224657438831556E-2</v>
      </c>
      <c r="F114" s="64">
        <f>'Country Tax Rates'!C115</f>
        <v>0.3</v>
      </c>
      <c r="G114" s="64">
        <f>E114-'ERPs by country'!$E$3</f>
        <v>1.8824657438831556E-2</v>
      </c>
      <c r="H114" s="82"/>
      <c r="N114" s="249" t="s">
        <v>3</v>
      </c>
      <c r="O114" s="82">
        <v>85.5</v>
      </c>
    </row>
    <row r="115" spans="1:15">
      <c r="A115" s="51" t="str">
        <f>'ERPs by country'!A122</f>
        <v>Poland</v>
      </c>
      <c r="B115" s="148">
        <f t="shared" si="2"/>
        <v>74.5</v>
      </c>
      <c r="C115" s="109">
        <f>'ERPs by country'!E122</f>
        <v>5.0786340280806475E-2</v>
      </c>
      <c r="D115" s="26">
        <f>'ERPs by country'!D122</f>
        <v>7.2155677555223634E-3</v>
      </c>
      <c r="E115" s="26">
        <f t="shared" si="3"/>
        <v>5.0786340280806475E-2</v>
      </c>
      <c r="F115" s="64">
        <f>'Country Tax Rates'!C116</f>
        <v>0.19</v>
      </c>
      <c r="G115" s="64">
        <f>E115-'ERPs by country'!$E$3</f>
        <v>8.3863402808064744E-3</v>
      </c>
      <c r="H115" s="82"/>
      <c r="N115" s="249" t="s">
        <v>61</v>
      </c>
      <c r="O115" s="82">
        <v>73.25</v>
      </c>
    </row>
    <row r="116" spans="1:15">
      <c r="A116" s="51" t="str">
        <f>'ERPs by country'!A123</f>
        <v>Portugal</v>
      </c>
      <c r="B116" s="148">
        <f t="shared" si="2"/>
        <v>77.25</v>
      </c>
      <c r="C116" s="109">
        <f>'ERPs by country'!E123</f>
        <v>6.1224657438831556E-2</v>
      </c>
      <c r="D116" s="26">
        <f>'ERPs by country'!D123</f>
        <v>1.6196646770374669E-2</v>
      </c>
      <c r="E116" s="26">
        <f t="shared" si="3"/>
        <v>6.1224657438831556E-2</v>
      </c>
      <c r="F116" s="64">
        <f>'Country Tax Rates'!C117</f>
        <v>0.21</v>
      </c>
      <c r="G116" s="64">
        <f>E116-'ERPs by country'!$E$3</f>
        <v>1.8824657438831556E-2</v>
      </c>
      <c r="H116" s="82"/>
      <c r="N116" s="249" t="s">
        <v>190</v>
      </c>
      <c r="O116" s="82">
        <v>72</v>
      </c>
    </row>
    <row r="117" spans="1:15">
      <c r="A117" s="51" t="str">
        <f>'ERPs by country'!A124</f>
        <v>Qatar</v>
      </c>
      <c r="B117" s="148">
        <f t="shared" si="2"/>
        <v>78</v>
      </c>
      <c r="C117" s="109">
        <f>'ERPs by country'!E124</f>
        <v>4.8377497859723763E-2</v>
      </c>
      <c r="D117" s="26">
        <f>'ERPs by country'!D124</f>
        <v>5.1430110597872171E-3</v>
      </c>
      <c r="E117" s="26">
        <f t="shared" si="3"/>
        <v>4.8377497859723763E-2</v>
      </c>
      <c r="F117" s="64">
        <f>'Country Tax Rates'!C118</f>
        <v>0.1</v>
      </c>
      <c r="G117" s="64">
        <f>E117-'ERPs by country'!$E$3</f>
        <v>5.9774978597237627E-3</v>
      </c>
      <c r="H117" s="82"/>
      <c r="N117" s="249" t="s">
        <v>315</v>
      </c>
      <c r="O117" s="82">
        <v>51.5</v>
      </c>
    </row>
    <row r="118" spans="1:15">
      <c r="A118" s="51" t="str">
        <f>'ERPs by country'!A125</f>
        <v>Ras Al Khaimah (Emirate of)</v>
      </c>
      <c r="B118" s="148" t="e">
        <f t="shared" si="2"/>
        <v>#N/A</v>
      </c>
      <c r="C118" s="109">
        <f>'ERPs by country'!E125</f>
        <v>5.4265779333481506E-2</v>
      </c>
      <c r="D118" s="26">
        <f>'ERPs by country'!D125</f>
        <v>1.0209260760473134E-2</v>
      </c>
      <c r="E118" s="26">
        <f t="shared" si="3"/>
        <v>5.4265779333481506E-2</v>
      </c>
      <c r="F118" s="64">
        <f>'Country Tax Rates'!C119</f>
        <v>0</v>
      </c>
      <c r="G118" s="64">
        <f>E118-'ERPs by country'!$E$3</f>
        <v>1.1865779333481506E-2</v>
      </c>
      <c r="H118" s="82"/>
      <c r="N118" s="249" t="s">
        <v>76</v>
      </c>
      <c r="O118" s="82">
        <v>69.5</v>
      </c>
    </row>
    <row r="119" spans="1:15">
      <c r="A119" s="51" t="str">
        <f>'ERPs by country'!A126</f>
        <v>Romania</v>
      </c>
      <c r="B119" s="148">
        <f t="shared" si="2"/>
        <v>70.5</v>
      </c>
      <c r="C119" s="109">
        <f>'ERPs by country'!E126</f>
        <v>6.4168798175710431E-2</v>
      </c>
      <c r="D119" s="26">
        <f>'ERPs by country'!D126</f>
        <v>1.8729771620717626E-2</v>
      </c>
      <c r="E119" s="26">
        <f t="shared" si="3"/>
        <v>6.4168798175710431E-2</v>
      </c>
      <c r="F119" s="64">
        <f>'Country Tax Rates'!C120</f>
        <v>0.16</v>
      </c>
      <c r="G119" s="64">
        <f>E119-'ERPs by country'!$E$3</f>
        <v>2.1768798175710431E-2</v>
      </c>
      <c r="H119" s="82"/>
      <c r="N119" s="249" t="s">
        <v>138</v>
      </c>
      <c r="O119" s="82">
        <v>73</v>
      </c>
    </row>
    <row r="120" spans="1:15">
      <c r="A120" s="51" t="str">
        <f>'ERPs by country'!A127</f>
        <v>Russia</v>
      </c>
      <c r="B120" s="148">
        <f t="shared" si="2"/>
        <v>73.5</v>
      </c>
      <c r="C120" s="109">
        <f>'ERPs by country'!E127</f>
        <v>6.4168798175710431E-2</v>
      </c>
      <c r="D120" s="26">
        <f>'ERPs by country'!D127</f>
        <v>1.8729771620717626E-2</v>
      </c>
      <c r="E120" s="26">
        <f t="shared" si="3"/>
        <v>6.4168798175710431E-2</v>
      </c>
      <c r="F120" s="64">
        <f>'Country Tax Rates'!C121</f>
        <v>0.2</v>
      </c>
      <c r="G120" s="64">
        <f>E120-'ERPs by country'!$E$3</f>
        <v>2.1768798175710431E-2</v>
      </c>
      <c r="H120" s="82"/>
      <c r="N120" s="249" t="s">
        <v>134</v>
      </c>
      <c r="O120" s="82">
        <v>61</v>
      </c>
    </row>
    <row r="121" spans="1:15">
      <c r="A121" s="51" t="str">
        <f>'ERPs by country'!A128</f>
        <v>Rwanda</v>
      </c>
      <c r="B121" s="148" t="e">
        <f t="shared" si="2"/>
        <v>#N/A</v>
      </c>
      <c r="C121" s="109">
        <f>'ERPs by country'!E128</f>
        <v>9.6821995439276054E-2</v>
      </c>
      <c r="D121" s="26">
        <f>'ERPs by country'!D128</f>
        <v>4.6824429051794063E-2</v>
      </c>
      <c r="E121" s="26">
        <f t="shared" si="3"/>
        <v>9.6821995439276054E-2</v>
      </c>
      <c r="F121" s="64">
        <f>'Country Tax Rates'!C122</f>
        <v>0.3</v>
      </c>
      <c r="G121" s="64">
        <f>E121-'ERPs by country'!$E$3</f>
        <v>5.4421995439276054E-2</v>
      </c>
      <c r="H121" s="82"/>
      <c r="N121" s="249" t="s">
        <v>319</v>
      </c>
      <c r="O121" s="82">
        <v>36.25</v>
      </c>
    </row>
    <row r="122" spans="1:15">
      <c r="A122" s="51" t="str">
        <f>'ERPs by country'!A129</f>
        <v>Saudi Arabia</v>
      </c>
      <c r="B122" s="148">
        <f t="shared" si="2"/>
        <v>79.25</v>
      </c>
      <c r="C122" s="109">
        <f>'ERPs by country'!E129</f>
        <v>4.9358878105350057E-2</v>
      </c>
      <c r="D122" s="26">
        <f>'ERPs by country'!D129</f>
        <v>5.987386009901537E-3</v>
      </c>
      <c r="E122" s="26">
        <f t="shared" si="3"/>
        <v>4.9358878105350057E-2</v>
      </c>
      <c r="F122" s="64">
        <f>'Country Tax Rates'!C123</f>
        <v>0.2</v>
      </c>
      <c r="G122" s="64">
        <f>E122-'ERPs by country'!$E$3</f>
        <v>6.9588781053500567E-3</v>
      </c>
      <c r="H122" s="82"/>
      <c r="N122" s="249" t="s">
        <v>33</v>
      </c>
      <c r="O122" s="82">
        <v>55</v>
      </c>
    </row>
    <row r="123" spans="1:15">
      <c r="A123" s="51" t="str">
        <f>'ERPs by country'!A130</f>
        <v>Senegal</v>
      </c>
      <c r="B123" s="148">
        <f t="shared" si="2"/>
        <v>61.75</v>
      </c>
      <c r="C123" s="109">
        <f>'ERPs by country'!E130</f>
        <v>7.7997338000444505E-2</v>
      </c>
      <c r="D123" s="26">
        <f>'ERPs by country'!D130</f>
        <v>3.0627782281419401E-2</v>
      </c>
      <c r="E123" s="26">
        <f t="shared" si="3"/>
        <v>7.7997338000444505E-2</v>
      </c>
      <c r="F123" s="64">
        <f>'Country Tax Rates'!C124</f>
        <v>0.3</v>
      </c>
      <c r="G123" s="64">
        <f>E123-'ERPs by country'!$E$3</f>
        <v>3.5597338000444505E-2</v>
      </c>
      <c r="H123" s="82"/>
      <c r="N123" s="249" t="s">
        <v>34</v>
      </c>
      <c r="O123" s="82">
        <v>83.5</v>
      </c>
    </row>
    <row r="124" spans="1:15">
      <c r="A124" s="51" t="str">
        <f>'ERPs by country'!A131</f>
        <v>Serbia</v>
      </c>
      <c r="B124" s="148" t="e">
        <f t="shared" si="2"/>
        <v>#N/A</v>
      </c>
      <c r="C124" s="109">
        <f>'ERPs by country'!E131</f>
        <v>7.2109056526686768E-2</v>
      </c>
      <c r="D124" s="26">
        <f>'ERPs by country'!D131</f>
        <v>2.5561532580733477E-2</v>
      </c>
      <c r="E124" s="26">
        <f t="shared" si="3"/>
        <v>7.2109056526686768E-2</v>
      </c>
      <c r="F124" s="64">
        <f>'Country Tax Rates'!C125</f>
        <v>0.15</v>
      </c>
      <c r="G124" s="64">
        <f>E124-'ERPs by country'!$E$3</f>
        <v>2.9709056526686768E-2</v>
      </c>
      <c r="H124" s="82"/>
      <c r="N124" s="249" t="s">
        <v>35</v>
      </c>
      <c r="O124" s="82">
        <v>86.75</v>
      </c>
    </row>
    <row r="125" spans="1:15">
      <c r="A125" s="51" t="str">
        <f>'ERPs by country'!A132</f>
        <v>Sharjah</v>
      </c>
      <c r="B125" s="148" t="e">
        <f t="shared" si="2"/>
        <v>#N/A</v>
      </c>
      <c r="C125" s="109">
        <f>'ERPs by country'!E132</f>
        <v>6.4168798175710431E-2</v>
      </c>
      <c r="D125" s="26">
        <f>'ERPs by country'!D132</f>
        <v>1.8729771620717626E-2</v>
      </c>
      <c r="E125" s="26">
        <f t="shared" si="3"/>
        <v>6.4168798175710431E-2</v>
      </c>
      <c r="F125" s="64">
        <f>'Country Tax Rates'!C126</f>
        <v>0</v>
      </c>
      <c r="G125" s="64">
        <f>E125-'ERPs by country'!$E$3</f>
        <v>2.1768798175710431E-2</v>
      </c>
      <c r="H125" s="82"/>
      <c r="N125" s="249" t="s">
        <v>316</v>
      </c>
      <c r="O125" s="82">
        <v>45.5</v>
      </c>
    </row>
    <row r="126" spans="1:15">
      <c r="A126" s="51" t="str">
        <f>'ERPs by country'!A133</f>
        <v>Singapore</v>
      </c>
      <c r="B126" s="148">
        <f t="shared" si="2"/>
        <v>85.5</v>
      </c>
      <c r="C126" s="109">
        <f>'ERPs by country'!E133</f>
        <v>4.24E-2</v>
      </c>
      <c r="D126" s="26">
        <f>'ERPs by country'!D133</f>
        <v>0</v>
      </c>
      <c r="E126" s="26">
        <f t="shared" si="3"/>
        <v>4.24E-2</v>
      </c>
      <c r="F126" s="64">
        <f>'Country Tax Rates'!C127</f>
        <v>0.17</v>
      </c>
      <c r="G126" s="64">
        <f>E126-'ERPs by country'!$E$3</f>
        <v>0</v>
      </c>
      <c r="H126" s="82"/>
      <c r="N126" s="249" t="s">
        <v>64</v>
      </c>
      <c r="O126" s="82">
        <v>86</v>
      </c>
    </row>
    <row r="127" spans="1:15">
      <c r="A127" s="51" t="str">
        <f>'ERPs by country'!A134</f>
        <v>Slovakia</v>
      </c>
      <c r="B127" s="148">
        <f t="shared" si="2"/>
        <v>73.25</v>
      </c>
      <c r="C127" s="109">
        <f>'ERPs by country'!E134</f>
        <v>5.0786340280806475E-2</v>
      </c>
      <c r="D127" s="26">
        <f>'ERPs by country'!D134</f>
        <v>7.2155677555223634E-3</v>
      </c>
      <c r="E127" s="26">
        <f t="shared" si="3"/>
        <v>5.0786340280806475E-2</v>
      </c>
      <c r="F127" s="64">
        <f>'Country Tax Rates'!C128</f>
        <v>0.21</v>
      </c>
      <c r="G127" s="64">
        <f>E127-'ERPs by country'!$E$3</f>
        <v>8.3863402808064744E-3</v>
      </c>
      <c r="H127" s="82"/>
      <c r="N127" s="249" t="s">
        <v>332</v>
      </c>
      <c r="O127" s="82">
        <v>64.75</v>
      </c>
    </row>
    <row r="128" spans="1:15">
      <c r="A128" s="51" t="str">
        <f>'ERPs by country'!A135</f>
        <v>Slovenia</v>
      </c>
      <c r="B128" s="148">
        <f t="shared" si="2"/>
        <v>72</v>
      </c>
      <c r="C128" s="109">
        <f>'ERPs by country'!E135</f>
        <v>5.4265779333481506E-2</v>
      </c>
      <c r="D128" s="26">
        <f>'ERPs by country'!D135</f>
        <v>1.0209260760473134E-2</v>
      </c>
      <c r="E128" s="26">
        <f t="shared" si="3"/>
        <v>5.4265779333481506E-2</v>
      </c>
      <c r="F128" s="64">
        <f>'Country Tax Rates'!C129</f>
        <v>0.19</v>
      </c>
      <c r="G128" s="64">
        <f>E128-'ERPs by country'!$E$3</f>
        <v>1.1865779333481506E-2</v>
      </c>
      <c r="H128" s="82"/>
      <c r="N128" s="249" t="s">
        <v>65</v>
      </c>
      <c r="O128" s="82">
        <v>65.5</v>
      </c>
    </row>
    <row r="129" spans="1:15">
      <c r="A129" s="51" t="str">
        <f>'ERPs by country'!A136</f>
        <v>Solomon Islands</v>
      </c>
      <c r="B129" s="148" t="e">
        <f t="shared" si="2"/>
        <v>#N/A</v>
      </c>
      <c r="C129" s="109">
        <f>'ERPs by country'!E136</f>
        <v>0.11653881673776789</v>
      </c>
      <c r="D129" s="26">
        <f>'ERPs by country'!D136</f>
        <v>6.3788689413181762E-2</v>
      </c>
      <c r="E129" s="26">
        <f t="shared" si="3"/>
        <v>0.11653881673776789</v>
      </c>
      <c r="F129" s="64">
        <f>'Country Tax Rates'!C130</f>
        <v>0.3</v>
      </c>
      <c r="G129" s="64">
        <f>E129-'ERPs by country'!$E$3</f>
        <v>7.4138816737767899E-2</v>
      </c>
      <c r="H129" s="82"/>
      <c r="N129" s="249" t="s">
        <v>324</v>
      </c>
      <c r="O129" s="82">
        <v>63.75</v>
      </c>
    </row>
    <row r="130" spans="1:15">
      <c r="A130" s="51" t="str">
        <f>'ERPs by country'!A137</f>
        <v>South Africa</v>
      </c>
      <c r="B130" s="148">
        <f t="shared" si="2"/>
        <v>69.5</v>
      </c>
      <c r="C130" s="109">
        <f>'ERPs by country'!E137</f>
        <v>7.2109056526686768E-2</v>
      </c>
      <c r="D130" s="26">
        <f>'ERPs by country'!D137</f>
        <v>2.5561532580733477E-2</v>
      </c>
      <c r="E130" s="26">
        <f t="shared" si="3"/>
        <v>7.2109056526686768E-2</v>
      </c>
      <c r="F130" s="64">
        <f>'Country Tax Rates'!C131</f>
        <v>0.28000000000000003</v>
      </c>
      <c r="G130" s="64">
        <f>E130-'ERPs by country'!$E$3</f>
        <v>2.9709056526686768E-2</v>
      </c>
      <c r="H130" s="82"/>
      <c r="N130" s="249" t="s">
        <v>496</v>
      </c>
      <c r="O130" s="82">
        <v>76.5</v>
      </c>
    </row>
    <row r="131" spans="1:15">
      <c r="A131" s="51" t="str">
        <f>'ERPs by country'!A138</f>
        <v>Spain</v>
      </c>
      <c r="B131" s="148">
        <f t="shared" ref="B131:B157" si="5">VLOOKUP(A131,$N$4:$O$144,2,FALSE)</f>
        <v>73</v>
      </c>
      <c r="C131" s="109">
        <f>'ERPs by country'!E138</f>
        <v>5.8191300315986662E-2</v>
      </c>
      <c r="D131" s="26">
        <f>'ERPs by country'!D138</f>
        <v>1.358676056093041E-2</v>
      </c>
      <c r="E131" s="26">
        <f t="shared" si="3"/>
        <v>5.8191300315986662E-2</v>
      </c>
      <c r="F131" s="64">
        <f>'Country Tax Rates'!C132</f>
        <v>0.25</v>
      </c>
      <c r="G131" s="64">
        <f>E131-'ERPs by country'!$E$3</f>
        <v>1.5791300315986662E-2</v>
      </c>
      <c r="H131" s="82"/>
      <c r="N131" s="249" t="s">
        <v>77</v>
      </c>
      <c r="O131" s="82">
        <v>62.5</v>
      </c>
    </row>
    <row r="132" spans="1:15">
      <c r="A132" s="51" t="str">
        <f>'ERPs by country'!A139</f>
        <v>Sri Lanka</v>
      </c>
      <c r="B132" s="148">
        <f t="shared" si="5"/>
        <v>61</v>
      </c>
      <c r="C132" s="109">
        <f>'ERPs by country'!E139</f>
        <v>0.13143795319409429</v>
      </c>
      <c r="D132" s="26">
        <f>'ERPs by country'!D139</f>
        <v>7.6607836383099148E-2</v>
      </c>
      <c r="E132" s="26">
        <f t="shared" ref="E132:E157" si="6">C132</f>
        <v>0.13143795319409429</v>
      </c>
      <c r="F132" s="64">
        <f>'Country Tax Rates'!C133</f>
        <v>0.24</v>
      </c>
      <c r="G132" s="64">
        <f>E132-'ERPs by country'!$E$3</f>
        <v>8.9037953194094299E-2</v>
      </c>
      <c r="H132" s="82"/>
      <c r="N132" s="249" t="s">
        <v>66</v>
      </c>
      <c r="O132" s="82">
        <v>58.25</v>
      </c>
    </row>
    <row r="133" spans="1:15">
      <c r="A133" s="51" t="str">
        <f>'ERPs by country'!A140</f>
        <v>St. Maarten</v>
      </c>
      <c r="B133" s="148" t="e">
        <f t="shared" si="5"/>
        <v>#N/A</v>
      </c>
      <c r="C133" s="109">
        <f>'ERPs by country'!E140</f>
        <v>7.2109056526686768E-2</v>
      </c>
      <c r="D133" s="26">
        <f>'ERPs by country'!D140</f>
        <v>2.5561532580733477E-2</v>
      </c>
      <c r="E133" s="26">
        <f t="shared" si="6"/>
        <v>7.2109056526686768E-2</v>
      </c>
      <c r="F133" s="64">
        <f>'Country Tax Rates'!C134</f>
        <v>0.27179999999999999</v>
      </c>
      <c r="G133" s="64">
        <f>E133-'ERPs by country'!$E$3</f>
        <v>2.9709056526686768E-2</v>
      </c>
      <c r="H133" s="82"/>
      <c r="N133" s="249" t="s">
        <v>228</v>
      </c>
      <c r="O133" s="82">
        <v>59.5</v>
      </c>
    </row>
    <row r="134" spans="1:15">
      <c r="A134" s="51" t="str">
        <f>'ERPs by country'!A141</f>
        <v>St. Vincent &amp; the Grenadines</v>
      </c>
      <c r="B134" s="148" t="e">
        <f t="shared" si="5"/>
        <v>#N/A</v>
      </c>
      <c r="C134" s="109">
        <f>'ERPs by country'!E141</f>
        <v>0.10672501428150497</v>
      </c>
      <c r="D134" s="26">
        <f>'ERPs by country'!D141</f>
        <v>5.5344939912038545E-2</v>
      </c>
      <c r="E134" s="26">
        <f t="shared" si="6"/>
        <v>0.10672501428150497</v>
      </c>
      <c r="F134" s="64">
        <f>'Country Tax Rates'!C135</f>
        <v>0.27179999999999999</v>
      </c>
      <c r="G134" s="64">
        <f>E134-'ERPs by country'!$E$3</f>
        <v>6.4325014281504972E-2</v>
      </c>
      <c r="H134" s="82"/>
      <c r="N134" s="249" t="s">
        <v>68</v>
      </c>
      <c r="O134" s="82">
        <v>66.5</v>
      </c>
    </row>
    <row r="135" spans="1:15">
      <c r="A135" s="51" t="str">
        <f>'ERPs by country'!A142</f>
        <v>Suriname</v>
      </c>
      <c r="B135" s="148">
        <f t="shared" si="5"/>
        <v>55</v>
      </c>
      <c r="C135" s="109">
        <f>'ERPs by country'!E142</f>
        <v>0.14125175565035719</v>
      </c>
      <c r="D135" s="26">
        <f>'ERPs by country'!D142</f>
        <v>8.5051585884242345E-2</v>
      </c>
      <c r="E135" s="26">
        <f t="shared" si="6"/>
        <v>0.14125175565035719</v>
      </c>
      <c r="F135" s="64">
        <f>'Country Tax Rates'!C136</f>
        <v>0.36</v>
      </c>
      <c r="G135" s="64">
        <f>E135-'ERPs by country'!$E$3</f>
        <v>9.8851755650357198E-2</v>
      </c>
      <c r="H135" s="82"/>
      <c r="N135" s="249" t="s">
        <v>60</v>
      </c>
      <c r="O135" s="82">
        <v>78.5</v>
      </c>
    </row>
    <row r="136" spans="1:15">
      <c r="A136" s="51" t="str">
        <f>'ERPs by country'!A143</f>
        <v>Swaziland</v>
      </c>
      <c r="B136" s="148" t="e">
        <f t="shared" si="5"/>
        <v>#N/A</v>
      </c>
      <c r="C136" s="109">
        <f>'ERPs by country'!E143</f>
        <v>0.10672501428150497</v>
      </c>
      <c r="D136" s="26">
        <f>'ERPs by country'!D143</f>
        <v>5.5344939912038545E-2</v>
      </c>
      <c r="E136" s="26">
        <f t="shared" si="6"/>
        <v>0.10672501428150497</v>
      </c>
      <c r="F136" s="64">
        <f>'Country Tax Rates'!C137</f>
        <v>0.27500000000000002</v>
      </c>
      <c r="G136" s="64">
        <f>E136-'ERPs by country'!$E$3</f>
        <v>6.4325014281504972E-2</v>
      </c>
      <c r="H136" s="82"/>
      <c r="N136" s="249" t="s">
        <v>57</v>
      </c>
      <c r="O136" s="82">
        <v>76</v>
      </c>
    </row>
    <row r="137" spans="1:15">
      <c r="A137" s="51" t="str">
        <f>'ERPs by country'!A144</f>
        <v>Sweden</v>
      </c>
      <c r="B137" s="148">
        <f t="shared" si="5"/>
        <v>83.5</v>
      </c>
      <c r="C137" s="109">
        <f>'ERPs by country'!E144</f>
        <v>4.24E-2</v>
      </c>
      <c r="D137" s="26">
        <f>'ERPs by country'!D144</f>
        <v>0</v>
      </c>
      <c r="E137" s="26">
        <f t="shared" si="6"/>
        <v>4.24E-2</v>
      </c>
      <c r="F137" s="64">
        <f>'Country Tax Rates'!C138</f>
        <v>0.20600000000000002</v>
      </c>
      <c r="G137" s="64">
        <f>E137-'ERPs by country'!$E$3</f>
        <v>0</v>
      </c>
      <c r="H137" s="82"/>
      <c r="N137" s="249" t="s">
        <v>356</v>
      </c>
      <c r="O137" s="82">
        <v>72.25</v>
      </c>
    </row>
    <row r="138" spans="1:15">
      <c r="A138" s="51" t="str">
        <f>'ERPs by country'!A145</f>
        <v>Switzerland</v>
      </c>
      <c r="B138" s="148">
        <f t="shared" si="5"/>
        <v>86.75</v>
      </c>
      <c r="C138" s="109">
        <f>'ERPs by country'!E145</f>
        <v>4.24E-2</v>
      </c>
      <c r="D138" s="26">
        <f>'ERPs by country'!D145</f>
        <v>0</v>
      </c>
      <c r="E138" s="26">
        <f t="shared" si="6"/>
        <v>4.24E-2</v>
      </c>
      <c r="F138" s="64">
        <f>'Country Tax Rates'!C139</f>
        <v>0.14929999999999999</v>
      </c>
      <c r="G138" s="64">
        <f>E138-'ERPs by country'!$E$3</f>
        <v>0</v>
      </c>
      <c r="H138" s="82"/>
      <c r="N138" s="249" t="s">
        <v>69</v>
      </c>
      <c r="O138" s="82">
        <v>74.5</v>
      </c>
    </row>
    <row r="139" spans="1:15">
      <c r="A139" s="51" t="str">
        <f>'ERPs by country'!A146</f>
        <v>Taiwan</v>
      </c>
      <c r="B139" s="148">
        <f t="shared" si="5"/>
        <v>86</v>
      </c>
      <c r="C139" s="109">
        <f>'ERPs by country'!E146</f>
        <v>4.8377497859723763E-2</v>
      </c>
      <c r="D139" s="26">
        <f>'ERPs by country'!D146</f>
        <v>5.1430110597872171E-3</v>
      </c>
      <c r="E139" s="26">
        <f t="shared" si="6"/>
        <v>4.8377497859723763E-2</v>
      </c>
      <c r="F139" s="64">
        <f>'Country Tax Rates'!C140</f>
        <v>0.2</v>
      </c>
      <c r="G139" s="64">
        <f>E139-'ERPs by country'!$E$3</f>
        <v>5.9774978597237627E-3</v>
      </c>
      <c r="N139" s="249" t="s">
        <v>402</v>
      </c>
      <c r="O139" s="82">
        <v>75.5</v>
      </c>
    </row>
    <row r="140" spans="1:15">
      <c r="A140" s="51" t="str">
        <f>'ERPs by country'!A147</f>
        <v>Tajikistan</v>
      </c>
      <c r="B140" s="148" t="e">
        <f t="shared" si="5"/>
        <v>#N/A</v>
      </c>
      <c r="C140" s="109">
        <f>'ERPs by country'!E147</f>
        <v>0.10672501428150497</v>
      </c>
      <c r="D140" s="26">
        <f>'ERPs by country'!D147</f>
        <v>5.5344939912038545E-2</v>
      </c>
      <c r="E140" s="26">
        <f t="shared" si="6"/>
        <v>0.10672501428150497</v>
      </c>
      <c r="F140" s="64">
        <f>'Country Tax Rates'!C141</f>
        <v>0.2281</v>
      </c>
      <c r="G140" s="64">
        <f>E140-'ERPs by country'!$E$3</f>
        <v>6.4325014281504972E-2</v>
      </c>
      <c r="N140" s="249" t="s">
        <v>70</v>
      </c>
      <c r="O140" s="82">
        <v>41.75</v>
      </c>
    </row>
    <row r="141" spans="1:15">
      <c r="A141" s="51" t="str">
        <f>'ERPs by country'!A148</f>
        <v>Tanzania</v>
      </c>
      <c r="B141" s="148">
        <f t="shared" si="5"/>
        <v>64.75</v>
      </c>
      <c r="C141" s="109">
        <f>'ERPs by country'!E148</f>
        <v>9.6821995439276054E-2</v>
      </c>
      <c r="D141" s="26">
        <f>'ERPs by country'!D148</f>
        <v>4.6824429051794063E-2</v>
      </c>
      <c r="E141" s="26">
        <f t="shared" si="6"/>
        <v>9.6821995439276054E-2</v>
      </c>
      <c r="F141" s="64">
        <f>'Country Tax Rates'!C142</f>
        <v>0.3</v>
      </c>
      <c r="G141" s="64">
        <f>E141-'ERPs by country'!$E$3</f>
        <v>5.4421995439276054E-2</v>
      </c>
      <c r="N141" s="249" t="s">
        <v>71</v>
      </c>
      <c r="O141" s="82">
        <v>71</v>
      </c>
    </row>
    <row r="142" spans="1:15">
      <c r="A142" s="51" t="str">
        <f>'ERPs by country'!A149</f>
        <v>Thailand</v>
      </c>
      <c r="B142" s="148">
        <f t="shared" si="5"/>
        <v>65.5</v>
      </c>
      <c r="C142" s="109">
        <f>'ERPs by country'!E149</f>
        <v>5.8191300315986662E-2</v>
      </c>
      <c r="D142" s="26">
        <f>'ERPs by country'!D149</f>
        <v>1.358676056093041E-2</v>
      </c>
      <c r="E142" s="26">
        <f t="shared" si="6"/>
        <v>5.8191300315986662E-2</v>
      </c>
      <c r="F142" s="64">
        <f>'Country Tax Rates'!C143</f>
        <v>0.2</v>
      </c>
      <c r="G142" s="64">
        <f>E142-'ERPs by country'!$E$3</f>
        <v>1.5791300315986662E-2</v>
      </c>
      <c r="N142" s="249" t="s">
        <v>323</v>
      </c>
      <c r="O142" s="82">
        <v>52.75</v>
      </c>
    </row>
    <row r="143" spans="1:15">
      <c r="A143" s="51" t="str">
        <f>'ERPs by country'!A150</f>
        <v>Togo</v>
      </c>
      <c r="B143" s="148">
        <f t="shared" si="5"/>
        <v>63.75</v>
      </c>
      <c r="C143" s="109">
        <f>'ERPs by country'!E150</f>
        <v>0.10672501428150497</v>
      </c>
      <c r="D143" s="26">
        <f>'ERPs by country'!D150</f>
        <v>5.5344939912038545E-2</v>
      </c>
      <c r="E143" s="26">
        <f t="shared" si="6"/>
        <v>0.10672501428150497</v>
      </c>
      <c r="F143" s="64">
        <f>'Country Tax Rates'!C144</f>
        <v>0.2281</v>
      </c>
      <c r="G143" s="64">
        <f>E143-'ERPs by country'!$E$3</f>
        <v>6.4325014281504972E-2</v>
      </c>
      <c r="N143" s="249" t="s">
        <v>192</v>
      </c>
      <c r="O143" s="82">
        <v>63</v>
      </c>
    </row>
    <row r="144" spans="1:15">
      <c r="A144" s="51" t="str">
        <f>'ERPs by country'!A151</f>
        <v>Trinidad and Tobago</v>
      </c>
      <c r="B144" s="148" t="e">
        <f t="shared" si="5"/>
        <v>#N/A</v>
      </c>
      <c r="C144" s="109">
        <f>'ERPs by country'!E151</f>
        <v>7.2109056526686768E-2</v>
      </c>
      <c r="D144" s="26">
        <f>'ERPs by country'!D151</f>
        <v>2.5561532580733477E-2</v>
      </c>
      <c r="E144" s="26">
        <f t="shared" si="6"/>
        <v>7.2109056526686768E-2</v>
      </c>
      <c r="F144" s="64">
        <f>'Country Tax Rates'!C145</f>
        <v>0.3</v>
      </c>
      <c r="G144" s="64">
        <f>E144-'ERPs by country'!$E$3</f>
        <v>2.9709056526686768E-2</v>
      </c>
      <c r="N144" s="249" t="s">
        <v>320</v>
      </c>
      <c r="O144" s="82">
        <v>61</v>
      </c>
    </row>
    <row r="145" spans="1:11">
      <c r="A145" s="51" t="str">
        <f>'ERPs by country'!A152</f>
        <v>Tunisia</v>
      </c>
      <c r="B145" s="148">
        <f t="shared" si="5"/>
        <v>62.5</v>
      </c>
      <c r="C145" s="109">
        <f>'ERPs by country'!E152</f>
        <v>0.11653881673776789</v>
      </c>
      <c r="D145" s="26">
        <f>'ERPs by country'!D152</f>
        <v>6.3788689413181762E-2</v>
      </c>
      <c r="E145" s="26">
        <f t="shared" si="6"/>
        <v>0.11653881673776789</v>
      </c>
      <c r="F145" s="64">
        <f>'Country Tax Rates'!C146</f>
        <v>0.15</v>
      </c>
      <c r="G145" s="64">
        <f>E145-'ERPs by country'!$E$3</f>
        <v>7.4138816737767899E-2</v>
      </c>
    </row>
    <row r="146" spans="1:11">
      <c r="A146" s="51" t="str">
        <f>'ERPs by country'!A153</f>
        <v>Turkey</v>
      </c>
      <c r="B146" s="148">
        <f t="shared" si="5"/>
        <v>58.25</v>
      </c>
      <c r="C146" s="109">
        <f>'ERPs by country'!E153</f>
        <v>9.6821995439276054E-2</v>
      </c>
      <c r="D146" s="26">
        <f>'ERPs by country'!D153</f>
        <v>4.6824429051794063E-2</v>
      </c>
      <c r="E146" s="26">
        <f t="shared" si="6"/>
        <v>9.6821995439276054E-2</v>
      </c>
      <c r="F146" s="64">
        <f>'Country Tax Rates'!C147</f>
        <v>0.2</v>
      </c>
      <c r="G146" s="64">
        <f>E146-'ERPs by country'!$E$3</f>
        <v>5.4421995439276054E-2</v>
      </c>
    </row>
    <row r="147" spans="1:11">
      <c r="A147" s="51" t="str">
        <f>'ERPs by country'!A154</f>
        <v>Turks and Caicos Islands</v>
      </c>
      <c r="B147" s="148" t="e">
        <f t="shared" si="5"/>
        <v>#N/A</v>
      </c>
      <c r="C147" s="109">
        <f>'ERPs by country'!E154</f>
        <v>5.8191300315986662E-2</v>
      </c>
      <c r="D147" s="26">
        <f>'ERPs by country'!D154</f>
        <v>1.358676056093041E-2</v>
      </c>
      <c r="E147" s="26">
        <f t="shared" si="6"/>
        <v>5.8191300315986662E-2</v>
      </c>
      <c r="F147" s="64">
        <f>'Country Tax Rates'!C148</f>
        <v>0</v>
      </c>
      <c r="G147" s="64">
        <f>E147-'ERPs by country'!$E$3</f>
        <v>1.5791300315986662E-2</v>
      </c>
    </row>
    <row r="148" spans="1:11">
      <c r="A148" s="51" t="str">
        <f>'ERPs by country'!A155</f>
        <v>Uganda</v>
      </c>
      <c r="B148" s="148">
        <f t="shared" si="5"/>
        <v>59.5</v>
      </c>
      <c r="C148" s="109">
        <f>'ERPs by country'!E155</f>
        <v>9.6821995439276054E-2</v>
      </c>
      <c r="D148" s="26">
        <f>'ERPs by country'!D155</f>
        <v>4.6824429051794063E-2</v>
      </c>
      <c r="E148" s="26">
        <f t="shared" si="6"/>
        <v>9.6821995439276054E-2</v>
      </c>
      <c r="F148" s="64">
        <f>'Country Tax Rates'!C149</f>
        <v>0.3</v>
      </c>
      <c r="G148" s="64">
        <f>E148-'ERPs by country'!$E$3</f>
        <v>5.4421995439276054E-2</v>
      </c>
    </row>
    <row r="149" spans="1:11">
      <c r="A149" s="51" t="str">
        <f>'ERPs by country'!A156</f>
        <v>Ukraine</v>
      </c>
      <c r="B149" s="148">
        <f t="shared" si="5"/>
        <v>66.5</v>
      </c>
      <c r="C149" s="109">
        <f>'ERPs by country'!E156</f>
        <v>0.10672501428150497</v>
      </c>
      <c r="D149" s="26">
        <f>'ERPs by country'!D156</f>
        <v>5.5344939912038545E-2</v>
      </c>
      <c r="E149" s="26">
        <f t="shared" si="6"/>
        <v>0.10672501428150497</v>
      </c>
      <c r="F149" s="64">
        <f>'Country Tax Rates'!C150</f>
        <v>0.18</v>
      </c>
      <c r="G149" s="64">
        <f>E149-'ERPs by country'!$E$3</f>
        <v>6.4325014281504972E-2</v>
      </c>
    </row>
    <row r="150" spans="1:11">
      <c r="A150" s="51" t="str">
        <f>'ERPs by country'!A157</f>
        <v>United Arab Emirates</v>
      </c>
      <c r="B150" s="148">
        <f t="shared" si="5"/>
        <v>78.5</v>
      </c>
      <c r="C150" s="109">
        <f>'ERPs by country'!E157</f>
        <v>4.730690122813145E-2</v>
      </c>
      <c r="D150" s="26">
        <f>'ERPs by country'!D157</f>
        <v>4.2218747505715949E-3</v>
      </c>
      <c r="E150" s="26">
        <f t="shared" si="6"/>
        <v>4.730690122813145E-2</v>
      </c>
      <c r="F150" s="64">
        <f>'Country Tax Rates'!C151</f>
        <v>0.55000000000000004</v>
      </c>
      <c r="G150" s="64">
        <f>E150-'ERPs by country'!$E$3</f>
        <v>4.9069012281314495E-3</v>
      </c>
    </row>
    <row r="151" spans="1:11">
      <c r="A151" s="51" t="str">
        <f>'ERPs by country'!A158</f>
        <v>United Kingdom</v>
      </c>
      <c r="B151" s="148">
        <f t="shared" si="5"/>
        <v>76</v>
      </c>
      <c r="C151" s="109">
        <f>'ERPs by country'!E158</f>
        <v>4.8377497859723763E-2</v>
      </c>
      <c r="D151" s="26">
        <f>'ERPs by country'!D158</f>
        <v>5.1430110597872171E-3</v>
      </c>
      <c r="E151" s="26">
        <f t="shared" si="6"/>
        <v>4.8377497859723763E-2</v>
      </c>
      <c r="F151" s="64">
        <f>'Country Tax Rates'!C152</f>
        <v>0.19</v>
      </c>
      <c r="G151" s="64">
        <f>E151-'ERPs by country'!$E$3</f>
        <v>5.9774978597237627E-3</v>
      </c>
    </row>
    <row r="152" spans="1:11">
      <c r="A152" s="51" t="str">
        <f>'ERPs by country'!A159</f>
        <v>United States</v>
      </c>
      <c r="B152" s="148">
        <f t="shared" si="5"/>
        <v>72.25</v>
      </c>
      <c r="C152" s="109">
        <f>'ERPs by country'!E159</f>
        <v>4.24E-2</v>
      </c>
      <c r="D152" s="26">
        <f>'ERPs by country'!D159</f>
        <v>0</v>
      </c>
      <c r="E152" s="26">
        <f t="shared" si="6"/>
        <v>4.24E-2</v>
      </c>
      <c r="F152" s="64">
        <f>'Country Tax Rates'!C153</f>
        <v>0.27</v>
      </c>
      <c r="G152" s="64">
        <f>E152-'ERPs by country'!$E$3</f>
        <v>0</v>
      </c>
    </row>
    <row r="153" spans="1:11">
      <c r="A153" s="51" t="str">
        <f>'ERPs by country'!A160</f>
        <v>Uruguay</v>
      </c>
      <c r="B153" s="148">
        <f t="shared" si="5"/>
        <v>74.5</v>
      </c>
      <c r="C153" s="109">
        <f>'ERPs by country'!E160</f>
        <v>6.1224657438831556E-2</v>
      </c>
      <c r="D153" s="26">
        <f>'ERPs by country'!D160</f>
        <v>1.6196646770374669E-2</v>
      </c>
      <c r="E153" s="26">
        <f t="shared" si="6"/>
        <v>6.1224657438831556E-2</v>
      </c>
      <c r="F153" s="64">
        <f>'Country Tax Rates'!C154</f>
        <v>0.25</v>
      </c>
      <c r="G153" s="64">
        <f>E153-'ERPs by country'!$E$3</f>
        <v>1.8824657438831556E-2</v>
      </c>
    </row>
    <row r="154" spans="1:11">
      <c r="A154" s="51" t="str">
        <f>'ERPs by country'!A161</f>
        <v>Uzbekistan</v>
      </c>
      <c r="B154" s="148">
        <f t="shared" si="5"/>
        <v>75.5</v>
      </c>
      <c r="C154" s="109">
        <f>'ERPs by country'!E161</f>
        <v>8.6918976597047143E-2</v>
      </c>
      <c r="D154" s="26">
        <f>'ERPs by country'!D161</f>
        <v>3.8303918191549574E-2</v>
      </c>
      <c r="E154" s="26">
        <f t="shared" si="6"/>
        <v>8.6918976597047143E-2</v>
      </c>
      <c r="F154" s="64">
        <f>'Country Tax Rates'!C155</f>
        <v>7.4999999999999997E-2</v>
      </c>
      <c r="G154" s="64">
        <f>E154-'ERPs by country'!$E$3</f>
        <v>4.4518976597047143E-2</v>
      </c>
    </row>
    <row r="155" spans="1:11">
      <c r="A155" s="51" t="str">
        <f>'ERPs by country'!A162</f>
        <v>Venezuela</v>
      </c>
      <c r="B155" s="148">
        <f t="shared" si="5"/>
        <v>41.75</v>
      </c>
      <c r="C155" s="109">
        <f>'ERPs by country'!E162</f>
        <v>0.24579488157642376</v>
      </c>
      <c r="D155" s="26">
        <f>'ERPs by country'!D162</f>
        <v>0.17499999999999999</v>
      </c>
      <c r="E155" s="26">
        <f t="shared" si="6"/>
        <v>0.24579488157642376</v>
      </c>
      <c r="F155" s="64">
        <f>'Country Tax Rates'!C156</f>
        <v>0.34</v>
      </c>
      <c r="G155" s="64">
        <f>E155-'ERPs by country'!$E$3</f>
        <v>0.20339488157642377</v>
      </c>
    </row>
    <row r="156" spans="1:11">
      <c r="A156" s="51" t="str">
        <f>'ERPs by country'!A163</f>
        <v>Vietnam</v>
      </c>
      <c r="B156" s="148">
        <f t="shared" si="5"/>
        <v>71</v>
      </c>
      <c r="C156" s="109">
        <f>'ERPs by country'!E163</f>
        <v>7.7997338000444505E-2</v>
      </c>
      <c r="D156" s="26">
        <f>'ERPs by country'!D163</f>
        <v>3.0627782281419401E-2</v>
      </c>
      <c r="E156" s="26">
        <f t="shared" si="6"/>
        <v>7.7997338000444505E-2</v>
      </c>
      <c r="F156" s="64">
        <f>'Country Tax Rates'!C157</f>
        <v>0.2</v>
      </c>
      <c r="G156" s="64">
        <f>E156-'ERPs by country'!$E$3</f>
        <v>3.5597338000444505E-2</v>
      </c>
    </row>
    <row r="157" spans="1:11">
      <c r="A157" s="51" t="str">
        <f>'ERPs by country'!A164</f>
        <v>Zambia</v>
      </c>
      <c r="B157" s="148">
        <f t="shared" si="5"/>
        <v>63</v>
      </c>
      <c r="C157" s="109">
        <f>'ERPs by country'!E164</f>
        <v>0.16105779333481501</v>
      </c>
      <c r="D157" s="26">
        <f>'ERPs by country'!D164</f>
        <v>0.10209260760473131</v>
      </c>
      <c r="E157" s="26">
        <f t="shared" si="6"/>
        <v>0.16105779333481501</v>
      </c>
      <c r="F157" s="64">
        <f>'Country Tax Rates'!C158</f>
        <v>0.35</v>
      </c>
      <c r="G157" s="64">
        <f>E157-'ERPs by country'!$E$3</f>
        <v>0.11865779333481502</v>
      </c>
    </row>
    <row r="158" spans="1:11">
      <c r="A158" s="51"/>
      <c r="B158" s="149"/>
      <c r="C158" s="109"/>
      <c r="D158" s="26"/>
      <c r="E158" s="26"/>
      <c r="F158" s="64"/>
      <c r="G158" s="64"/>
    </row>
    <row r="159" spans="1:11">
      <c r="A159" s="51"/>
      <c r="B159" s="149"/>
      <c r="C159" s="109"/>
      <c r="D159" s="26"/>
      <c r="E159" s="26"/>
      <c r="F159" s="64"/>
      <c r="G159" s="64"/>
    </row>
    <row r="160" spans="1:11">
      <c r="A160" s="51"/>
      <c r="B160" s="149"/>
      <c r="C160" s="109"/>
      <c r="D160" s="26"/>
      <c r="E160" s="26"/>
      <c r="F160" s="64"/>
      <c r="G160" s="64"/>
      <c r="H160" s="82"/>
      <c r="J160" s="151" t="s">
        <v>171</v>
      </c>
      <c r="K160" s="152" t="s">
        <v>485</v>
      </c>
    </row>
    <row r="161" spans="1:11">
      <c r="A161" s="51" t="s">
        <v>337</v>
      </c>
      <c r="B161" s="148">
        <f t="shared" ref="B161:B179" si="7">VLOOKUP(A161,$N$4:$O$145,2,FALSE)</f>
        <v>62.25</v>
      </c>
      <c r="C161" s="64"/>
      <c r="D161" s="64">
        <f>G161/'ERPs by country'!$E$5</f>
        <v>5.5344939912038545E-2</v>
      </c>
      <c r="E161" s="104">
        <f t="shared" ref="E161:E180" si="8">IF(C161&gt;0,C161,VLOOKUP(B161,$I$3:$K$19,3))</f>
        <v>0.10672501428150497</v>
      </c>
      <c r="F161" s="104">
        <v>0.26</v>
      </c>
      <c r="G161" s="64">
        <f>E161-'ERPs by country'!$E$3</f>
        <v>6.4325014281504972E-2</v>
      </c>
      <c r="H161" s="82"/>
      <c r="J161" s="153" t="s">
        <v>128</v>
      </c>
      <c r="K161" s="154">
        <v>0.29153846153846152</v>
      </c>
    </row>
    <row r="162" spans="1:11">
      <c r="A162" s="51" t="s">
        <v>338</v>
      </c>
      <c r="B162" s="148">
        <f t="shared" si="7"/>
        <v>79</v>
      </c>
      <c r="C162" s="64"/>
      <c r="D162" s="64">
        <f>G162/'ERPs by country'!$E$5</f>
        <v>7.2155677555223625E-3</v>
      </c>
      <c r="E162" s="104">
        <f t="shared" si="8"/>
        <v>5.0786340280806475E-2</v>
      </c>
      <c r="F162" s="64">
        <v>0.185</v>
      </c>
      <c r="G162" s="64">
        <f>E162-'ERPs by country'!$E$3</f>
        <v>8.3863402808064744E-3</v>
      </c>
      <c r="H162" s="82"/>
      <c r="J162" s="153" t="s">
        <v>129</v>
      </c>
      <c r="K162" s="154">
        <v>0.23102608695652177</v>
      </c>
    </row>
    <row r="163" spans="1:11">
      <c r="A163" s="51" t="s">
        <v>334</v>
      </c>
      <c r="B163" s="148">
        <f t="shared" si="7"/>
        <v>65.75</v>
      </c>
      <c r="C163" s="64"/>
      <c r="D163" s="64">
        <f>G163/'ERPs by country'!$E$5</f>
        <v>4.6824429051794056E-2</v>
      </c>
      <c r="E163" s="104">
        <f t="shared" si="8"/>
        <v>9.6821995439276054E-2</v>
      </c>
      <c r="F163" s="64">
        <v>0.31</v>
      </c>
      <c r="G163" s="64">
        <f>E163-'ERPs by country'!$E$3</f>
        <v>5.4421995439276054E-2</v>
      </c>
      <c r="H163" s="82"/>
      <c r="J163" s="153" t="s">
        <v>53</v>
      </c>
      <c r="K163" s="154">
        <v>0.19333333333333336</v>
      </c>
    </row>
    <row r="164" spans="1:11">
      <c r="A164" s="51" t="s">
        <v>317</v>
      </c>
      <c r="B164" s="148">
        <f t="shared" si="7"/>
        <v>57.5</v>
      </c>
      <c r="C164" s="64"/>
      <c r="D164" s="64">
        <f>G164/'ERPs by country'!$E$5</f>
        <v>7.6607836383099148E-2</v>
      </c>
      <c r="E164" s="104">
        <f t="shared" si="8"/>
        <v>0.13143795319409429</v>
      </c>
      <c r="F164" s="64">
        <v>0.29149999999999998</v>
      </c>
      <c r="G164" s="64">
        <f>E164-'ERPs by country'!$E$3</f>
        <v>8.9037953194094299E-2</v>
      </c>
      <c r="H164" s="82"/>
      <c r="J164" s="153" t="s">
        <v>54</v>
      </c>
      <c r="K164" s="154">
        <v>0.18641428571428573</v>
      </c>
    </row>
    <row r="165" spans="1:11">
      <c r="A165" s="51" t="s">
        <v>333</v>
      </c>
      <c r="B165" s="148">
        <f t="shared" si="7"/>
        <v>62.75</v>
      </c>
      <c r="C165" s="64"/>
      <c r="D165" s="64">
        <f>G165/'ERPs by country'!$E$5</f>
        <v>5.5344939912038545E-2</v>
      </c>
      <c r="E165" s="104">
        <f t="shared" si="8"/>
        <v>0.10672501428150497</v>
      </c>
      <c r="F165" s="64">
        <v>0.29149999999999998</v>
      </c>
      <c r="G165" s="64">
        <f>E165-'ERPs by country'!$E$3</f>
        <v>6.4325014281504972E-2</v>
      </c>
      <c r="H165" s="82"/>
      <c r="J165" s="153" t="s">
        <v>51</v>
      </c>
      <c r="K165" s="154">
        <v>0.27932105263157891</v>
      </c>
    </row>
    <row r="166" spans="1:11">
      <c r="A166" s="51" t="s">
        <v>330</v>
      </c>
      <c r="B166" s="148">
        <f t="shared" si="7"/>
        <v>66.25</v>
      </c>
      <c r="C166" s="64"/>
      <c r="D166" s="64">
        <f>G166/'ERPs by country'!$E$5</f>
        <v>3.8303918191549574E-2</v>
      </c>
      <c r="E166" s="104">
        <f t="shared" si="8"/>
        <v>8.6918976597047143E-2</v>
      </c>
      <c r="F166" s="64">
        <v>0.18640000000000001</v>
      </c>
      <c r="G166" s="64">
        <f>E166-'ERPs by country'!$E$3</f>
        <v>4.4518976597047143E-2</v>
      </c>
      <c r="H166" s="82"/>
      <c r="J166" s="153" t="s">
        <v>125</v>
      </c>
      <c r="K166" s="154">
        <v>0.16692307692307692</v>
      </c>
    </row>
    <row r="167" spans="1:11">
      <c r="A167" s="51" t="s">
        <v>326</v>
      </c>
      <c r="B167" s="148">
        <f t="shared" si="7"/>
        <v>56.25</v>
      </c>
      <c r="C167" s="64"/>
      <c r="D167" s="64">
        <f>G167/'ERPs by country'!$E$5</f>
        <v>8.5051585884242345E-2</v>
      </c>
      <c r="E167" s="104">
        <f t="shared" si="8"/>
        <v>0.14125175565035719</v>
      </c>
      <c r="F167" s="64">
        <v>0.18640000000000001</v>
      </c>
      <c r="G167" s="64">
        <f>E167-'ERPs by country'!$E$3</f>
        <v>9.8851755650357198E-2</v>
      </c>
      <c r="H167" s="82"/>
      <c r="J167" s="153" t="s">
        <v>127</v>
      </c>
      <c r="K167" s="154">
        <v>0.2023076923076923</v>
      </c>
    </row>
    <row r="168" spans="1:11">
      <c r="A168" s="51" t="s">
        <v>328</v>
      </c>
      <c r="B168" s="148">
        <f t="shared" si="7"/>
        <v>63.75</v>
      </c>
      <c r="C168" s="64"/>
      <c r="D168" s="64">
        <f>G168/'ERPs by country'!$E$5</f>
        <v>5.5344939912038545E-2</v>
      </c>
      <c r="E168" s="104">
        <f t="shared" si="8"/>
        <v>0.10672501428150497</v>
      </c>
      <c r="F168" s="64">
        <v>0.20230000000000001</v>
      </c>
      <c r="G168" s="64">
        <f>E168-'ERPs by country'!$E$3</f>
        <v>6.4325014281504972E-2</v>
      </c>
      <c r="H168" s="82"/>
      <c r="J168" s="153" t="s">
        <v>130</v>
      </c>
      <c r="K168" s="154">
        <v>0.25750000000000001</v>
      </c>
    </row>
    <row r="169" spans="1:11">
      <c r="A169" s="51" t="s">
        <v>385</v>
      </c>
      <c r="B169" s="148">
        <f t="shared" si="7"/>
        <v>51.5</v>
      </c>
      <c r="C169" s="64"/>
      <c r="D169" s="64">
        <f>G169/'ERPs by country'!$E$5</f>
        <v>0.10209260760473131</v>
      </c>
      <c r="E169" s="104">
        <f t="shared" si="8"/>
        <v>0.16105779333481501</v>
      </c>
      <c r="F169" s="64">
        <v>0.23100000000000001</v>
      </c>
      <c r="G169" s="64">
        <f>E169-'ERPs by country'!$E$3</f>
        <v>0.11865779333481502</v>
      </c>
      <c r="H169" s="82"/>
      <c r="J169" s="153" t="s">
        <v>126</v>
      </c>
      <c r="K169" s="154">
        <v>0.20019615384615383</v>
      </c>
    </row>
    <row r="170" spans="1:11">
      <c r="A170" s="51" t="s">
        <v>318</v>
      </c>
      <c r="B170" s="148">
        <f t="shared" si="7"/>
        <v>59</v>
      </c>
      <c r="C170" s="64"/>
      <c r="D170" s="64">
        <f>G170/'ERPs by country'!$E$5</f>
        <v>7.6607836383099148E-2</v>
      </c>
      <c r="E170" s="104">
        <f t="shared" si="8"/>
        <v>0.13143795319409429</v>
      </c>
      <c r="F170" s="64">
        <v>0.29149999999999998</v>
      </c>
      <c r="G170" s="64">
        <f>E170-'ERPs by country'!$E$3</f>
        <v>8.9037953194094299E-2</v>
      </c>
      <c r="H170" s="82"/>
    </row>
    <row r="171" spans="1:11">
      <c r="A171" s="51" t="s">
        <v>322</v>
      </c>
      <c r="B171" s="148">
        <f t="shared" si="7"/>
        <v>66.25</v>
      </c>
      <c r="C171" s="64"/>
      <c r="D171" s="64">
        <f>G171/'ERPs by country'!$E$5</f>
        <v>3.8303918191549574E-2</v>
      </c>
      <c r="E171" s="104">
        <f t="shared" si="8"/>
        <v>8.6918976597047143E-2</v>
      </c>
      <c r="F171" s="104">
        <v>0.2</v>
      </c>
      <c r="G171" s="64">
        <f>E171-'ERPs by country'!$E$3</f>
        <v>4.4518976597047143E-2</v>
      </c>
      <c r="H171" s="82"/>
    </row>
    <row r="172" spans="1:11">
      <c r="A172" s="51" t="s">
        <v>336</v>
      </c>
      <c r="B172" s="148">
        <f t="shared" si="7"/>
        <v>63.5</v>
      </c>
      <c r="C172" s="64"/>
      <c r="D172" s="64">
        <f>G172/'ERPs by country'!$E$5</f>
        <v>5.5344939912038545E-2</v>
      </c>
      <c r="E172" s="104">
        <f t="shared" si="8"/>
        <v>0.10672501428150497</v>
      </c>
      <c r="F172" s="64">
        <v>0.2</v>
      </c>
      <c r="G172" s="64">
        <f>E172-'ERPs by country'!$E$3</f>
        <v>6.4325014281504972E-2</v>
      </c>
      <c r="H172" s="82"/>
    </row>
    <row r="173" spans="1:11">
      <c r="A173" s="51" t="s">
        <v>327</v>
      </c>
      <c r="B173" s="148">
        <f t="shared" si="7"/>
        <v>59.75</v>
      </c>
      <c r="C173" s="64"/>
      <c r="D173" s="64">
        <f>G173/'ERPs by country'!$E$5</f>
        <v>7.6607836383099148E-2</v>
      </c>
      <c r="E173" s="104">
        <f t="shared" si="8"/>
        <v>0.13143795319409429</v>
      </c>
      <c r="F173" s="64">
        <v>0.3</v>
      </c>
      <c r="G173" s="64">
        <f>E173-'ERPs by country'!$E$3</f>
        <v>8.9037953194094299E-2</v>
      </c>
      <c r="H173" s="82"/>
    </row>
    <row r="174" spans="1:11">
      <c r="A174" s="51" t="s">
        <v>335</v>
      </c>
      <c r="B174" s="148">
        <f t="shared" si="7"/>
        <v>53</v>
      </c>
      <c r="C174" s="64"/>
      <c r="D174" s="64">
        <f>G174/'ERPs by country'!$E$5</f>
        <v>0.10209260760473131</v>
      </c>
      <c r="E174" s="104">
        <f t="shared" si="8"/>
        <v>0.16105779333481501</v>
      </c>
      <c r="F174" s="64">
        <v>0.25</v>
      </c>
      <c r="G174" s="64">
        <f>E174-'ERPs by country'!$E$3</f>
        <v>0.11865779333481502</v>
      </c>
      <c r="H174" s="82"/>
    </row>
    <row r="175" spans="1:11">
      <c r="A175" s="51" t="s">
        <v>329</v>
      </c>
      <c r="B175" s="148">
        <f t="shared" si="7"/>
        <v>57</v>
      </c>
      <c r="C175" s="64"/>
      <c r="D175" s="64">
        <f>G175/'ERPs by country'!$E$5</f>
        <v>8.5051585884242345E-2</v>
      </c>
      <c r="E175" s="104">
        <f t="shared" si="8"/>
        <v>0.14125175565035719</v>
      </c>
      <c r="F175" s="64">
        <v>0.3</v>
      </c>
      <c r="G175" s="64">
        <f>E175-'ERPs by country'!$E$3</f>
        <v>9.8851755650357198E-2</v>
      </c>
      <c r="H175" s="82"/>
    </row>
    <row r="176" spans="1:11">
      <c r="A176" s="51" t="s">
        <v>315</v>
      </c>
      <c r="B176" s="148">
        <f t="shared" si="7"/>
        <v>51.5</v>
      </c>
      <c r="C176" s="64"/>
      <c r="D176" s="64">
        <f>G176/'ERPs by country'!$E$5</f>
        <v>0.10209260760473131</v>
      </c>
      <c r="E176" s="104">
        <f t="shared" si="8"/>
        <v>0.16105779333481501</v>
      </c>
      <c r="F176" s="64">
        <v>0.29149999999999998</v>
      </c>
      <c r="G176" s="64">
        <f>E176-'ERPs by country'!$E$3</f>
        <v>0.11865779333481502</v>
      </c>
      <c r="H176" s="82"/>
    </row>
    <row r="177" spans="1:8">
      <c r="A177" s="51" t="s">
        <v>319</v>
      </c>
      <c r="B177" s="148">
        <f t="shared" si="7"/>
        <v>36.25</v>
      </c>
      <c r="C177" s="64"/>
      <c r="D177" s="64">
        <f>G177/'ERPs by country'!$E$5</f>
        <v>0.17499999999999999</v>
      </c>
      <c r="E177" s="104">
        <f t="shared" si="8"/>
        <v>0.24579488157642376</v>
      </c>
      <c r="F177" s="64">
        <v>0.35</v>
      </c>
      <c r="G177" s="64">
        <f>E177-'ERPs by country'!$E$3</f>
        <v>0.20339488157642377</v>
      </c>
      <c r="H177" s="82"/>
    </row>
    <row r="178" spans="1:8">
      <c r="A178" s="51" t="s">
        <v>316</v>
      </c>
      <c r="B178" s="148">
        <f t="shared" si="7"/>
        <v>45.5</v>
      </c>
      <c r="C178" s="64"/>
      <c r="D178" s="64">
        <f>G178/'ERPs by country'!$E$5</f>
        <v>0.17499999999999999</v>
      </c>
      <c r="E178" s="104">
        <f t="shared" si="8"/>
        <v>0.24579488157642376</v>
      </c>
      <c r="F178" s="64">
        <v>0.28000000000000003</v>
      </c>
      <c r="G178" s="64">
        <f>E178-'ERPs by country'!$E$3</f>
        <v>0.20339488157642377</v>
      </c>
      <c r="H178" s="82"/>
    </row>
    <row r="179" spans="1:8">
      <c r="A179" s="51" t="s">
        <v>323</v>
      </c>
      <c r="B179" s="148">
        <f t="shared" si="7"/>
        <v>52.75</v>
      </c>
      <c r="C179" s="64"/>
      <c r="D179" s="64">
        <f>G179/'ERPs by country'!$E$5</f>
        <v>0.10209260760473131</v>
      </c>
      <c r="E179" s="104">
        <f t="shared" si="8"/>
        <v>0.16105779333481501</v>
      </c>
      <c r="F179" s="64">
        <v>0.2</v>
      </c>
      <c r="G179" s="64">
        <f>E179-'ERPs by country'!$E$3</f>
        <v>0.11865779333481502</v>
      </c>
    </row>
    <row r="180" spans="1:8">
      <c r="A180" s="51" t="s">
        <v>320</v>
      </c>
      <c r="B180" s="148">
        <f>VLOOKUP(A180,$N$4:$O$145,2,FALSE)</f>
        <v>61</v>
      </c>
      <c r="C180" s="64"/>
      <c r="D180" s="64">
        <f>G180/'ERPs by country'!$E$5</f>
        <v>6.3788689413181762E-2</v>
      </c>
      <c r="E180" s="104">
        <f t="shared" si="8"/>
        <v>0.11653881673776789</v>
      </c>
      <c r="F180" s="64">
        <v>0.25</v>
      </c>
      <c r="G180" s="64">
        <f>E180-'ERPs by country'!$E$3</f>
        <v>7.4138816737767899E-2</v>
      </c>
    </row>
    <row r="181" spans="1:8" ht="13">
      <c r="A181"/>
      <c r="B181" s="87"/>
      <c r="C181"/>
      <c r="D181"/>
    </row>
  </sheetData>
  <sortState xmlns:xlrd2="http://schemas.microsoft.com/office/spreadsheetml/2017/richdata2" ref="N2:O142">
    <sortCondition ref="N2:N142"/>
  </sortState>
  <mergeCells count="3">
    <mergeCell ref="I1:J1"/>
    <mergeCell ref="N1:N3"/>
    <mergeCell ref="O1:O3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4C96-9AF2-BA45-8E66-CC7A4AFE4F76}">
  <dimension ref="A1:A9"/>
  <sheetViews>
    <sheetView workbookViewId="0">
      <selection activeCell="A4" sqref="A4"/>
    </sheetView>
  </sheetViews>
  <sheetFormatPr baseColWidth="10" defaultRowHeight="13"/>
  <sheetData>
    <row r="1" spans="1:1">
      <c r="A1" t="s">
        <v>505</v>
      </c>
    </row>
    <row r="2" spans="1:1">
      <c r="A2" t="s">
        <v>506</v>
      </c>
    </row>
    <row r="3" spans="1:1">
      <c r="A3" t="s">
        <v>507</v>
      </c>
    </row>
    <row r="4" spans="1:1">
      <c r="A4" t="s">
        <v>508</v>
      </c>
    </row>
    <row r="5" spans="1:1">
      <c r="A5" t="s">
        <v>509</v>
      </c>
    </row>
    <row r="6" spans="1:1">
      <c r="A6" t="s">
        <v>510</v>
      </c>
    </row>
    <row r="7" spans="1:1">
      <c r="A7" t="s">
        <v>511</v>
      </c>
    </row>
    <row r="8" spans="1:1">
      <c r="A8" t="s">
        <v>512</v>
      </c>
    </row>
    <row r="9" spans="1:1">
      <c r="A9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abSelected="1" workbookViewId="0">
      <selection activeCell="B11" sqref="B11"/>
    </sheetView>
  </sheetViews>
  <sheetFormatPr baseColWidth="10" defaultRowHeight="16"/>
  <cols>
    <col min="1" max="1" width="35.6640625" style="43" bestFit="1" customWidth="1"/>
    <col min="2" max="2" width="22" customWidth="1"/>
  </cols>
  <sheetData>
    <row r="1" spans="1:4" s="42" customFormat="1" ht="19">
      <c r="A1" s="42" t="s">
        <v>256</v>
      </c>
    </row>
    <row r="2" spans="1:4">
      <c r="A2" s="43" t="s">
        <v>75</v>
      </c>
      <c r="B2" s="44" t="s">
        <v>111</v>
      </c>
      <c r="D2" s="1" t="s">
        <v>339</v>
      </c>
    </row>
    <row r="3" spans="1:4">
      <c r="B3" s="43"/>
      <c r="D3" s="1" t="s">
        <v>340</v>
      </c>
    </row>
    <row r="4" spans="1:4">
      <c r="A4" s="43" t="s">
        <v>259</v>
      </c>
      <c r="B4" s="46" t="str">
        <f>VLOOKUP(B2,'Ratings worksheet'!$A$2:$C$158,3, FALSE)</f>
        <v>Baa3</v>
      </c>
      <c r="C4" t="s">
        <v>261</v>
      </c>
    </row>
    <row r="5" spans="1:4">
      <c r="A5" s="43" t="s">
        <v>260</v>
      </c>
      <c r="B5" s="46" t="str">
        <f>VLOOKUP(B2,'Ratings worksheet'!$A$2:$C$158,2, FALSE)</f>
        <v>BBB-</v>
      </c>
      <c r="C5" t="s">
        <v>261</v>
      </c>
    </row>
    <row r="6" spans="1:4">
      <c r="A6" s="43" t="s">
        <v>258</v>
      </c>
      <c r="B6" s="47">
        <f>VLOOKUP(B2,'10-year CDS Spreads'!A2:D158,3, FALSE)</f>
        <v>1.44E-2</v>
      </c>
    </row>
    <row r="7" spans="1:4">
      <c r="A7" s="43" t="s">
        <v>268</v>
      </c>
      <c r="B7" s="47">
        <f>IF(B6="NA","NA",VLOOKUP(B2,'ERPs by country'!A8:I164,9,FALSE)/'ERPs by country'!E5)</f>
        <v>1.2499999999999999E-2</v>
      </c>
    </row>
    <row r="8" spans="1:4">
      <c r="B8" s="45"/>
    </row>
    <row r="9" spans="1:4">
      <c r="A9" s="43" t="s">
        <v>351</v>
      </c>
      <c r="B9" s="83">
        <f>VLOOKUP(B2,'ERPs by country'!A8:I164,4,FALSE)</f>
        <v>1.8729771620717626E-2</v>
      </c>
    </row>
    <row r="10" spans="1:4">
      <c r="A10" s="43" t="s">
        <v>262</v>
      </c>
      <c r="B10" s="47">
        <f>VLOOKUP(B2,'ERPs by country'!A8:I164,6,FALSE)</f>
        <v>2.1768798175710428E-2</v>
      </c>
    </row>
    <row r="11" spans="1:4">
      <c r="A11" s="43" t="s">
        <v>263</v>
      </c>
      <c r="B11" s="47">
        <f>VLOOKUP(B2,'ERPs by country'!A8:I164,5,FALSE)</f>
        <v>6.4168798175710431E-2</v>
      </c>
    </row>
    <row r="12" spans="1:4">
      <c r="B12" s="45"/>
    </row>
    <row r="13" spans="1:4">
      <c r="A13" s="43" t="s">
        <v>264</v>
      </c>
      <c r="B13" s="47">
        <f>VLOOKUP(B2,'ERPs by country'!A8:I164,9,FALSE)</f>
        <v>1.4528205826887413E-2</v>
      </c>
    </row>
    <row r="14" spans="1:4">
      <c r="A14" s="43" t="s">
        <v>265</v>
      </c>
      <c r="B14" s="47">
        <f>VLOOKUP(B2,'ERPs by country'!A8:I164,8,FALSE)</f>
        <v>5.6928205826887415E-2</v>
      </c>
    </row>
    <row r="16" spans="1:4" ht="19">
      <c r="A16" s="42" t="s">
        <v>257</v>
      </c>
    </row>
    <row r="17" spans="1:2">
      <c r="A17" s="43" t="s">
        <v>52</v>
      </c>
      <c r="B17" s="48" t="s">
        <v>54</v>
      </c>
    </row>
    <row r="19" spans="1:2">
      <c r="A19" s="43" t="s">
        <v>279</v>
      </c>
      <c r="B19" s="49">
        <f>VLOOKUP(B17,'Regional Simple Averages'!$A$5:$E$13,3,FALSE)</f>
        <v>3.7980690025536924E-2</v>
      </c>
    </row>
    <row r="20" spans="1:2">
      <c r="A20" s="43" t="s">
        <v>280</v>
      </c>
      <c r="B20" s="49">
        <f>VLOOKUP(B17,'Regional Simple Averages'!$A$5:$E$13,4,FALSE)</f>
        <v>8.0380690025536924E-2</v>
      </c>
    </row>
    <row r="22" spans="1:2">
      <c r="A22" s="43" t="s">
        <v>266</v>
      </c>
      <c r="B22" s="49">
        <f>VLOOKUP(B17,'Regional Weighted Averages'!A171:C179,3,FALSE)</f>
        <v>6.8341313968104625E-2</v>
      </c>
    </row>
    <row r="23" spans="1:2">
      <c r="A23" s="43" t="s">
        <v>267</v>
      </c>
      <c r="B23" s="49">
        <f>VLOOKUP(B17,'Regional Weighted Averages'!A171:C179,2,FALSE)</f>
        <v>0.11074131396810462</v>
      </c>
    </row>
    <row r="25" spans="1:2">
      <c r="A25" s="66" t="s">
        <v>352</v>
      </c>
    </row>
    <row r="27" spans="1:2" s="99" customFormat="1" ht="19">
      <c r="A27" s="42" t="s">
        <v>386</v>
      </c>
    </row>
    <row r="28" spans="1:2">
      <c r="A28" s="43" t="s">
        <v>75</v>
      </c>
      <c r="B28" s="44" t="s">
        <v>385</v>
      </c>
    </row>
    <row r="30" spans="1:2">
      <c r="A30" s="43" t="s">
        <v>349</v>
      </c>
      <c r="B30" s="97">
        <f>VLOOKUP(B28,'PRS Worksheet'!A161:E180,2,FALSE)</f>
        <v>51.5</v>
      </c>
    </row>
    <row r="31" spans="1:2">
      <c r="A31" s="43" t="s">
        <v>387</v>
      </c>
      <c r="B31" s="98">
        <f>VLOOKUP(B28,'PRS Worksheet'!A161:E180,5,FALSE)</f>
        <v>0.16105779333481501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country'!$A$8:$A$164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Worksheet'!$A$161:$A$180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10"/>
  <sheetViews>
    <sheetView zoomScale="87" zoomScaleNormal="87" workbookViewId="0">
      <selection activeCell="C43" sqref="C43"/>
    </sheetView>
  </sheetViews>
  <sheetFormatPr baseColWidth="10" defaultRowHeight="13"/>
  <cols>
    <col min="1" max="1" width="35.83203125" style="21" customWidth="1"/>
    <col min="2" max="2" width="25.83203125" style="21" customWidth="1"/>
    <col min="3" max="3" width="25.83203125" customWidth="1"/>
    <col min="4" max="4" width="26.6640625" customWidth="1"/>
    <col min="5" max="5" width="25.83203125" customWidth="1"/>
    <col min="6" max="6" width="21.83203125" customWidth="1"/>
    <col min="7" max="7" width="24.1640625" customWidth="1"/>
    <col min="8" max="8" width="26.5" customWidth="1"/>
    <col min="9" max="9" width="22.83203125" customWidth="1"/>
    <col min="10" max="51" width="10.83203125" style="193"/>
  </cols>
  <sheetData>
    <row r="1" spans="1:51" ht="16">
      <c r="A1" s="116" t="s">
        <v>490</v>
      </c>
      <c r="B1" s="116"/>
      <c r="C1" s="7"/>
      <c r="D1" s="7"/>
      <c r="E1" s="7"/>
      <c r="F1" s="7"/>
      <c r="G1" s="7"/>
      <c r="H1" s="7"/>
      <c r="I1" s="7"/>
      <c r="J1" s="192"/>
      <c r="K1" s="192"/>
      <c r="L1" s="192"/>
    </row>
    <row r="2" spans="1:51" ht="16">
      <c r="A2" s="6" t="s">
        <v>491</v>
      </c>
      <c r="B2" s="215">
        <v>43100</v>
      </c>
      <c r="C2" s="4"/>
      <c r="D2" s="4"/>
      <c r="E2" s="4"/>
      <c r="F2" s="4"/>
      <c r="G2" s="4"/>
      <c r="H2" s="4"/>
      <c r="I2" s="4"/>
      <c r="J2" s="194"/>
      <c r="K2" s="194"/>
      <c r="L2" s="194"/>
    </row>
    <row r="3" spans="1:51">
      <c r="A3" s="21" t="s">
        <v>72</v>
      </c>
      <c r="E3" s="14">
        <v>4.24E-2</v>
      </c>
      <c r="F3" s="1" t="s">
        <v>561</v>
      </c>
    </row>
    <row r="4" spans="1:51">
      <c r="A4" s="21" t="s">
        <v>141</v>
      </c>
      <c r="E4" s="15" t="s">
        <v>73</v>
      </c>
      <c r="F4" s="20"/>
      <c r="G4" s="20"/>
    </row>
    <row r="5" spans="1:51">
      <c r="A5" s="21" t="s">
        <v>142</v>
      </c>
      <c r="E5" s="95">
        <f>'Relative Equity Volatility'!B4</f>
        <v>1.1622564661509931</v>
      </c>
      <c r="F5" s="106" t="s">
        <v>561</v>
      </c>
      <c r="G5" s="20"/>
    </row>
    <row r="6" spans="1:51">
      <c r="F6" s="3"/>
      <c r="G6" s="3"/>
      <c r="H6" s="3"/>
      <c r="I6" s="3"/>
    </row>
    <row r="7" spans="1:51" s="2" customFormat="1" ht="17">
      <c r="A7" s="121" t="s">
        <v>75</v>
      </c>
      <c r="B7" s="122" t="s">
        <v>128</v>
      </c>
      <c r="C7" s="123" t="s">
        <v>271</v>
      </c>
      <c r="D7" s="124" t="s">
        <v>139</v>
      </c>
      <c r="E7" s="124" t="s">
        <v>140</v>
      </c>
      <c r="F7" s="124" t="s">
        <v>37</v>
      </c>
      <c r="G7" s="125" t="s">
        <v>398</v>
      </c>
      <c r="H7" s="124" t="s">
        <v>456</v>
      </c>
      <c r="I7" s="126" t="s">
        <v>457</v>
      </c>
      <c r="J7" s="195" t="s">
        <v>38</v>
      </c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</row>
    <row r="8" spans="1:51" ht="16">
      <c r="A8" s="120" t="str">
        <f>'Sovereign Ratings (Moody''s,S&amp;P)'!A2</f>
        <v>Abu Dhabi</v>
      </c>
      <c r="B8" s="115" t="str">
        <f>VLOOKUP(A8,'Regional lookup table'!$A$2:$B$161,2)</f>
        <v>Middle East</v>
      </c>
      <c r="C8" s="11" t="str">
        <f>'Sovereign Ratings (Moody''s,S&amp;P)'!C2</f>
        <v>Aa2</v>
      </c>
      <c r="D8" s="23">
        <f>VLOOKUP(C8,$J$9:$K$31,2,FALSE)/10000</f>
        <v>4.2218747505715949E-3</v>
      </c>
      <c r="E8" s="23">
        <f>$E$3+F8</f>
        <v>4.730690122813145E-2</v>
      </c>
      <c r="F8" s="13">
        <f>IF($E$4="Yes",D8*$E$5,D8)</f>
        <v>4.9069012281314477E-3</v>
      </c>
      <c r="G8" s="13">
        <f>VLOOKUP(A8,'10-year CDS Spreads'!$A$2:$D$157,4)</f>
        <v>5.8000000000000005E-3</v>
      </c>
      <c r="H8" s="13">
        <f>IF(I8="NA","NA",$E$3+I8)</f>
        <v>4.9141087503675761E-2</v>
      </c>
      <c r="I8" s="16">
        <f>IF(G8="NA","NA",G8*$E$5)</f>
        <v>6.7410875036757606E-3</v>
      </c>
      <c r="J8" s="197" t="s">
        <v>39</v>
      </c>
      <c r="K8" s="197" t="s">
        <v>40</v>
      </c>
    </row>
    <row r="9" spans="1:51" ht="16">
      <c r="A9" s="120" t="str">
        <f>'Sovereign Ratings (Moody''s,S&amp;P)'!A3</f>
        <v>Albania</v>
      </c>
      <c r="B9" s="115" t="str">
        <f>VLOOKUP(A9,'Regional lookup table'!$A$3:$B$161,2)</f>
        <v>Eastern Europe &amp; Russia</v>
      </c>
      <c r="C9" s="11" t="str">
        <f>'Sovereign Ratings (Moody''s,S&amp;P)'!C3</f>
        <v>B1</v>
      </c>
      <c r="D9" s="23">
        <f t="shared" ref="D9:D72" si="0">VLOOKUP(C9,$J$9:$K$31,2,FALSE)/10000</f>
        <v>3.8303918191549574E-2</v>
      </c>
      <c r="E9" s="23">
        <f t="shared" ref="E9:E72" si="1">$E$3+F9</f>
        <v>8.6918976597047143E-2</v>
      </c>
      <c r="F9" s="13">
        <f t="shared" ref="F9:F72" si="2">IF($E$4="Yes",D9*$E$5,D9)</f>
        <v>4.451897659704715E-2</v>
      </c>
      <c r="G9" s="13" t="str">
        <f>VLOOKUP(A9,'10-year CDS Spreads'!$A$2:$D$157,4)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8" t="s">
        <v>41</v>
      </c>
      <c r="K9" s="198">
        <f t="shared" ref="K9:K22" si="5">C189</f>
        <v>59.873860099015367</v>
      </c>
    </row>
    <row r="10" spans="1:51" ht="16">
      <c r="A10" s="120" t="str">
        <f>'Sovereign Ratings (Moody''s,S&amp;P)'!A4</f>
        <v>Andorra (Principality of)</v>
      </c>
      <c r="B10" s="115" t="str">
        <f>VLOOKUP(A10,'Regional lookup table'!$A$3:$B$161,2)</f>
        <v>Western Europe</v>
      </c>
      <c r="C10" s="11" t="str">
        <f>'Sovereign Ratings (Moody''s,S&amp;P)'!C4</f>
        <v>Baa2</v>
      </c>
      <c r="D10" s="23">
        <f t="shared" si="0"/>
        <v>1.6196646770374669E-2</v>
      </c>
      <c r="E10" s="23">
        <f t="shared" si="1"/>
        <v>6.1224657438831556E-2</v>
      </c>
      <c r="F10" s="13">
        <f t="shared" si="2"/>
        <v>1.8824657438831559E-2</v>
      </c>
      <c r="G10" s="13" t="str">
        <f>VLOOKUP(A10,'10-year CDS Spreads'!$A$2:$D$157,4)</f>
        <v>NA</v>
      </c>
      <c r="H10" s="13" t="str">
        <f t="shared" si="3"/>
        <v>NA</v>
      </c>
      <c r="I10" s="16" t="str">
        <f t="shared" si="4"/>
        <v>NA</v>
      </c>
      <c r="J10" s="8" t="s">
        <v>42</v>
      </c>
      <c r="K10" s="198">
        <f t="shared" si="5"/>
        <v>72.155677555223633</v>
      </c>
    </row>
    <row r="11" spans="1:51" ht="16">
      <c r="A11" s="120" t="str">
        <f>'Sovereign Ratings (Moody''s,S&amp;P)'!A5</f>
        <v>Angola</v>
      </c>
      <c r="B11" s="115" t="str">
        <f>VLOOKUP(A11,'Regional lookup table'!$A$3:$B$161,2)</f>
        <v>Africa</v>
      </c>
      <c r="C11" s="11" t="str">
        <f>'Sovereign Ratings (Moody''s,S&amp;P)'!C5</f>
        <v>B3</v>
      </c>
      <c r="D11" s="23">
        <f t="shared" si="0"/>
        <v>5.5344939912038545E-2</v>
      </c>
      <c r="E11" s="23">
        <f t="shared" si="1"/>
        <v>0.10672501428150497</v>
      </c>
      <c r="F11" s="13">
        <f t="shared" si="2"/>
        <v>6.4325014281504972E-2</v>
      </c>
      <c r="G11" s="13">
        <f>VLOOKUP(A11,'10-year CDS Spreads'!$A$2:$D$157,4)</f>
        <v>5.7500000000000002E-2</v>
      </c>
      <c r="H11" s="13">
        <f t="shared" si="3"/>
        <v>0.10922974680368211</v>
      </c>
      <c r="I11" s="16">
        <f t="shared" si="4"/>
        <v>6.6829746803682102E-2</v>
      </c>
      <c r="J11" s="8" t="s">
        <v>43</v>
      </c>
      <c r="K11" s="198">
        <f t="shared" si="5"/>
        <v>102.09260760473134</v>
      </c>
    </row>
    <row r="12" spans="1:51" ht="16">
      <c r="A12" s="120" t="str">
        <f>'Sovereign Ratings (Moody''s,S&amp;P)'!A6</f>
        <v>Argentina</v>
      </c>
      <c r="B12" s="115" t="str">
        <f>VLOOKUP(A12,'Regional lookup table'!$A$3:$B$161,2)</f>
        <v>Central and South America</v>
      </c>
      <c r="C12" s="11" t="str">
        <f>'Sovereign Ratings (Moody''s,S&amp;P)'!C6</f>
        <v>Ca</v>
      </c>
      <c r="D12" s="23">
        <f t="shared" si="0"/>
        <v>0.10209260760473131</v>
      </c>
      <c r="E12" s="23">
        <f t="shared" si="1"/>
        <v>0.16105779333481501</v>
      </c>
      <c r="F12" s="13">
        <f t="shared" si="2"/>
        <v>0.11865779333481502</v>
      </c>
      <c r="G12" s="13">
        <f>VLOOKUP(A12,'10-year CDS Spreads'!$A$2:$D$157,4)</f>
        <v>0.23129999999999998</v>
      </c>
      <c r="H12" s="13">
        <f t="shared" si="3"/>
        <v>0.31122992062072469</v>
      </c>
      <c r="I12" s="16">
        <f t="shared" si="4"/>
        <v>0.26882992062072469</v>
      </c>
      <c r="J12" s="8" t="s">
        <v>44</v>
      </c>
      <c r="K12" s="198">
        <f t="shared" si="5"/>
        <v>33.774998004572765</v>
      </c>
    </row>
    <row r="13" spans="1:51" ht="16">
      <c r="A13" s="120" t="str">
        <f>'Sovereign Ratings (Moody''s,S&amp;P)'!A7</f>
        <v>Armenia</v>
      </c>
      <c r="B13" s="115" t="str">
        <f>VLOOKUP(A13,'Regional lookup table'!$A$3:$B$161,2)</f>
        <v>Eastern Europe &amp; Russia</v>
      </c>
      <c r="C13" s="11" t="str">
        <f>'Sovereign Ratings (Moody''s,S&amp;P)'!C7</f>
        <v>Ba3</v>
      </c>
      <c r="D13" s="23">
        <f t="shared" si="0"/>
        <v>3.0627782281419401E-2</v>
      </c>
      <c r="E13" s="23">
        <f t="shared" si="1"/>
        <v>7.7997338000444505E-2</v>
      </c>
      <c r="F13" s="13">
        <f t="shared" si="2"/>
        <v>3.5597338000444512E-2</v>
      </c>
      <c r="G13" s="13" t="str">
        <f>VLOOKUP(A13,'10-year CDS Spreads'!$A$2:$D$157,4)</f>
        <v>NA</v>
      </c>
      <c r="H13" s="13" t="str">
        <f t="shared" si="3"/>
        <v>NA</v>
      </c>
      <c r="I13" s="16" t="str">
        <f t="shared" si="4"/>
        <v>NA</v>
      </c>
      <c r="J13" s="8" t="s">
        <v>45</v>
      </c>
      <c r="K13" s="198">
        <f t="shared" si="5"/>
        <v>42.218747505715953</v>
      </c>
    </row>
    <row r="14" spans="1:51" ht="16">
      <c r="A14" s="120" t="str">
        <f>'Sovereign Ratings (Moody''s,S&amp;P)'!A8</f>
        <v>Aruba</v>
      </c>
      <c r="B14" s="115" t="str">
        <f>VLOOKUP(A14,'Regional lookup table'!$A$3:$B$161,2)</f>
        <v>Caribbean</v>
      </c>
      <c r="C14" s="11" t="str">
        <f>'Sovereign Ratings (Moody''s,S&amp;P)'!C8</f>
        <v>Baa2</v>
      </c>
      <c r="D14" s="23">
        <f t="shared" si="0"/>
        <v>1.6196646770374669E-2</v>
      </c>
      <c r="E14" s="23">
        <f t="shared" si="1"/>
        <v>6.1224657438831556E-2</v>
      </c>
      <c r="F14" s="13">
        <f t="shared" si="2"/>
        <v>1.8824657438831559E-2</v>
      </c>
      <c r="G14" s="13" t="str">
        <f>VLOOKUP(A14,'10-year CDS Spreads'!$A$2:$D$157,4)</f>
        <v>NA</v>
      </c>
      <c r="H14" s="13" t="str">
        <f t="shared" si="3"/>
        <v>NA</v>
      </c>
      <c r="I14" s="16" t="str">
        <f t="shared" si="4"/>
        <v>NA</v>
      </c>
      <c r="J14" s="8" t="s">
        <v>46</v>
      </c>
      <c r="K14" s="198">
        <f t="shared" si="5"/>
        <v>51.430110597872172</v>
      </c>
    </row>
    <row r="15" spans="1:51" ht="16">
      <c r="A15" s="120" t="str">
        <f>'Sovereign Ratings (Moody''s,S&amp;P)'!A9</f>
        <v>Australia</v>
      </c>
      <c r="B15" s="115" t="str">
        <f>VLOOKUP(A15,'Regional lookup table'!$A$3:$B$161,2)</f>
        <v>Australia &amp; New Zealand</v>
      </c>
      <c r="C15" s="11" t="str">
        <f>'Sovereign Ratings (Moody''s,S&amp;P)'!C9</f>
        <v>Aaa</v>
      </c>
      <c r="D15" s="23">
        <f t="shared" si="0"/>
        <v>0</v>
      </c>
      <c r="E15" s="23">
        <f t="shared" si="1"/>
        <v>4.24E-2</v>
      </c>
      <c r="F15" s="13">
        <f t="shared" si="2"/>
        <v>0</v>
      </c>
      <c r="G15" s="13">
        <f>VLOOKUP(A15,'10-year CDS Spreads'!$A$2:$D$157,4)</f>
        <v>3.9999999999999996E-4</v>
      </c>
      <c r="H15" s="13">
        <f t="shared" si="3"/>
        <v>4.2864902586460397E-2</v>
      </c>
      <c r="I15" s="16">
        <f t="shared" si="4"/>
        <v>4.6490258646039717E-4</v>
      </c>
      <c r="J15" s="8" t="s">
        <v>47</v>
      </c>
      <c r="K15" s="198">
        <f t="shared" si="5"/>
        <v>0</v>
      </c>
    </row>
    <row r="16" spans="1:51" ht="16">
      <c r="A16" s="120" t="str">
        <f>'Sovereign Ratings (Moody''s,S&amp;P)'!A10</f>
        <v>Austria</v>
      </c>
      <c r="B16" s="115" t="str">
        <f>VLOOKUP(A16,'Regional lookup table'!$A$3:$B$161,2)</f>
        <v>Western Europe</v>
      </c>
      <c r="C16" s="11" t="str">
        <f>'Sovereign Ratings (Moody''s,S&amp;P)'!C10</f>
        <v>Aa1</v>
      </c>
      <c r="D16" s="23">
        <f t="shared" si="0"/>
        <v>3.3774998004572764E-3</v>
      </c>
      <c r="E16" s="23">
        <f t="shared" si="1"/>
        <v>4.6325520982505156E-2</v>
      </c>
      <c r="F16" s="13">
        <f t="shared" si="2"/>
        <v>3.925520982505158E-3</v>
      </c>
      <c r="G16" s="13">
        <f>VLOOKUP(A16,'10-year CDS Spreads'!$A$2:$D$157,4)</f>
        <v>0</v>
      </c>
      <c r="H16" s="13">
        <f t="shared" si="3"/>
        <v>4.24E-2</v>
      </c>
      <c r="I16" s="16">
        <f t="shared" si="4"/>
        <v>0</v>
      </c>
      <c r="J16" s="8" t="s">
        <v>48</v>
      </c>
      <c r="K16" s="198">
        <f t="shared" si="5"/>
        <v>383.03918191549576</v>
      </c>
    </row>
    <row r="17" spans="1:11" ht="16">
      <c r="A17" s="120" t="str">
        <f>'Sovereign Ratings (Moody''s,S&amp;P)'!A11</f>
        <v>Azerbaijan</v>
      </c>
      <c r="B17" s="115" t="str">
        <f>VLOOKUP(A17,'Regional lookup table'!$A$3:$B$161,2)</f>
        <v>Eastern Europe &amp; Russia</v>
      </c>
      <c r="C17" s="11" t="str">
        <f>'Sovereign Ratings (Moody''s,S&amp;P)'!C11</f>
        <v>Ba2</v>
      </c>
      <c r="D17" s="23">
        <f t="shared" si="0"/>
        <v>2.5561532580733477E-2</v>
      </c>
      <c r="E17" s="23">
        <f t="shared" si="1"/>
        <v>7.2109056526686768E-2</v>
      </c>
      <c r="F17" s="13">
        <f t="shared" si="2"/>
        <v>2.9709056526686765E-2</v>
      </c>
      <c r="G17" s="13" t="str">
        <f>VLOOKUP(A17,'10-year CDS Spreads'!$A$2:$D$157,4)</f>
        <v>NA</v>
      </c>
      <c r="H17" s="13" t="str">
        <f t="shared" si="3"/>
        <v>NA</v>
      </c>
      <c r="I17" s="16" t="str">
        <f t="shared" si="4"/>
        <v>NA</v>
      </c>
      <c r="J17" s="8" t="s">
        <v>49</v>
      </c>
      <c r="K17" s="198">
        <f t="shared" si="5"/>
        <v>468.24429051794061</v>
      </c>
    </row>
    <row r="18" spans="1:11" ht="16">
      <c r="A18" s="120" t="str">
        <f>'Sovereign Ratings (Moody''s,S&amp;P)'!A12</f>
        <v>Bahamas</v>
      </c>
      <c r="B18" s="115" t="str">
        <f>VLOOKUP(A18,'Regional lookup table'!$A$3:$B$161,2)</f>
        <v>Caribbean</v>
      </c>
      <c r="C18" s="11" t="str">
        <f>'Sovereign Ratings (Moody''s,S&amp;P)'!C12</f>
        <v>Ba3</v>
      </c>
      <c r="D18" s="23">
        <f t="shared" si="0"/>
        <v>3.0627782281419401E-2</v>
      </c>
      <c r="E18" s="23">
        <f t="shared" si="1"/>
        <v>7.7997338000444505E-2</v>
      </c>
      <c r="F18" s="13">
        <f t="shared" si="2"/>
        <v>3.5597338000444512E-2</v>
      </c>
      <c r="G18" s="13" t="str">
        <f>VLOOKUP(A18,'10-year CDS Spreads'!$A$2:$D$157,4)</f>
        <v>NA</v>
      </c>
      <c r="H18" s="13" t="str">
        <f t="shared" si="3"/>
        <v>NA</v>
      </c>
      <c r="I18" s="16" t="str">
        <f t="shared" si="4"/>
        <v>NA</v>
      </c>
      <c r="J18" s="8" t="s">
        <v>78</v>
      </c>
      <c r="K18" s="198">
        <f t="shared" si="5"/>
        <v>553.44939912038546</v>
      </c>
    </row>
    <row r="19" spans="1:11" ht="16">
      <c r="A19" s="120" t="str">
        <f>'Sovereign Ratings (Moody''s,S&amp;P)'!A13</f>
        <v>Bahrain</v>
      </c>
      <c r="B19" s="115" t="str">
        <f>VLOOKUP(A19,'Regional lookup table'!$A$3:$B$161,2)</f>
        <v>Middle East</v>
      </c>
      <c r="C19" s="11" t="str">
        <f>'Sovereign Ratings (Moody''s,S&amp;P)'!C13</f>
        <v>B2</v>
      </c>
      <c r="D19" s="23">
        <f t="shared" si="0"/>
        <v>4.6824429051794063E-2</v>
      </c>
      <c r="E19" s="23">
        <f t="shared" si="1"/>
        <v>9.6821995439276054E-2</v>
      </c>
      <c r="F19" s="13">
        <f t="shared" si="2"/>
        <v>5.4421995439276061E-2</v>
      </c>
      <c r="G19" s="13">
        <f>VLOOKUP(A19,'10-year CDS Spreads'!$A$2:$D$157,4)</f>
        <v>3.2100000000000004E-2</v>
      </c>
      <c r="H19" s="13">
        <f t="shared" si="3"/>
        <v>7.9708432563446882E-2</v>
      </c>
      <c r="I19" s="16">
        <f t="shared" si="4"/>
        <v>3.7308432563446882E-2</v>
      </c>
      <c r="J19" s="8" t="s">
        <v>79</v>
      </c>
      <c r="K19" s="198">
        <f t="shared" si="5"/>
        <v>212.62896471060586</v>
      </c>
    </row>
    <row r="20" spans="1:11" ht="16">
      <c r="A20" s="120" t="str">
        <f>'Sovereign Ratings (Moody''s,S&amp;P)'!A14</f>
        <v>Bangladesh</v>
      </c>
      <c r="B20" s="115" t="str">
        <f>VLOOKUP(A20,'Regional lookup table'!$A$3:$B$161,2)</f>
        <v>Asia</v>
      </c>
      <c r="C20" s="11" t="str">
        <f>'Sovereign Ratings (Moody''s,S&amp;P)'!C14</f>
        <v>Ba3</v>
      </c>
      <c r="D20" s="23">
        <f t="shared" si="0"/>
        <v>3.0627782281419401E-2</v>
      </c>
      <c r="E20" s="23">
        <f t="shared" si="1"/>
        <v>7.7997338000444505E-2</v>
      </c>
      <c r="F20" s="13">
        <f t="shared" si="2"/>
        <v>3.5597338000444512E-2</v>
      </c>
      <c r="G20" s="13" t="str">
        <f>VLOOKUP(A20,'10-year CDS Spreads'!$A$2:$D$157,4)</f>
        <v>NA</v>
      </c>
      <c r="H20" s="13" t="str">
        <f t="shared" si="3"/>
        <v>NA</v>
      </c>
      <c r="I20" s="16" t="str">
        <f t="shared" si="4"/>
        <v>NA</v>
      </c>
      <c r="J20" s="8" t="s">
        <v>80</v>
      </c>
      <c r="K20" s="198">
        <f t="shared" si="5"/>
        <v>255.61532580733476</v>
      </c>
    </row>
    <row r="21" spans="1:11" ht="16">
      <c r="A21" s="120" t="str">
        <f>'Sovereign Ratings (Moody''s,S&amp;P)'!A15</f>
        <v>Barbados</v>
      </c>
      <c r="B21" s="115" t="str">
        <f>VLOOKUP(A21,'Regional lookup table'!$A$3:$B$161,2)</f>
        <v>Caribbean</v>
      </c>
      <c r="C21" s="11" t="str">
        <f>'Sovereign Ratings (Moody''s,S&amp;P)'!C15</f>
        <v>Caa1</v>
      </c>
      <c r="D21" s="23">
        <f t="shared" si="0"/>
        <v>6.3788689413181762E-2</v>
      </c>
      <c r="E21" s="23">
        <f t="shared" si="1"/>
        <v>0.11653881673776789</v>
      </c>
      <c r="F21" s="13">
        <f t="shared" si="2"/>
        <v>7.4138816737767899E-2</v>
      </c>
      <c r="G21" s="13" t="str">
        <f>VLOOKUP(A21,'10-year CDS Spreads'!$A$2:$D$157,4)</f>
        <v>NA</v>
      </c>
      <c r="H21" s="13" t="str">
        <f t="shared" si="3"/>
        <v>NA</v>
      </c>
      <c r="I21" s="16" t="str">
        <f t="shared" si="4"/>
        <v>NA</v>
      </c>
      <c r="J21" s="8" t="s">
        <v>81</v>
      </c>
      <c r="K21" s="198">
        <f t="shared" si="5"/>
        <v>306.277822814194</v>
      </c>
    </row>
    <row r="22" spans="1:11" ht="16">
      <c r="A22" s="120" t="str">
        <f>'Sovereign Ratings (Moody''s,S&amp;P)'!A16</f>
        <v>Belarus</v>
      </c>
      <c r="B22" s="115" t="str">
        <f>VLOOKUP(A22,'Regional lookup table'!$A$3:$B$161,2)</f>
        <v>Eastern Europe &amp; Russia</v>
      </c>
      <c r="C22" s="11" t="str">
        <f>'Sovereign Ratings (Moody''s,S&amp;P)'!C16</f>
        <v>B3</v>
      </c>
      <c r="D22" s="23">
        <f t="shared" si="0"/>
        <v>5.5344939912038545E-2</v>
      </c>
      <c r="E22" s="23">
        <f t="shared" si="1"/>
        <v>0.10672501428150497</v>
      </c>
      <c r="F22" s="13">
        <f t="shared" si="2"/>
        <v>6.4325014281504972E-2</v>
      </c>
      <c r="G22" s="13" t="str">
        <f>VLOOKUP(A22,'10-year CDS Spreads'!$A$2:$D$157,4)</f>
        <v>NA</v>
      </c>
      <c r="H22" s="13" t="str">
        <f t="shared" si="3"/>
        <v>NA</v>
      </c>
      <c r="I22" s="16" t="str">
        <f t="shared" si="4"/>
        <v>NA</v>
      </c>
      <c r="J22" s="8" t="s">
        <v>82</v>
      </c>
      <c r="K22" s="198">
        <f t="shared" si="5"/>
        <v>135.86760560930409</v>
      </c>
    </row>
    <row r="23" spans="1:11" ht="16">
      <c r="A23" s="120" t="str">
        <f>'Sovereign Ratings (Moody''s,S&amp;P)'!A17</f>
        <v>Belgium</v>
      </c>
      <c r="B23" s="115" t="str">
        <f>VLOOKUP(A23,'Regional lookup table'!$A$3:$B$161,2)</f>
        <v>Western Europe</v>
      </c>
      <c r="C23" s="11" t="str">
        <f>'Sovereign Ratings (Moody''s,S&amp;P)'!C17</f>
        <v>Aa3</v>
      </c>
      <c r="D23" s="23">
        <f t="shared" si="0"/>
        <v>5.1430110597872171E-3</v>
      </c>
      <c r="E23" s="23">
        <f t="shared" si="1"/>
        <v>4.8377497859723763E-2</v>
      </c>
      <c r="F23" s="13">
        <f t="shared" si="2"/>
        <v>5.9774978597237644E-3</v>
      </c>
      <c r="G23" s="13">
        <f>VLOOKUP(A23,'10-year CDS Spreads'!$A$2:$D$157,4)</f>
        <v>1.9999999999999987E-4</v>
      </c>
      <c r="H23" s="13">
        <f t="shared" si="3"/>
        <v>4.2632451293230199E-2</v>
      </c>
      <c r="I23" s="16">
        <f t="shared" si="4"/>
        <v>2.3245129323019848E-4</v>
      </c>
      <c r="J23" s="8" t="s">
        <v>83</v>
      </c>
      <c r="K23" s="198">
        <f t="shared" ref="K23:K29" si="6">C203</f>
        <v>161.96646770374667</v>
      </c>
    </row>
    <row r="24" spans="1:11" ht="16">
      <c r="A24" s="120" t="str">
        <f>'Sovereign Ratings (Moody''s,S&amp;P)'!A18</f>
        <v>Belize</v>
      </c>
      <c r="B24" s="115" t="str">
        <f>VLOOKUP(A24,'Regional lookup table'!$A$3:$B$161,2)</f>
        <v>Central and South America</v>
      </c>
      <c r="C24" s="11" t="str">
        <f>'Sovereign Ratings (Moody''s,S&amp;P)'!C18</f>
        <v>Caa3</v>
      </c>
      <c r="D24" s="23">
        <f t="shared" si="0"/>
        <v>8.5051585884242345E-2</v>
      </c>
      <c r="E24" s="23">
        <f t="shared" si="1"/>
        <v>0.14125175565035719</v>
      </c>
      <c r="F24" s="13">
        <f t="shared" si="2"/>
        <v>9.8851755650357198E-2</v>
      </c>
      <c r="G24" s="13" t="str">
        <f>VLOOKUP(A24,'10-year CDS Spreads'!$A$2:$D$157,4)</f>
        <v>NA</v>
      </c>
      <c r="H24" s="13" t="str">
        <f t="shared" si="3"/>
        <v>NA</v>
      </c>
      <c r="I24" s="16" t="str">
        <f t="shared" si="4"/>
        <v>NA</v>
      </c>
      <c r="J24" s="8" t="s">
        <v>124</v>
      </c>
      <c r="K24" s="198">
        <f t="shared" si="6"/>
        <v>187.29771620717625</v>
      </c>
    </row>
    <row r="25" spans="1:11" ht="16">
      <c r="A25" s="120" t="str">
        <f>'Sovereign Ratings (Moody''s,S&amp;P)'!A19</f>
        <v>Benin</v>
      </c>
      <c r="B25" s="115" t="str">
        <f>VLOOKUP(A25,'Regional lookup table'!$A$3:$B$161,2)</f>
        <v>Africa</v>
      </c>
      <c r="C25" s="11" t="str">
        <f>'Sovereign Ratings (Moody''s,S&amp;P)'!C19</f>
        <v>B1</v>
      </c>
      <c r="D25" s="23">
        <f t="shared" si="0"/>
        <v>3.8303918191549574E-2</v>
      </c>
      <c r="E25" s="23">
        <f t="shared" si="1"/>
        <v>8.6918976597047143E-2</v>
      </c>
      <c r="F25" s="13">
        <f t="shared" si="2"/>
        <v>4.451897659704715E-2</v>
      </c>
      <c r="G25" s="13" t="str">
        <f>VLOOKUP(A25,'10-year CDS Spreads'!$A$2:$D$157,4)</f>
        <v>NA</v>
      </c>
      <c r="H25" s="13" t="str">
        <f t="shared" si="3"/>
        <v>NA</v>
      </c>
      <c r="I25" s="16" t="str">
        <f t="shared" si="4"/>
        <v>NA</v>
      </c>
      <c r="J25" s="8" t="s">
        <v>137</v>
      </c>
      <c r="K25" s="198">
        <f t="shared" si="6"/>
        <v>1750</v>
      </c>
    </row>
    <row r="26" spans="1:11" ht="16">
      <c r="A26" s="120" t="str">
        <f>'Sovereign Ratings (Moody''s,S&amp;P)'!A20</f>
        <v>Bermuda</v>
      </c>
      <c r="B26" s="115" t="str">
        <f>VLOOKUP(A26,'Regional lookup table'!$A$3:$B$161,2)</f>
        <v>Caribbean</v>
      </c>
      <c r="C26" s="11" t="str">
        <f>'Sovereign Ratings (Moody''s,S&amp;P)'!C20</f>
        <v>A2</v>
      </c>
      <c r="D26" s="23">
        <f t="shared" si="0"/>
        <v>7.2155677555223634E-3</v>
      </c>
      <c r="E26" s="23">
        <f t="shared" si="1"/>
        <v>5.0786340280806475E-2</v>
      </c>
      <c r="F26" s="13">
        <f t="shared" si="2"/>
        <v>8.3863402808064744E-3</v>
      </c>
      <c r="G26" s="13" t="str">
        <f>VLOOKUP(A26,'10-year CDS Spreads'!$A$2:$D$157,4)</f>
        <v>NA</v>
      </c>
      <c r="H26" s="13" t="str">
        <f t="shared" si="3"/>
        <v>NA</v>
      </c>
      <c r="I26" s="16" t="str">
        <f t="shared" si="4"/>
        <v>NA</v>
      </c>
      <c r="J26" s="8" t="s">
        <v>346</v>
      </c>
      <c r="K26" s="198">
        <f t="shared" si="6"/>
        <v>1020.926076047313</v>
      </c>
    </row>
    <row r="27" spans="1:11" ht="16">
      <c r="A27" s="120" t="str">
        <f>'Sovereign Ratings (Moody''s,S&amp;P)'!A21</f>
        <v>Bolivia</v>
      </c>
      <c r="B27" s="115" t="str">
        <f>VLOOKUP(A27,'Regional lookup table'!$A$3:$B$161,2)</f>
        <v>Central and South America</v>
      </c>
      <c r="C27" s="11" t="str">
        <f>'Sovereign Ratings (Moody''s,S&amp;P)'!C21</f>
        <v>B2</v>
      </c>
      <c r="D27" s="23">
        <f t="shared" si="0"/>
        <v>4.6824429051794063E-2</v>
      </c>
      <c r="E27" s="23">
        <f t="shared" si="1"/>
        <v>9.6821995439276054E-2</v>
      </c>
      <c r="F27" s="13">
        <f t="shared" si="2"/>
        <v>5.4421995439276061E-2</v>
      </c>
      <c r="G27" s="13" t="str">
        <f>VLOOKUP(A27,'10-year CDS Spreads'!$A$2:$D$157,4)</f>
        <v>NA</v>
      </c>
      <c r="H27" s="13" t="str">
        <f t="shared" si="3"/>
        <v>NA</v>
      </c>
      <c r="I27" s="16" t="str">
        <f t="shared" si="4"/>
        <v>NA</v>
      </c>
      <c r="J27" s="8" t="str">
        <f>B207</f>
        <v>Caa1</v>
      </c>
      <c r="K27" s="198">
        <f t="shared" si="6"/>
        <v>637.8868941318176</v>
      </c>
    </row>
    <row r="28" spans="1:11" ht="16">
      <c r="A28" s="120" t="str">
        <f>'Sovereign Ratings (Moody''s,S&amp;P)'!A22</f>
        <v>Bosnia and Herzegovina</v>
      </c>
      <c r="B28" s="115" t="str">
        <f>VLOOKUP(A28,'Regional lookup table'!$A$3:$B$161,2)</f>
        <v>Eastern Europe &amp; Russia</v>
      </c>
      <c r="C28" s="11" t="str">
        <f>'Sovereign Ratings (Moody''s,S&amp;P)'!C22</f>
        <v>B3</v>
      </c>
      <c r="D28" s="23">
        <f t="shared" si="0"/>
        <v>5.5344939912038545E-2</v>
      </c>
      <c r="E28" s="23">
        <f t="shared" si="1"/>
        <v>0.10672501428150497</v>
      </c>
      <c r="F28" s="13">
        <f t="shared" si="2"/>
        <v>6.4325014281504972E-2</v>
      </c>
      <c r="G28" s="13" t="str">
        <f>VLOOKUP(A28,'10-year CDS Spreads'!$A$2:$D$157,4)</f>
        <v>NA</v>
      </c>
      <c r="H28" s="13" t="str">
        <f t="shared" si="3"/>
        <v>NA</v>
      </c>
      <c r="I28" s="16" t="str">
        <f t="shared" si="4"/>
        <v>NA</v>
      </c>
      <c r="J28" s="8" t="str">
        <f>B208</f>
        <v>Caa2</v>
      </c>
      <c r="K28" s="198">
        <f t="shared" si="6"/>
        <v>766.07836383099152</v>
      </c>
    </row>
    <row r="29" spans="1:11" ht="16">
      <c r="A29" s="120" t="str">
        <f>'Sovereign Ratings (Moody''s,S&amp;P)'!A23</f>
        <v>Botswana</v>
      </c>
      <c r="B29" s="115" t="str">
        <f>VLOOKUP(A29,'Regional lookup table'!$A$3:$B$161,2)</f>
        <v>Africa</v>
      </c>
      <c r="C29" s="11" t="str">
        <f>'Sovereign Ratings (Moody''s,S&amp;P)'!C23</f>
        <v>A3</v>
      </c>
      <c r="D29" s="23">
        <f t="shared" si="0"/>
        <v>1.0209260760473134E-2</v>
      </c>
      <c r="E29" s="23">
        <f t="shared" si="1"/>
        <v>5.4265779333481506E-2</v>
      </c>
      <c r="F29" s="13">
        <f t="shared" si="2"/>
        <v>1.1865779333481504E-2</v>
      </c>
      <c r="G29" s="13" t="str">
        <f>VLOOKUP(A29,'10-year CDS Spreads'!$A$2:$D$157,4)</f>
        <v>NA</v>
      </c>
      <c r="H29" s="13" t="str">
        <f t="shared" si="3"/>
        <v>NA</v>
      </c>
      <c r="I29" s="16" t="str">
        <f t="shared" si="4"/>
        <v>NA</v>
      </c>
      <c r="J29" s="8" t="str">
        <f>B209</f>
        <v>Caa3</v>
      </c>
      <c r="K29" s="198">
        <f t="shared" si="6"/>
        <v>850.51585884242343</v>
      </c>
    </row>
    <row r="30" spans="1:11" ht="16">
      <c r="A30" s="120" t="str">
        <f>'Sovereign Ratings (Moody''s,S&amp;P)'!A24</f>
        <v>Brazil</v>
      </c>
      <c r="B30" s="115" t="str">
        <f>VLOOKUP(A30,'Regional lookup table'!$A$3:$B$161,2)</f>
        <v>Central and South America</v>
      </c>
      <c r="C30" s="11" t="str">
        <f>'Sovereign Ratings (Moody''s,S&amp;P)'!C24</f>
        <v>Ba2</v>
      </c>
      <c r="D30" s="23">
        <f t="shared" si="0"/>
        <v>2.5561532580733477E-2</v>
      </c>
      <c r="E30" s="23">
        <f t="shared" si="1"/>
        <v>7.2109056526686768E-2</v>
      </c>
      <c r="F30" s="13">
        <f t="shared" si="2"/>
        <v>2.9709056526686765E-2</v>
      </c>
      <c r="G30" s="13">
        <f>VLOOKUP(A30,'10-year CDS Spreads'!$A$2:$D$157,4)</f>
        <v>2.7200000000000002E-2</v>
      </c>
      <c r="H30" s="13">
        <f t="shared" si="3"/>
        <v>7.4013375879307008E-2</v>
      </c>
      <c r="I30" s="16">
        <f t="shared" si="4"/>
        <v>3.1613375879307015E-2</v>
      </c>
      <c r="J30" s="8" t="s">
        <v>277</v>
      </c>
      <c r="K30" s="199" t="str">
        <f>C210</f>
        <v>NA</v>
      </c>
    </row>
    <row r="31" spans="1:11" ht="16">
      <c r="A31" s="120" t="str">
        <f>'Sovereign Ratings (Moody''s,S&amp;P)'!A25</f>
        <v>Bulgaria</v>
      </c>
      <c r="B31" s="115" t="str">
        <f>VLOOKUP(A31,'Regional lookup table'!$A$3:$B$161,2)</f>
        <v>Eastern Europe &amp; Russia</v>
      </c>
      <c r="C31" s="11" t="str">
        <f>'Sovereign Ratings (Moody''s,S&amp;P)'!C25</f>
        <v>Baa1</v>
      </c>
      <c r="D31" s="23">
        <f t="shared" si="0"/>
        <v>1.358676056093041E-2</v>
      </c>
      <c r="E31" s="23">
        <f t="shared" si="1"/>
        <v>5.8191300315986662E-2</v>
      </c>
      <c r="F31" s="13">
        <f t="shared" si="2"/>
        <v>1.5791300315986662E-2</v>
      </c>
      <c r="G31" s="13">
        <f>VLOOKUP(A31,'10-year CDS Spreads'!$A$2:$D$157,4)</f>
        <v>6.1999999999999998E-3</v>
      </c>
      <c r="H31" s="13">
        <f t="shared" si="3"/>
        <v>4.9605990090136158E-2</v>
      </c>
      <c r="I31" s="16">
        <f t="shared" si="4"/>
        <v>7.205990090136157E-3</v>
      </c>
    </row>
    <row r="32" spans="1:11" ht="16">
      <c r="A32" s="120" t="str">
        <f>'Sovereign Ratings (Moody''s,S&amp;P)'!A26</f>
        <v>Burkina Faso</v>
      </c>
      <c r="B32" s="115" t="str">
        <f>VLOOKUP(A32,'Regional lookup table'!$A$3:$B$161,2)</f>
        <v>Africa</v>
      </c>
      <c r="C32" s="11" t="str">
        <f>'Sovereign Ratings (Moody''s,S&amp;P)'!C26</f>
        <v>B2</v>
      </c>
      <c r="D32" s="23">
        <f t="shared" si="0"/>
        <v>4.6824429051794063E-2</v>
      </c>
      <c r="E32" s="23">
        <f t="shared" si="1"/>
        <v>9.6821995439276054E-2</v>
      </c>
      <c r="F32" s="13">
        <f t="shared" si="2"/>
        <v>5.4421995439276061E-2</v>
      </c>
      <c r="G32" s="13" t="str">
        <f>VLOOKUP(A32,'10-year CDS Spreads'!$A$2:$D$157,4)</f>
        <v>NA</v>
      </c>
      <c r="H32" s="13" t="str">
        <f t="shared" si="3"/>
        <v>NA</v>
      </c>
      <c r="I32" s="16" t="str">
        <f t="shared" si="4"/>
        <v>NA</v>
      </c>
    </row>
    <row r="33" spans="1:9" ht="16">
      <c r="A33" s="120" t="str">
        <f>'Sovereign Ratings (Moody''s,S&amp;P)'!A27</f>
        <v>Cambodia</v>
      </c>
      <c r="B33" s="115" t="str">
        <f>VLOOKUP(A33,'Regional lookup table'!$A$3:$B$161,2)</f>
        <v>Asia</v>
      </c>
      <c r="C33" s="11" t="str">
        <f>'Sovereign Ratings (Moody''s,S&amp;P)'!C27</f>
        <v>B2</v>
      </c>
      <c r="D33" s="23">
        <f t="shared" si="0"/>
        <v>4.6824429051794063E-2</v>
      </c>
      <c r="E33" s="23">
        <f t="shared" si="1"/>
        <v>9.6821995439276054E-2</v>
      </c>
      <c r="F33" s="13">
        <f t="shared" si="2"/>
        <v>5.4421995439276061E-2</v>
      </c>
      <c r="G33" s="13" t="str">
        <f>VLOOKUP(A33,'10-year CDS Spreads'!$A$2:$D$157,4)</f>
        <v>NA</v>
      </c>
      <c r="H33" s="13" t="str">
        <f t="shared" si="3"/>
        <v>NA</v>
      </c>
      <c r="I33" s="16" t="str">
        <f t="shared" si="4"/>
        <v>NA</v>
      </c>
    </row>
    <row r="34" spans="1:9" ht="16">
      <c r="A34" s="120" t="str">
        <f>'Sovereign Ratings (Moody''s,S&amp;P)'!A28</f>
        <v>Cameroon</v>
      </c>
      <c r="B34" s="115" t="str">
        <f>VLOOKUP(A34,'Regional lookup table'!$A$3:$B$161,2)</f>
        <v>Africa</v>
      </c>
      <c r="C34" s="11" t="str">
        <f>'Sovereign Ratings (Moody''s,S&amp;P)'!C28</f>
        <v>B2</v>
      </c>
      <c r="D34" s="23">
        <f t="shared" si="0"/>
        <v>4.6824429051794063E-2</v>
      </c>
      <c r="E34" s="23">
        <f t="shared" si="1"/>
        <v>9.6821995439276054E-2</v>
      </c>
      <c r="F34" s="13">
        <f t="shared" si="2"/>
        <v>5.4421995439276061E-2</v>
      </c>
      <c r="G34" s="13">
        <f>VLOOKUP(A34,'10-year CDS Spreads'!$A$2:$D$157,4)</f>
        <v>3.3700000000000001E-2</v>
      </c>
      <c r="H34" s="13">
        <f t="shared" si="3"/>
        <v>8.1568042909288471E-2</v>
      </c>
      <c r="I34" s="16">
        <f t="shared" si="4"/>
        <v>3.9168042909288471E-2</v>
      </c>
    </row>
    <row r="35" spans="1:9" ht="16">
      <c r="A35" s="120" t="str">
        <f>'Sovereign Ratings (Moody''s,S&amp;P)'!A29</f>
        <v>Canada</v>
      </c>
      <c r="B35" s="115" t="str">
        <f>VLOOKUP(A35,'Regional lookup table'!$A$3:$B$161,2)</f>
        <v>North America</v>
      </c>
      <c r="C35" s="11" t="str">
        <f>'Sovereign Ratings (Moody''s,S&amp;P)'!C29</f>
        <v>Aaa</v>
      </c>
      <c r="D35" s="23">
        <f t="shared" si="0"/>
        <v>0</v>
      </c>
      <c r="E35" s="23">
        <f t="shared" si="1"/>
        <v>4.24E-2</v>
      </c>
      <c r="F35" s="13">
        <f t="shared" si="2"/>
        <v>0</v>
      </c>
      <c r="G35" s="13">
        <f>VLOOKUP(A35,'10-year CDS Spreads'!$A$2:$D$157,4)</f>
        <v>8.9999999999999998E-4</v>
      </c>
      <c r="H35" s="13">
        <f t="shared" si="3"/>
        <v>4.3446030819535894E-2</v>
      </c>
      <c r="I35" s="16">
        <f t="shared" si="4"/>
        <v>1.0460308195358937E-3</v>
      </c>
    </row>
    <row r="36" spans="1:9" ht="16">
      <c r="A36" s="120" t="str">
        <f>'Sovereign Ratings (Moody''s,S&amp;P)'!A30</f>
        <v>Cape Verde</v>
      </c>
      <c r="B36" s="115" t="str">
        <f>VLOOKUP(A36,'Regional lookup table'!$A$3:$B$161,2)</f>
        <v>Africa</v>
      </c>
      <c r="C36" s="11" t="str">
        <f>'Sovereign Ratings (Moody''s,S&amp;P)'!C30</f>
        <v>B3</v>
      </c>
      <c r="D36" s="23">
        <f t="shared" si="0"/>
        <v>5.5344939912038545E-2</v>
      </c>
      <c r="E36" s="23">
        <f t="shared" si="1"/>
        <v>0.10672501428150497</v>
      </c>
      <c r="F36" s="13">
        <f t="shared" si="2"/>
        <v>6.4325014281504972E-2</v>
      </c>
      <c r="G36" s="13" t="str">
        <f>VLOOKUP(A36,'10-year CDS Spreads'!$A$2:$D$157,4)</f>
        <v>NA</v>
      </c>
      <c r="H36" s="13" t="str">
        <f t="shared" si="3"/>
        <v>NA</v>
      </c>
      <c r="I36" s="16" t="str">
        <f t="shared" si="4"/>
        <v>NA</v>
      </c>
    </row>
    <row r="37" spans="1:9" ht="16">
      <c r="A37" s="120" t="str">
        <f>'Sovereign Ratings (Moody''s,S&amp;P)'!A31</f>
        <v>Cayman Islands</v>
      </c>
      <c r="B37" s="115" t="str">
        <f>VLOOKUP(A37,'Regional lookup table'!$A$3:$B$161,2)</f>
        <v>Caribbean</v>
      </c>
      <c r="C37" s="11" t="str">
        <f>'Sovereign Ratings (Moody''s,S&amp;P)'!C31</f>
        <v>Aa3</v>
      </c>
      <c r="D37" s="23">
        <f t="shared" si="0"/>
        <v>5.1430110597872171E-3</v>
      </c>
      <c r="E37" s="23">
        <f t="shared" si="1"/>
        <v>4.8377497859723763E-2</v>
      </c>
      <c r="F37" s="13">
        <f t="shared" si="2"/>
        <v>5.9774978597237644E-3</v>
      </c>
      <c r="G37" s="13" t="str">
        <f>VLOOKUP(A37,'10-year CDS Spreads'!$A$2:$D$157,4)</f>
        <v>NA</v>
      </c>
      <c r="H37" s="13" t="str">
        <f t="shared" si="3"/>
        <v>NA</v>
      </c>
      <c r="I37" s="16" t="str">
        <f t="shared" si="4"/>
        <v>NA</v>
      </c>
    </row>
    <row r="38" spans="1:9" ht="16">
      <c r="A38" s="120" t="str">
        <f>'Sovereign Ratings (Moody''s,S&amp;P)'!A32</f>
        <v>Chile</v>
      </c>
      <c r="B38" s="115" t="str">
        <f>VLOOKUP(A38,'Regional lookup table'!$A$3:$B$161,2)</f>
        <v>Central and South America</v>
      </c>
      <c r="C38" s="11" t="str">
        <f>'Sovereign Ratings (Moody''s,S&amp;P)'!C32</f>
        <v>A1</v>
      </c>
      <c r="D38" s="23">
        <f t="shared" si="0"/>
        <v>5.987386009901537E-3</v>
      </c>
      <c r="E38" s="23">
        <f t="shared" si="1"/>
        <v>4.9358878105350057E-2</v>
      </c>
      <c r="F38" s="13">
        <f t="shared" si="2"/>
        <v>6.958878105350055E-3</v>
      </c>
      <c r="G38" s="13">
        <f>VLOOKUP(A38,'10-year CDS Spreads'!$A$2:$D$157,4)</f>
        <v>1.06E-2</v>
      </c>
      <c r="H38" s="13">
        <f t="shared" si="3"/>
        <v>5.4719918541200528E-2</v>
      </c>
      <c r="I38" s="16">
        <f t="shared" si="4"/>
        <v>1.2319918541200526E-2</v>
      </c>
    </row>
    <row r="39" spans="1:9" ht="16">
      <c r="A39" s="120" t="str">
        <f>'Sovereign Ratings (Moody''s,S&amp;P)'!A33</f>
        <v>China</v>
      </c>
      <c r="B39" s="115" t="str">
        <f>VLOOKUP(A39,'Regional lookup table'!$A$3:$B$161,2)</f>
        <v>Asia</v>
      </c>
      <c r="C39" s="11" t="str">
        <f>'Sovereign Ratings (Moody''s,S&amp;P)'!C33</f>
        <v>A1</v>
      </c>
      <c r="D39" s="23">
        <f t="shared" si="0"/>
        <v>5.987386009901537E-3</v>
      </c>
      <c r="E39" s="23">
        <f t="shared" si="1"/>
        <v>4.9358878105350057E-2</v>
      </c>
      <c r="F39" s="13">
        <f t="shared" si="2"/>
        <v>6.958878105350055E-3</v>
      </c>
      <c r="G39" s="13">
        <f>VLOOKUP(A39,'10-year CDS Spreads'!$A$2:$D$157,4)</f>
        <v>5.5000000000000005E-3</v>
      </c>
      <c r="H39" s="13">
        <f t="shared" si="3"/>
        <v>4.8792410563830463E-2</v>
      </c>
      <c r="I39" s="16">
        <f t="shared" si="4"/>
        <v>6.3924105638304626E-3</v>
      </c>
    </row>
    <row r="40" spans="1:9" ht="16">
      <c r="A40" s="120" t="str">
        <f>'Sovereign Ratings (Moody''s,S&amp;P)'!A34</f>
        <v>Colombia</v>
      </c>
      <c r="B40" s="115" t="str">
        <f>VLOOKUP(A40,'Regional lookup table'!$A$3:$B$161,2)</f>
        <v>Central and South America</v>
      </c>
      <c r="C40" s="11" t="str">
        <f>'Sovereign Ratings (Moody''s,S&amp;P)'!C34</f>
        <v>Baa2</v>
      </c>
      <c r="D40" s="23">
        <f t="shared" si="0"/>
        <v>1.6196646770374669E-2</v>
      </c>
      <c r="E40" s="23">
        <f t="shared" si="1"/>
        <v>6.1224657438831556E-2</v>
      </c>
      <c r="F40" s="13">
        <f t="shared" si="2"/>
        <v>1.8824657438831559E-2</v>
      </c>
      <c r="G40" s="13">
        <f>VLOOKUP(A40,'10-year CDS Spreads'!$A$2:$D$157,4)</f>
        <v>2.58E-2</v>
      </c>
      <c r="H40" s="13">
        <f t="shared" si="3"/>
        <v>7.2386216826695618E-2</v>
      </c>
      <c r="I40" s="16">
        <f t="shared" si="4"/>
        <v>2.9986216826695621E-2</v>
      </c>
    </row>
    <row r="41" spans="1:9" ht="16">
      <c r="A41" s="120" t="str">
        <f>'Sovereign Ratings (Moody''s,S&amp;P)'!A35</f>
        <v>Congo (Democratic Republic of)</v>
      </c>
      <c r="B41" s="115" t="str">
        <f>VLOOKUP(A41,'Regional lookup table'!$A$3:$B$161,2)</f>
        <v>Africa</v>
      </c>
      <c r="C41" s="11" t="str">
        <f>'Sovereign Ratings (Moody''s,S&amp;P)'!C35</f>
        <v>Caa1</v>
      </c>
      <c r="D41" s="23">
        <f t="shared" si="0"/>
        <v>6.3788689413181762E-2</v>
      </c>
      <c r="E41" s="23">
        <f t="shared" si="1"/>
        <v>0.11653881673776789</v>
      </c>
      <c r="F41" s="13">
        <f t="shared" si="2"/>
        <v>7.4138816737767899E-2</v>
      </c>
      <c r="G41" s="13" t="str">
        <f>VLOOKUP(A41,'10-year CDS Spreads'!$A$2:$D$157,4)</f>
        <v>NA</v>
      </c>
      <c r="H41" s="13" t="str">
        <f t="shared" si="3"/>
        <v>NA</v>
      </c>
      <c r="I41" s="16" t="str">
        <f t="shared" si="4"/>
        <v>NA</v>
      </c>
    </row>
    <row r="42" spans="1:9" ht="16">
      <c r="A42" s="120" t="str">
        <f>'Sovereign Ratings (Moody''s,S&amp;P)'!A36</f>
        <v>Congo (Republic of)</v>
      </c>
      <c r="B42" s="115" t="str">
        <f>VLOOKUP(A42,'Regional lookup table'!$A$3:$B$161,2)</f>
        <v>Africa</v>
      </c>
      <c r="C42" s="11" t="str">
        <f>'Sovereign Ratings (Moody''s,S&amp;P)'!C36</f>
        <v>Caa2</v>
      </c>
      <c r="D42" s="23">
        <f t="shared" si="0"/>
        <v>7.6607836383099148E-2</v>
      </c>
      <c r="E42" s="23">
        <f t="shared" si="1"/>
        <v>0.13143795319409429</v>
      </c>
      <c r="F42" s="13">
        <f t="shared" si="2"/>
        <v>8.9037953194094299E-2</v>
      </c>
      <c r="G42" s="13" t="str">
        <f>VLOOKUP(A42,'10-year CDS Spreads'!$A$2:$D$157,4)</f>
        <v>NA</v>
      </c>
      <c r="H42" s="13" t="str">
        <f t="shared" si="3"/>
        <v>NA</v>
      </c>
      <c r="I42" s="16" t="str">
        <f t="shared" si="4"/>
        <v>NA</v>
      </c>
    </row>
    <row r="43" spans="1:9" ht="16">
      <c r="A43" s="120" t="str">
        <f>'Sovereign Ratings (Moody''s,S&amp;P)'!A37</f>
        <v>Cook Islands</v>
      </c>
      <c r="B43" s="115" t="str">
        <f>VLOOKUP(A43,'Regional lookup table'!$A$3:$B$161,2)</f>
        <v>Australia &amp; New Zealand</v>
      </c>
      <c r="C43" s="11" t="str">
        <f>'Sovereign Ratings (Moody''s,S&amp;P)'!C37</f>
        <v>B1</v>
      </c>
      <c r="D43" s="23">
        <f t="shared" si="0"/>
        <v>3.8303918191549574E-2</v>
      </c>
      <c r="E43" s="23">
        <f t="shared" si="1"/>
        <v>8.6918976597047143E-2</v>
      </c>
      <c r="F43" s="13">
        <f t="shared" si="2"/>
        <v>4.451897659704715E-2</v>
      </c>
      <c r="G43" s="13" t="str">
        <f>VLOOKUP(A43,'10-year CDS Spreads'!$A$2:$D$157,4)</f>
        <v>NA</v>
      </c>
      <c r="H43" s="13" t="str">
        <f t="shared" si="3"/>
        <v>NA</v>
      </c>
      <c r="I43" s="16" t="str">
        <f t="shared" si="4"/>
        <v>NA</v>
      </c>
    </row>
    <row r="44" spans="1:9" ht="16">
      <c r="A44" s="120" t="str">
        <f>'Sovereign Ratings (Moody''s,S&amp;P)'!A38</f>
        <v>Costa Rica</v>
      </c>
      <c r="B44" s="115" t="str">
        <f>VLOOKUP(A44,'Regional lookup table'!$A$3:$B$161,2)</f>
        <v>Central and South America</v>
      </c>
      <c r="C44" s="11" t="str">
        <f>'Sovereign Ratings (Moody''s,S&amp;P)'!C38</f>
        <v>B2</v>
      </c>
      <c r="D44" s="23">
        <f t="shared" si="0"/>
        <v>4.6824429051794063E-2</v>
      </c>
      <c r="E44" s="23">
        <f t="shared" si="1"/>
        <v>9.6821995439276054E-2</v>
      </c>
      <c r="F44" s="13">
        <f t="shared" si="2"/>
        <v>5.4421995439276061E-2</v>
      </c>
      <c r="G44" s="13">
        <f>VLOOKUP(A44,'10-year CDS Spreads'!$A$2:$D$157,4)</f>
        <v>3.73E-2</v>
      </c>
      <c r="H44" s="13">
        <f t="shared" si="3"/>
        <v>8.5752166187432033E-2</v>
      </c>
      <c r="I44" s="16">
        <f t="shared" si="4"/>
        <v>4.335216618743204E-2</v>
      </c>
    </row>
    <row r="45" spans="1:9" ht="16">
      <c r="A45" s="120" t="str">
        <f>'Sovereign Ratings (Moody''s,S&amp;P)'!A39</f>
        <v>Côte d'Ivoire</v>
      </c>
      <c r="B45" s="115" t="str">
        <f>VLOOKUP(A45,'Regional lookup table'!$A$3:$B$161,2)</f>
        <v>Africa</v>
      </c>
      <c r="C45" s="11" t="str">
        <f>'Sovereign Ratings (Moody''s,S&amp;P)'!C39</f>
        <v>Ba3</v>
      </c>
      <c r="D45" s="23">
        <f t="shared" si="0"/>
        <v>3.0627782281419401E-2</v>
      </c>
      <c r="E45" s="23">
        <f t="shared" si="1"/>
        <v>7.7997338000444505E-2</v>
      </c>
      <c r="F45" s="13">
        <f t="shared" si="2"/>
        <v>3.5597338000444512E-2</v>
      </c>
      <c r="G45" s="13" t="str">
        <f>VLOOKUP(A45,'10-year CDS Spreads'!$A$2:$D$157,4)</f>
        <v>NA</v>
      </c>
      <c r="H45" s="13" t="str">
        <f t="shared" si="3"/>
        <v>NA</v>
      </c>
      <c r="I45" s="16" t="str">
        <f t="shared" si="4"/>
        <v>NA</v>
      </c>
    </row>
    <row r="46" spans="1:9" ht="16">
      <c r="A46" s="120" t="str">
        <f>'Sovereign Ratings (Moody''s,S&amp;P)'!A40</f>
        <v>Croatia</v>
      </c>
      <c r="B46" s="115" t="str">
        <f>VLOOKUP(A46,'Regional lookup table'!$A$3:$B$161,2)</f>
        <v>Eastern Europe &amp; Russia</v>
      </c>
      <c r="C46" s="11" t="str">
        <f>'Sovereign Ratings (Moody''s,S&amp;P)'!C40</f>
        <v>Ba1</v>
      </c>
      <c r="D46" s="23">
        <f t="shared" si="0"/>
        <v>2.1262896471060586E-2</v>
      </c>
      <c r="E46" s="23">
        <f t="shared" si="1"/>
        <v>6.7112938912589293E-2</v>
      </c>
      <c r="F46" s="13">
        <f t="shared" si="2"/>
        <v>2.47129389125893E-2</v>
      </c>
      <c r="G46" s="13">
        <f>VLOOKUP(A46,'10-year CDS Spreads'!$A$2:$D$157,4)</f>
        <v>9.1999999999999998E-3</v>
      </c>
      <c r="H46" s="13">
        <f t="shared" si="3"/>
        <v>5.3092759488589138E-2</v>
      </c>
      <c r="I46" s="16">
        <f t="shared" si="4"/>
        <v>1.0692759488589136E-2</v>
      </c>
    </row>
    <row r="47" spans="1:9" ht="16">
      <c r="A47" s="120" t="str">
        <f>'Sovereign Ratings (Moody''s,S&amp;P)'!A41</f>
        <v>Cuba</v>
      </c>
      <c r="B47" s="115" t="str">
        <f>VLOOKUP(A47,'Regional lookup table'!$A$3:$B$161,2)</f>
        <v>Caribbean</v>
      </c>
      <c r="C47" s="11" t="str">
        <f>'Sovereign Ratings (Moody''s,S&amp;P)'!C41</f>
        <v>Ca</v>
      </c>
      <c r="D47" s="23">
        <f t="shared" si="0"/>
        <v>0.10209260760473131</v>
      </c>
      <c r="E47" s="23">
        <f t="shared" si="1"/>
        <v>0.16105779333481501</v>
      </c>
      <c r="F47" s="13">
        <f t="shared" si="2"/>
        <v>0.11865779333481502</v>
      </c>
      <c r="G47" s="13" t="str">
        <f>VLOOKUP(A47,'10-year CDS Spreads'!$A$2:$D$157,4)</f>
        <v>NA</v>
      </c>
      <c r="H47" s="13" t="str">
        <f t="shared" si="3"/>
        <v>NA</v>
      </c>
      <c r="I47" s="16" t="str">
        <f t="shared" si="4"/>
        <v>NA</v>
      </c>
    </row>
    <row r="48" spans="1:9" ht="16">
      <c r="A48" s="120" t="str">
        <f>'Sovereign Ratings (Moody''s,S&amp;P)'!A42</f>
        <v>Curacao</v>
      </c>
      <c r="B48" s="115" t="str">
        <f>VLOOKUP(A48,'Regional lookup table'!$A$3:$B$161,2)</f>
        <v>Caribbean</v>
      </c>
      <c r="C48" s="11" t="str">
        <f>'Sovereign Ratings (Moody''s,S&amp;P)'!C42</f>
        <v>Baa2</v>
      </c>
      <c r="D48" s="23">
        <f t="shared" si="0"/>
        <v>1.6196646770374669E-2</v>
      </c>
      <c r="E48" s="23">
        <f t="shared" si="1"/>
        <v>6.1224657438831556E-2</v>
      </c>
      <c r="F48" s="13">
        <f t="shared" si="2"/>
        <v>1.8824657438831559E-2</v>
      </c>
      <c r="G48" s="13" t="str">
        <f>VLOOKUP(A48,'10-year CDS Spreads'!$A$2:$D$157,4)</f>
        <v>NA</v>
      </c>
      <c r="H48" s="13" t="str">
        <f t="shared" si="3"/>
        <v>NA</v>
      </c>
      <c r="I48" s="16" t="str">
        <f t="shared" si="4"/>
        <v>NA</v>
      </c>
    </row>
    <row r="49" spans="1:9" ht="16">
      <c r="A49" s="120" t="str">
        <f>'Sovereign Ratings (Moody''s,S&amp;P)'!A43</f>
        <v>Cyprus</v>
      </c>
      <c r="B49" s="115" t="str">
        <f>VLOOKUP(A49,'Regional lookup table'!$A$3:$B$161,2)</f>
        <v>Western Europe</v>
      </c>
      <c r="C49" s="11" t="str">
        <f>'Sovereign Ratings (Moody''s,S&amp;P)'!C43</f>
        <v>Ba1</v>
      </c>
      <c r="D49" s="23">
        <f t="shared" si="0"/>
        <v>2.1262896471060586E-2</v>
      </c>
      <c r="E49" s="23">
        <f t="shared" si="1"/>
        <v>6.7112938912589293E-2</v>
      </c>
      <c r="F49" s="13">
        <f t="shared" si="2"/>
        <v>2.47129389125893E-2</v>
      </c>
      <c r="G49" s="13">
        <f>VLOOKUP(A49,'10-year CDS Spreads'!$A$2:$D$157,4)</f>
        <v>5.5000000000000005E-3</v>
      </c>
      <c r="H49" s="13">
        <f t="shared" si="3"/>
        <v>4.8792410563830463E-2</v>
      </c>
      <c r="I49" s="16">
        <f t="shared" si="4"/>
        <v>6.3924105638304626E-3</v>
      </c>
    </row>
    <row r="50" spans="1:9" ht="16">
      <c r="A50" s="120" t="str">
        <f>'Sovereign Ratings (Moody''s,S&amp;P)'!A44</f>
        <v>Czech Republic</v>
      </c>
      <c r="B50" s="115" t="str">
        <f>VLOOKUP(A50,'Regional lookup table'!$A$3:$B$161,2)</f>
        <v>Eastern Europe &amp; Russia</v>
      </c>
      <c r="C50" s="11" t="str">
        <f>'Sovereign Ratings (Moody''s,S&amp;P)'!C44</f>
        <v>Aa3</v>
      </c>
      <c r="D50" s="23">
        <f t="shared" si="0"/>
        <v>5.1430110597872171E-3</v>
      </c>
      <c r="E50" s="23">
        <f t="shared" si="1"/>
        <v>4.8377497859723763E-2</v>
      </c>
      <c r="F50" s="13">
        <f t="shared" si="2"/>
        <v>5.9774978597237644E-3</v>
      </c>
      <c r="G50" s="13">
        <f>VLOOKUP(A50,'10-year CDS Spreads'!$A$2:$D$157,4)</f>
        <v>2.8000000000000004E-3</v>
      </c>
      <c r="H50" s="13">
        <f t="shared" si="3"/>
        <v>4.5654318105222781E-2</v>
      </c>
      <c r="I50" s="16">
        <f t="shared" si="4"/>
        <v>3.254318105222781E-3</v>
      </c>
    </row>
    <row r="51" spans="1:9" ht="16">
      <c r="A51" s="120" t="str">
        <f>'Sovereign Ratings (Moody''s,S&amp;P)'!A45</f>
        <v>Denmark</v>
      </c>
      <c r="B51" s="115" t="str">
        <f>VLOOKUP(A51,'Regional lookup table'!$A$3:$B$161,2)</f>
        <v>Western Europe</v>
      </c>
      <c r="C51" s="11" t="str">
        <f>'Sovereign Ratings (Moody''s,S&amp;P)'!C45</f>
        <v>Aaa</v>
      </c>
      <c r="D51" s="23">
        <f t="shared" si="0"/>
        <v>0</v>
      </c>
      <c r="E51" s="23">
        <f t="shared" si="1"/>
        <v>4.24E-2</v>
      </c>
      <c r="F51" s="13">
        <f t="shared" si="2"/>
        <v>0</v>
      </c>
      <c r="G51" s="13">
        <f>VLOOKUP(A51,'10-year CDS Spreads'!$A$2:$D$157,4)</f>
        <v>0</v>
      </c>
      <c r="H51" s="13">
        <f t="shared" si="3"/>
        <v>4.24E-2</v>
      </c>
      <c r="I51" s="16">
        <f t="shared" si="4"/>
        <v>0</v>
      </c>
    </row>
    <row r="52" spans="1:9" ht="16">
      <c r="A52" s="120" t="str">
        <f>'Sovereign Ratings (Moody''s,S&amp;P)'!A46</f>
        <v>Dominican Republic</v>
      </c>
      <c r="B52" s="115" t="str">
        <f>VLOOKUP(A52,'Regional lookup table'!$A$3:$B$161,2)</f>
        <v>Caribbean</v>
      </c>
      <c r="C52" s="11" t="str">
        <f>'Sovereign Ratings (Moody''s,S&amp;P)'!C46</f>
        <v>Ba3</v>
      </c>
      <c r="D52" s="23">
        <f t="shared" si="0"/>
        <v>3.0627782281419401E-2</v>
      </c>
      <c r="E52" s="23">
        <f t="shared" si="1"/>
        <v>7.7997338000444505E-2</v>
      </c>
      <c r="F52" s="13">
        <f t="shared" si="2"/>
        <v>3.5597338000444512E-2</v>
      </c>
      <c r="G52" s="13" t="str">
        <f>VLOOKUP(A52,'10-year CDS Spreads'!$A$2:$D$157,4)</f>
        <v>NA</v>
      </c>
      <c r="H52" s="13" t="str">
        <f t="shared" si="3"/>
        <v>NA</v>
      </c>
      <c r="I52" s="16" t="str">
        <f t="shared" si="4"/>
        <v>NA</v>
      </c>
    </row>
    <row r="53" spans="1:9" ht="16">
      <c r="A53" s="120" t="str">
        <f>'Sovereign Ratings (Moody''s,S&amp;P)'!A47</f>
        <v>Ecuador</v>
      </c>
      <c r="B53" s="115" t="str">
        <f>VLOOKUP(A53,'Regional lookup table'!$A$3:$B$161,2)</f>
        <v>Central and South America</v>
      </c>
      <c r="C53" s="11" t="str">
        <f>'Sovereign Ratings (Moody''s,S&amp;P)'!C47</f>
        <v>Caa3</v>
      </c>
      <c r="D53" s="23">
        <f t="shared" si="0"/>
        <v>8.5051585884242345E-2</v>
      </c>
      <c r="E53" s="23">
        <f t="shared" si="1"/>
        <v>0.14125175565035719</v>
      </c>
      <c r="F53" s="13">
        <f t="shared" si="2"/>
        <v>9.8851755650357198E-2</v>
      </c>
      <c r="G53" s="13">
        <f>VLOOKUP(A53,'10-year CDS Spreads'!$A$2:$D$157,4)</f>
        <v>7.3800000000000004E-2</v>
      </c>
      <c r="H53" s="13">
        <f t="shared" si="3"/>
        <v>0.12817452720194331</v>
      </c>
      <c r="I53" s="16">
        <f t="shared" si="4"/>
        <v>8.5774527201943299E-2</v>
      </c>
    </row>
    <row r="54" spans="1:9" ht="16">
      <c r="A54" s="120" t="str">
        <f>'Sovereign Ratings (Moody''s,S&amp;P)'!A48</f>
        <v>Egypt</v>
      </c>
      <c r="B54" s="115" t="str">
        <f>VLOOKUP(A54,'Regional lookup table'!$A$3:$B$161,2)</f>
        <v>Africa</v>
      </c>
      <c r="C54" s="11" t="str">
        <f>'Sovereign Ratings (Moody''s,S&amp;P)'!C48</f>
        <v>B2</v>
      </c>
      <c r="D54" s="23">
        <f t="shared" si="0"/>
        <v>4.6824429051794063E-2</v>
      </c>
      <c r="E54" s="23">
        <f t="shared" si="1"/>
        <v>9.6821995439276054E-2</v>
      </c>
      <c r="F54" s="13">
        <f t="shared" si="2"/>
        <v>5.4421995439276061E-2</v>
      </c>
      <c r="G54" s="13">
        <f>VLOOKUP(A54,'10-year CDS Spreads'!$A$2:$D$157,4)</f>
        <v>5.5500000000000001E-2</v>
      </c>
      <c r="H54" s="13">
        <f t="shared" si="3"/>
        <v>0.10690523387138012</v>
      </c>
      <c r="I54" s="16">
        <f t="shared" si="4"/>
        <v>6.4505233871380116E-2</v>
      </c>
    </row>
    <row r="55" spans="1:9" ht="16">
      <c r="A55" s="120" t="str">
        <f>'Sovereign Ratings (Moody''s,S&amp;P)'!A49</f>
        <v>El Salvador</v>
      </c>
      <c r="B55" s="115" t="str">
        <f>VLOOKUP(A55,'Regional lookup table'!$A$3:$B$161,2)</f>
        <v>Central and South America</v>
      </c>
      <c r="C55" s="11" t="str">
        <f>'Sovereign Ratings (Moody''s,S&amp;P)'!C49</f>
        <v>Caa1</v>
      </c>
      <c r="D55" s="23">
        <f t="shared" si="0"/>
        <v>6.3788689413181762E-2</v>
      </c>
      <c r="E55" s="23">
        <f t="shared" si="1"/>
        <v>0.11653881673776789</v>
      </c>
      <c r="F55" s="13">
        <f t="shared" si="2"/>
        <v>7.4138816737767899E-2</v>
      </c>
      <c r="G55" s="13">
        <f>VLOOKUP(A55,'10-year CDS Spreads'!$A$2:$D$157,4)</f>
        <v>0.18139999999999998</v>
      </c>
      <c r="H55" s="13">
        <f t="shared" si="3"/>
        <v>0.25323332295979012</v>
      </c>
      <c r="I55" s="16">
        <f t="shared" si="4"/>
        <v>0.21083332295979013</v>
      </c>
    </row>
    <row r="56" spans="1:9" ht="16">
      <c r="A56" s="120" t="str">
        <f>'Sovereign Ratings (Moody''s,S&amp;P)'!A50</f>
        <v>Estonia</v>
      </c>
      <c r="B56" s="115" t="str">
        <f>VLOOKUP(A56,'Regional lookup table'!$A$3:$B$161,2)</f>
        <v>Eastern Europe &amp; Russia</v>
      </c>
      <c r="C56" s="11" t="str">
        <f>'Sovereign Ratings (Moody''s,S&amp;P)'!C50</f>
        <v>A1</v>
      </c>
      <c r="D56" s="23">
        <f t="shared" si="0"/>
        <v>5.987386009901537E-3</v>
      </c>
      <c r="E56" s="23">
        <f t="shared" si="1"/>
        <v>4.9358878105350057E-2</v>
      </c>
      <c r="F56" s="13">
        <f t="shared" si="2"/>
        <v>6.958878105350055E-3</v>
      </c>
      <c r="G56" s="13">
        <f>VLOOKUP(A56,'10-year CDS Spreads'!$A$2:$D$157,4)</f>
        <v>6.6000000000000008E-3</v>
      </c>
      <c r="H56" s="13">
        <f t="shared" si="3"/>
        <v>5.0070892676596555E-2</v>
      </c>
      <c r="I56" s="16">
        <f t="shared" si="4"/>
        <v>7.6708926765965552E-3</v>
      </c>
    </row>
    <row r="57" spans="1:9" ht="16">
      <c r="A57" s="120" t="str">
        <f>'Sovereign Ratings (Moody''s,S&amp;P)'!A51</f>
        <v>Ethiopia</v>
      </c>
      <c r="B57" s="115" t="str">
        <f>VLOOKUP(A57,'Regional lookup table'!$A$3:$B$161,2)</f>
        <v>Africa</v>
      </c>
      <c r="C57" s="11" t="str">
        <f>'Sovereign Ratings (Moody''s,S&amp;P)'!C51</f>
        <v>Caa2</v>
      </c>
      <c r="D57" s="23">
        <f t="shared" si="0"/>
        <v>7.6607836383099148E-2</v>
      </c>
      <c r="E57" s="23">
        <f t="shared" si="1"/>
        <v>0.13143795319409429</v>
      </c>
      <c r="F57" s="13">
        <f t="shared" si="2"/>
        <v>8.9037953194094299E-2</v>
      </c>
      <c r="G57" s="13">
        <f>VLOOKUP(A57,'10-year CDS Spreads'!$A$2:$D$157,4)</f>
        <v>0.20209999999999997</v>
      </c>
      <c r="H57" s="13">
        <f t="shared" si="3"/>
        <v>0.27729203180911566</v>
      </c>
      <c r="I57" s="16">
        <f t="shared" si="4"/>
        <v>0.23489203180911566</v>
      </c>
    </row>
    <row r="58" spans="1:9" ht="16">
      <c r="A58" s="120" t="str">
        <f>'Sovereign Ratings (Moody''s,S&amp;P)'!A52</f>
        <v>Fiji</v>
      </c>
      <c r="B58" s="115" t="str">
        <f>VLOOKUP(A58,'Regional lookup table'!$A$3:$B$161,2)</f>
        <v>Asia</v>
      </c>
      <c r="C58" s="11" t="str">
        <f>'Sovereign Ratings (Moody''s,S&amp;P)'!C52</f>
        <v>B1</v>
      </c>
      <c r="D58" s="23">
        <f t="shared" si="0"/>
        <v>3.8303918191549574E-2</v>
      </c>
      <c r="E58" s="23">
        <f t="shared" si="1"/>
        <v>8.6918976597047143E-2</v>
      </c>
      <c r="F58" s="13">
        <f t="shared" si="2"/>
        <v>4.451897659704715E-2</v>
      </c>
      <c r="G58" s="13" t="str">
        <f>VLOOKUP(A58,'10-year CDS Spreads'!$A$2:$D$157,4)</f>
        <v>NA</v>
      </c>
      <c r="H58" s="13" t="str">
        <f t="shared" si="3"/>
        <v>NA</v>
      </c>
      <c r="I58" s="16" t="str">
        <f t="shared" si="4"/>
        <v>NA</v>
      </c>
    </row>
    <row r="59" spans="1:9" ht="16">
      <c r="A59" s="120" t="str">
        <f>'Sovereign Ratings (Moody''s,S&amp;P)'!A53</f>
        <v>Finland</v>
      </c>
      <c r="B59" s="115" t="str">
        <f>VLOOKUP(A59,'Regional lookup table'!$A$3:$B$161,2)</f>
        <v>Western Europe</v>
      </c>
      <c r="C59" s="11" t="str">
        <f>'Sovereign Ratings (Moody''s,S&amp;P)'!C53</f>
        <v>Aa1</v>
      </c>
      <c r="D59" s="23">
        <f t="shared" si="0"/>
        <v>3.3774998004572764E-3</v>
      </c>
      <c r="E59" s="23">
        <f t="shared" si="1"/>
        <v>4.6325520982505156E-2</v>
      </c>
      <c r="F59" s="13">
        <f t="shared" si="2"/>
        <v>3.925520982505158E-3</v>
      </c>
      <c r="G59" s="13">
        <f>VLOOKUP(A59,'10-year CDS Spreads'!$A$2:$D$157,4)</f>
        <v>1.0000000000000005E-4</v>
      </c>
      <c r="H59" s="13">
        <f t="shared" si="3"/>
        <v>4.25162256466151E-2</v>
      </c>
      <c r="I59" s="16">
        <f t="shared" si="4"/>
        <v>1.1622564661509936E-4</v>
      </c>
    </row>
    <row r="60" spans="1:9" ht="16">
      <c r="A60" s="120" t="str">
        <f>'Sovereign Ratings (Moody''s,S&amp;P)'!A54</f>
        <v>France</v>
      </c>
      <c r="B60" s="115" t="str">
        <f>VLOOKUP(A60,'Regional lookup table'!$A$3:$B$161,2)</f>
        <v>Western Europe</v>
      </c>
      <c r="C60" s="11" t="str">
        <f>'Sovereign Ratings (Moody''s,S&amp;P)'!C54</f>
        <v>Aa2</v>
      </c>
      <c r="D60" s="23">
        <f t="shared" si="0"/>
        <v>4.2218747505715949E-3</v>
      </c>
      <c r="E60" s="23">
        <f t="shared" si="1"/>
        <v>4.730690122813145E-2</v>
      </c>
      <c r="F60" s="13">
        <f t="shared" si="2"/>
        <v>4.9069012281314477E-3</v>
      </c>
      <c r="G60" s="13">
        <f>VLOOKUP(A60,'10-year CDS Spreads'!$A$2:$D$157,4)</f>
        <v>1.4999999999999998E-3</v>
      </c>
      <c r="H60" s="13">
        <f t="shared" si="3"/>
        <v>4.414338469922649E-2</v>
      </c>
      <c r="I60" s="16">
        <f t="shared" si="4"/>
        <v>1.7433846992264894E-3</v>
      </c>
    </row>
    <row r="61" spans="1:9" ht="16">
      <c r="A61" s="120" t="str">
        <f>'Sovereign Ratings (Moody''s,S&amp;P)'!A55</f>
        <v>Gabon</v>
      </c>
      <c r="B61" s="115" t="str">
        <f>VLOOKUP(A61,'Regional lookup table'!$A$3:$B$161,2)</f>
        <v>Africa</v>
      </c>
      <c r="C61" s="11" t="str">
        <f>'Sovereign Ratings (Moody''s,S&amp;P)'!C55</f>
        <v>Caa1</v>
      </c>
      <c r="D61" s="23">
        <f t="shared" si="0"/>
        <v>6.3788689413181762E-2</v>
      </c>
      <c r="E61" s="23">
        <f t="shared" si="1"/>
        <v>0.11653881673776789</v>
      </c>
      <c r="F61" s="13">
        <f t="shared" si="2"/>
        <v>7.4138816737767899E-2</v>
      </c>
      <c r="G61" s="13" t="str">
        <f>VLOOKUP(A61,'10-year CDS Spreads'!$A$2:$D$157,4)</f>
        <v>NA</v>
      </c>
      <c r="H61" s="13" t="str">
        <f t="shared" si="3"/>
        <v>NA</v>
      </c>
      <c r="I61" s="16" t="str">
        <f t="shared" si="4"/>
        <v>NA</v>
      </c>
    </row>
    <row r="62" spans="1:9" ht="16">
      <c r="A62" s="120" t="str">
        <f>'Sovereign Ratings (Moody''s,S&amp;P)'!A56</f>
        <v>Georgia</v>
      </c>
      <c r="B62" s="115" t="str">
        <f>VLOOKUP(A62,'Regional lookup table'!$A$3:$B$161,2)</f>
        <v>Eastern Europe &amp; Russia</v>
      </c>
      <c r="C62" s="11" t="str">
        <f>'Sovereign Ratings (Moody''s,S&amp;P)'!C56</f>
        <v>Ba2</v>
      </c>
      <c r="D62" s="23">
        <f t="shared" si="0"/>
        <v>2.5561532580733477E-2</v>
      </c>
      <c r="E62" s="23">
        <f t="shared" si="1"/>
        <v>7.2109056526686768E-2</v>
      </c>
      <c r="F62" s="13">
        <f t="shared" si="2"/>
        <v>2.9709056526686765E-2</v>
      </c>
      <c r="G62" s="13" t="str">
        <f>VLOOKUP(A62,'10-year CDS Spreads'!$A$2:$D$157,4)</f>
        <v>NA</v>
      </c>
      <c r="H62" s="13" t="str">
        <f t="shared" si="3"/>
        <v>NA</v>
      </c>
      <c r="I62" s="16" t="str">
        <f t="shared" si="4"/>
        <v>NA</v>
      </c>
    </row>
    <row r="63" spans="1:9" ht="16">
      <c r="A63" s="120" t="str">
        <f>'Sovereign Ratings (Moody''s,S&amp;P)'!A57</f>
        <v>Germany</v>
      </c>
      <c r="B63" s="115" t="str">
        <f>VLOOKUP(A63,'Regional lookup table'!$A$3:$B$161,2)</f>
        <v>Western Europe</v>
      </c>
      <c r="C63" s="11" t="str">
        <f>'Sovereign Ratings (Moody''s,S&amp;P)'!C57</f>
        <v>Aaa</v>
      </c>
      <c r="D63" s="23">
        <f t="shared" si="0"/>
        <v>0</v>
      </c>
      <c r="E63" s="23">
        <f t="shared" si="1"/>
        <v>4.24E-2</v>
      </c>
      <c r="F63" s="13">
        <f t="shared" si="2"/>
        <v>0</v>
      </c>
      <c r="G63" s="13">
        <f>VLOOKUP(A63,'10-year CDS Spreads'!$A$2:$D$157,4)</f>
        <v>0</v>
      </c>
      <c r="H63" s="13">
        <f t="shared" si="3"/>
        <v>4.24E-2</v>
      </c>
      <c r="I63" s="16">
        <f t="shared" si="4"/>
        <v>0</v>
      </c>
    </row>
    <row r="64" spans="1:9" ht="16">
      <c r="A64" s="120" t="str">
        <f>'Sovereign Ratings (Moody''s,S&amp;P)'!A58</f>
        <v>Ghana</v>
      </c>
      <c r="B64" s="115" t="str">
        <f>VLOOKUP(A64,'Regional lookup table'!$A$3:$B$161,2)</f>
        <v>Africa</v>
      </c>
      <c r="C64" s="11" t="str">
        <f>'Sovereign Ratings (Moody''s,S&amp;P)'!C58</f>
        <v>B3</v>
      </c>
      <c r="D64" s="23">
        <f t="shared" si="0"/>
        <v>5.5344939912038545E-2</v>
      </c>
      <c r="E64" s="23">
        <f t="shared" si="1"/>
        <v>0.10672501428150497</v>
      </c>
      <c r="F64" s="13">
        <f t="shared" si="2"/>
        <v>6.4325014281504972E-2</v>
      </c>
      <c r="G64" s="13" t="str">
        <f>VLOOKUP(A64,'10-year CDS Spreads'!$A$2:$D$157,4)</f>
        <v>NA</v>
      </c>
      <c r="H64" s="13" t="str">
        <f t="shared" si="3"/>
        <v>NA</v>
      </c>
      <c r="I64" s="16" t="str">
        <f t="shared" si="4"/>
        <v>NA</v>
      </c>
    </row>
    <row r="65" spans="1:9" ht="16">
      <c r="A65" s="120" t="str">
        <f>'Sovereign Ratings (Moody''s,S&amp;P)'!A59</f>
        <v>Greece</v>
      </c>
      <c r="B65" s="115" t="str">
        <f>VLOOKUP(A65,'Regional lookup table'!$A$3:$B$161,2)</f>
        <v>Western Europe</v>
      </c>
      <c r="C65" s="11" t="str">
        <f>'Sovereign Ratings (Moody''s,S&amp;P)'!C59</f>
        <v>Ba3</v>
      </c>
      <c r="D65" s="23">
        <f t="shared" si="0"/>
        <v>3.0627782281419401E-2</v>
      </c>
      <c r="E65" s="23">
        <f t="shared" si="1"/>
        <v>7.7997338000444505E-2</v>
      </c>
      <c r="F65" s="13">
        <f t="shared" si="2"/>
        <v>3.5597338000444512E-2</v>
      </c>
      <c r="G65" s="13">
        <f>VLOOKUP(A65,'10-year CDS Spreads'!$A$2:$D$157,4)</f>
        <v>1.4999999999999998E-2</v>
      </c>
      <c r="H65" s="13">
        <f t="shared" si="3"/>
        <v>5.9833846992264891E-2</v>
      </c>
      <c r="I65" s="16">
        <f t="shared" si="4"/>
        <v>1.7433846992264895E-2</v>
      </c>
    </row>
    <row r="66" spans="1:9" ht="16">
      <c r="A66" s="120" t="str">
        <f>'Sovereign Ratings (Moody''s,S&amp;P)'!A60</f>
        <v>Guatemala</v>
      </c>
      <c r="B66" s="115" t="str">
        <f>VLOOKUP(A66,'Regional lookup table'!$A$3:$B$161,2)</f>
        <v>Central and South America</v>
      </c>
      <c r="C66" s="11" t="str">
        <f>'Sovereign Ratings (Moody''s,S&amp;P)'!C60</f>
        <v>Ba1</v>
      </c>
      <c r="D66" s="23">
        <f t="shared" si="0"/>
        <v>2.1262896471060586E-2</v>
      </c>
      <c r="E66" s="23">
        <f t="shared" si="1"/>
        <v>6.7112938912589293E-2</v>
      </c>
      <c r="F66" s="13">
        <f t="shared" si="2"/>
        <v>2.47129389125893E-2</v>
      </c>
      <c r="G66" s="13" t="str">
        <f>VLOOKUP(A66,'10-year CDS Spreads'!$A$2:$D$157,4)</f>
        <v>NA</v>
      </c>
      <c r="H66" s="13" t="str">
        <f t="shared" si="3"/>
        <v>NA</v>
      </c>
      <c r="I66" s="16" t="str">
        <f t="shared" si="4"/>
        <v>NA</v>
      </c>
    </row>
    <row r="67" spans="1:9" ht="16">
      <c r="A67" s="120" t="str">
        <f>'Sovereign Ratings (Moody''s,S&amp;P)'!A61</f>
        <v>Guernsey (States of)</v>
      </c>
      <c r="B67" s="115" t="str">
        <f>VLOOKUP(A67,'Regional lookup table'!$A$3:$B$161,2)</f>
        <v>Western Europe</v>
      </c>
      <c r="C67" s="11" t="str">
        <f>'Sovereign Ratings (Moody''s,S&amp;P)'!C61</f>
        <v>Aa3</v>
      </c>
      <c r="D67" s="23">
        <f t="shared" si="0"/>
        <v>5.1430110597872171E-3</v>
      </c>
      <c r="E67" s="23">
        <f t="shared" si="1"/>
        <v>4.8377497859723763E-2</v>
      </c>
      <c r="F67" s="13">
        <f t="shared" si="2"/>
        <v>5.9774978597237644E-3</v>
      </c>
      <c r="G67" s="13" t="str">
        <f>VLOOKUP(A67,'10-year CDS Spreads'!$A$2:$D$157,4)</f>
        <v>NA</v>
      </c>
      <c r="H67" s="13" t="str">
        <f t="shared" si="3"/>
        <v>NA</v>
      </c>
      <c r="I67" s="16" t="str">
        <f t="shared" si="4"/>
        <v>NA</v>
      </c>
    </row>
    <row r="68" spans="1:9" ht="16">
      <c r="A68" s="120" t="str">
        <f>'Sovereign Ratings (Moody''s,S&amp;P)'!A62</f>
        <v>Honduras</v>
      </c>
      <c r="B68" s="115" t="str">
        <f>VLOOKUP(A68,'Regional lookup table'!$A$3:$B$161,2)</f>
        <v>Central and South America</v>
      </c>
      <c r="C68" s="11" t="str">
        <f>'Sovereign Ratings (Moody''s,S&amp;P)'!C62</f>
        <v>B1</v>
      </c>
      <c r="D68" s="23">
        <f t="shared" si="0"/>
        <v>3.8303918191549574E-2</v>
      </c>
      <c r="E68" s="23">
        <f t="shared" si="1"/>
        <v>8.6918976597047143E-2</v>
      </c>
      <c r="F68" s="13">
        <f t="shared" si="2"/>
        <v>4.451897659704715E-2</v>
      </c>
      <c r="G68" s="13" t="str">
        <f>VLOOKUP(A68,'10-year CDS Spreads'!$A$2:$D$157,4)</f>
        <v>NA</v>
      </c>
      <c r="H68" s="13" t="str">
        <f t="shared" si="3"/>
        <v>NA</v>
      </c>
      <c r="I68" s="16" t="str">
        <f t="shared" si="4"/>
        <v>NA</v>
      </c>
    </row>
    <row r="69" spans="1:9" ht="16">
      <c r="A69" s="120" t="str">
        <f>'Sovereign Ratings (Moody''s,S&amp;P)'!A63</f>
        <v>Hong Kong</v>
      </c>
      <c r="B69" s="115" t="str">
        <f>VLOOKUP(A69,'Regional lookup table'!$A$3:$B$161,2)</f>
        <v>Asia</v>
      </c>
      <c r="C69" s="11" t="str">
        <f>'Sovereign Ratings (Moody''s,S&amp;P)'!C63</f>
        <v>Aa3</v>
      </c>
      <c r="D69" s="23">
        <f t="shared" si="0"/>
        <v>5.1430110597872171E-3</v>
      </c>
      <c r="E69" s="23">
        <f t="shared" si="1"/>
        <v>4.8377497859723763E-2</v>
      </c>
      <c r="F69" s="13">
        <f t="shared" si="2"/>
        <v>5.9774978597237644E-3</v>
      </c>
      <c r="G69" s="13">
        <f>VLOOKUP(A69,'10-year CDS Spreads'!$A$2:$D$157,4)</f>
        <v>2.2000000000000006E-3</v>
      </c>
      <c r="H69" s="13">
        <f t="shared" si="3"/>
        <v>4.4956964225532185E-2</v>
      </c>
      <c r="I69" s="16">
        <f t="shared" si="4"/>
        <v>2.5569642255321855E-3</v>
      </c>
    </row>
    <row r="70" spans="1:9" ht="16">
      <c r="A70" s="120" t="str">
        <f>'Sovereign Ratings (Moody''s,S&amp;P)'!A64</f>
        <v>Hungary</v>
      </c>
      <c r="B70" s="115" t="str">
        <f>VLOOKUP(A70,'Regional lookup table'!$A$3:$B$161,2)</f>
        <v>Eastern Europe &amp; Russia</v>
      </c>
      <c r="C70" s="11" t="str">
        <f>'Sovereign Ratings (Moody''s,S&amp;P)'!C64</f>
        <v>Baa2</v>
      </c>
      <c r="D70" s="23">
        <f t="shared" si="0"/>
        <v>1.6196646770374669E-2</v>
      </c>
      <c r="E70" s="23">
        <f t="shared" si="1"/>
        <v>6.1224657438831556E-2</v>
      </c>
      <c r="F70" s="13">
        <f t="shared" si="2"/>
        <v>1.8824657438831559E-2</v>
      </c>
      <c r="G70" s="13">
        <f>VLOOKUP(A70,'10-year CDS Spreads'!$A$2:$D$157,4)</f>
        <v>5.0000000000000001E-3</v>
      </c>
      <c r="H70" s="13">
        <f t="shared" si="3"/>
        <v>4.8211282330754966E-2</v>
      </c>
      <c r="I70" s="16">
        <f t="shared" si="4"/>
        <v>5.8112823307549652E-3</v>
      </c>
    </row>
    <row r="71" spans="1:9" ht="16">
      <c r="A71" s="120" t="str">
        <f>'Sovereign Ratings (Moody''s,S&amp;P)'!A65</f>
        <v>Iceland</v>
      </c>
      <c r="B71" s="115" t="str">
        <f>VLOOKUP(A71,'Regional lookup table'!$A$3:$B$161,2)</f>
        <v>Western Europe</v>
      </c>
      <c r="C71" s="11" t="str">
        <f>'Sovereign Ratings (Moody''s,S&amp;P)'!C65</f>
        <v>A2</v>
      </c>
      <c r="D71" s="23">
        <f t="shared" si="0"/>
        <v>7.2155677555223634E-3</v>
      </c>
      <c r="E71" s="23">
        <f t="shared" si="1"/>
        <v>5.0786340280806475E-2</v>
      </c>
      <c r="F71" s="13">
        <f t="shared" si="2"/>
        <v>8.3863402808064744E-3</v>
      </c>
      <c r="G71" s="13">
        <f>VLOOKUP(A71,'10-year CDS Spreads'!$A$2:$D$157,4)</f>
        <v>5.4000000000000003E-3</v>
      </c>
      <c r="H71" s="13">
        <f t="shared" si="3"/>
        <v>4.8676184917215364E-2</v>
      </c>
      <c r="I71" s="16">
        <f t="shared" si="4"/>
        <v>6.2761849172153633E-3</v>
      </c>
    </row>
    <row r="72" spans="1:9" ht="16">
      <c r="A72" s="120" t="str">
        <f>'Sovereign Ratings (Moody''s,S&amp;P)'!A66</f>
        <v>India</v>
      </c>
      <c r="B72" s="115" t="str">
        <f>VLOOKUP(A72,'Regional lookup table'!$A$3:$B$161,2)</f>
        <v>Asia</v>
      </c>
      <c r="C72" s="11" t="str">
        <f>'Sovereign Ratings (Moody''s,S&amp;P)'!C66</f>
        <v>Baa3</v>
      </c>
      <c r="D72" s="23">
        <f t="shared" si="0"/>
        <v>1.8729771620717626E-2</v>
      </c>
      <c r="E72" s="23">
        <f t="shared" si="1"/>
        <v>6.4168798175710431E-2</v>
      </c>
      <c r="F72" s="13">
        <f t="shared" si="2"/>
        <v>2.1768798175710428E-2</v>
      </c>
      <c r="G72" s="13">
        <f>VLOOKUP(A72,'10-year CDS Spreads'!$A$2:$D$157,4)</f>
        <v>1.2499999999999999E-2</v>
      </c>
      <c r="H72" s="13">
        <f t="shared" si="3"/>
        <v>5.6928205826887415E-2</v>
      </c>
      <c r="I72" s="16">
        <f t="shared" si="4"/>
        <v>1.4528205826887413E-2</v>
      </c>
    </row>
    <row r="73" spans="1:9" ht="16">
      <c r="A73" s="120" t="str">
        <f>'Sovereign Ratings (Moody''s,S&amp;P)'!A67</f>
        <v>Indonesia</v>
      </c>
      <c r="B73" s="115" t="str">
        <f>VLOOKUP(A73,'Regional lookup table'!$A$3:$B$161,2)</f>
        <v>Asia</v>
      </c>
      <c r="C73" s="11" t="str">
        <f>'Sovereign Ratings (Moody''s,S&amp;P)'!C67</f>
        <v>Baa2</v>
      </c>
      <c r="D73" s="23">
        <f t="shared" ref="D73:D136" si="7">VLOOKUP(C73,$J$9:$K$31,2,FALSE)/10000</f>
        <v>1.6196646770374669E-2</v>
      </c>
      <c r="E73" s="23">
        <f>$E$3+F73</f>
        <v>6.1224657438831556E-2</v>
      </c>
      <c r="F73" s="13">
        <f>IF($E$4="Yes",D73*$E$5,D73)</f>
        <v>1.8824657438831559E-2</v>
      </c>
      <c r="G73" s="13">
        <f>VLOOKUP(A73,'10-year CDS Spreads'!$A$2:$D$157,4)</f>
        <v>1.1699999999999999E-2</v>
      </c>
      <c r="H73" s="13">
        <f>IF(I73="NA","NA",$E$3+I73)</f>
        <v>5.5998400653966621E-2</v>
      </c>
      <c r="I73" s="16">
        <f t="shared" ref="I73:I140" si="8">IF(G73="NA","NA",G73*$E$5)</f>
        <v>1.3598400653966617E-2</v>
      </c>
    </row>
    <row r="74" spans="1:9" ht="16">
      <c r="A74" s="120" t="str">
        <f>'Sovereign Ratings (Moody''s,S&amp;P)'!A68</f>
        <v>Iraq</v>
      </c>
      <c r="B74" s="115" t="str">
        <f>VLOOKUP(A74,'Regional lookup table'!$A$3:$B$161,2)</f>
        <v>Middle East</v>
      </c>
      <c r="C74" s="11" t="str">
        <f>'Sovereign Ratings (Moody''s,S&amp;P)'!C68</f>
        <v>Caa1</v>
      </c>
      <c r="D74" s="23">
        <f t="shared" si="7"/>
        <v>6.3788689413181762E-2</v>
      </c>
      <c r="E74" s="23">
        <f t="shared" ref="E74:E144" si="9">$E$3+F74</f>
        <v>0.11653881673776789</v>
      </c>
      <c r="F74" s="13">
        <f t="shared" ref="F74:F130" si="10">IF($E$4="Yes",D74*$E$5,D74)</f>
        <v>7.4138816737767899E-2</v>
      </c>
      <c r="G74" s="13">
        <f>VLOOKUP(A74,'10-year CDS Spreads'!$A$2:$D$157,4)</f>
        <v>5.4400000000000004E-2</v>
      </c>
      <c r="H74" s="13">
        <f t="shared" ref="H74:H144" si="11">IF(I74="NA","NA",$E$3+I74)</f>
        <v>0.10562675175861402</v>
      </c>
      <c r="I74" s="16">
        <f t="shared" si="8"/>
        <v>6.322675175861403E-2</v>
      </c>
    </row>
    <row r="75" spans="1:9" ht="16">
      <c r="A75" s="120" t="str">
        <f>'Sovereign Ratings (Moody''s,S&amp;P)'!A69</f>
        <v>Ireland</v>
      </c>
      <c r="B75" s="115" t="str">
        <f>VLOOKUP(A75,'Regional lookup table'!$A$3:$B$161,2)</f>
        <v>Western Europe</v>
      </c>
      <c r="C75" s="11" t="str">
        <f>'Sovereign Ratings (Moody''s,S&amp;P)'!C69</f>
        <v>A2</v>
      </c>
      <c r="D75" s="23">
        <f t="shared" si="7"/>
        <v>7.2155677555223634E-3</v>
      </c>
      <c r="E75" s="23">
        <f t="shared" si="9"/>
        <v>5.0786340280806475E-2</v>
      </c>
      <c r="F75" s="13">
        <f t="shared" si="10"/>
        <v>8.3863402808064744E-3</v>
      </c>
      <c r="G75" s="13">
        <f>VLOOKUP(A75,'10-year CDS Spreads'!$A$2:$D$157,4)</f>
        <v>8.0000000000000015E-4</v>
      </c>
      <c r="H75" s="13">
        <f t="shared" si="11"/>
        <v>4.3329805172920795E-2</v>
      </c>
      <c r="I75" s="16">
        <f t="shared" si="8"/>
        <v>9.2980517292079467E-4</v>
      </c>
    </row>
    <row r="76" spans="1:9" ht="16">
      <c r="A76" s="120" t="str">
        <f>'Sovereign Ratings (Moody''s,S&amp;P)'!A70</f>
        <v>Isle of Man</v>
      </c>
      <c r="B76" s="115" t="str">
        <f>VLOOKUP(A76,'Regional lookup table'!$A$3:$B$161,2)</f>
        <v>Western Europe</v>
      </c>
      <c r="C76" s="11" t="str">
        <f>'Sovereign Ratings (Moody''s,S&amp;P)'!C70</f>
        <v>Aa3</v>
      </c>
      <c r="D76" s="23">
        <f t="shared" si="7"/>
        <v>5.1430110597872171E-3</v>
      </c>
      <c r="E76" s="23">
        <f t="shared" si="9"/>
        <v>4.8377497859723763E-2</v>
      </c>
      <c r="F76" s="13">
        <f t="shared" si="10"/>
        <v>5.9774978597237644E-3</v>
      </c>
      <c r="G76" s="13" t="str">
        <f>VLOOKUP(A76,'10-year CDS Spreads'!$A$2:$D$157,4)</f>
        <v>NA</v>
      </c>
      <c r="H76" s="13" t="str">
        <f t="shared" si="11"/>
        <v>NA</v>
      </c>
      <c r="I76" s="16" t="str">
        <f t="shared" si="8"/>
        <v>NA</v>
      </c>
    </row>
    <row r="77" spans="1:9" ht="16">
      <c r="A77" s="120" t="str">
        <f>'Sovereign Ratings (Moody''s,S&amp;P)'!A71</f>
        <v>Israel</v>
      </c>
      <c r="B77" s="115" t="str">
        <f>VLOOKUP(A77,'Regional lookup table'!$A$3:$B$161,2)</f>
        <v>Middle East</v>
      </c>
      <c r="C77" s="11" t="str">
        <f>'Sovereign Ratings (Moody''s,S&amp;P)'!C71</f>
        <v>A1</v>
      </c>
      <c r="D77" s="23">
        <f t="shared" si="7"/>
        <v>5.987386009901537E-3</v>
      </c>
      <c r="E77" s="23">
        <f t="shared" si="9"/>
        <v>4.9358878105350057E-2</v>
      </c>
      <c r="F77" s="13">
        <f t="shared" si="10"/>
        <v>6.958878105350055E-3</v>
      </c>
      <c r="G77" s="13">
        <f>VLOOKUP(A77,'10-year CDS Spreads'!$A$2:$D$157,4)</f>
        <v>5.3E-3</v>
      </c>
      <c r="H77" s="13">
        <f t="shared" si="11"/>
        <v>4.8559959270600264E-2</v>
      </c>
      <c r="I77" s="16">
        <f t="shared" si="8"/>
        <v>6.1599592706002631E-3</v>
      </c>
    </row>
    <row r="78" spans="1:9" ht="16">
      <c r="A78" s="120" t="str">
        <f>'Sovereign Ratings (Moody''s,S&amp;P)'!A72</f>
        <v>Italy</v>
      </c>
      <c r="B78" s="115" t="str">
        <f>VLOOKUP(A78,'Regional lookup table'!$A$3:$B$161,2)</f>
        <v>Western Europe</v>
      </c>
      <c r="C78" s="11" t="str">
        <f>'Sovereign Ratings (Moody''s,S&amp;P)'!C72</f>
        <v>Baa3</v>
      </c>
      <c r="D78" s="23">
        <f t="shared" si="7"/>
        <v>1.8729771620717626E-2</v>
      </c>
      <c r="E78" s="23">
        <f t="shared" si="9"/>
        <v>6.4168798175710431E-2</v>
      </c>
      <c r="F78" s="13">
        <f t="shared" si="10"/>
        <v>2.1768798175710428E-2</v>
      </c>
      <c r="G78" s="13">
        <f>VLOOKUP(A78,'10-year CDS Spreads'!$A$2:$D$157,4)</f>
        <v>1.2199999999999999E-2</v>
      </c>
      <c r="H78" s="13">
        <f t="shared" si="11"/>
        <v>5.6579528887042117E-2</v>
      </c>
      <c r="I78" s="16">
        <f t="shared" si="8"/>
        <v>1.4179528887042115E-2</v>
      </c>
    </row>
    <row r="79" spans="1:9" ht="16">
      <c r="A79" s="120" t="str">
        <f>'Sovereign Ratings (Moody''s,S&amp;P)'!A73</f>
        <v>Jamaica</v>
      </c>
      <c r="B79" s="115" t="str">
        <f>VLOOKUP(A79,'Regional lookup table'!$A$3:$B$161,2)</f>
        <v>Caribbean</v>
      </c>
      <c r="C79" s="11" t="str">
        <f>'Sovereign Ratings (Moody''s,S&amp;P)'!C73</f>
        <v>B2</v>
      </c>
      <c r="D79" s="23">
        <f t="shared" si="7"/>
        <v>4.6824429051794063E-2</v>
      </c>
      <c r="E79" s="23">
        <f t="shared" si="9"/>
        <v>9.6821995439276054E-2</v>
      </c>
      <c r="F79" s="13">
        <f t="shared" si="10"/>
        <v>5.4421995439276061E-2</v>
      </c>
      <c r="G79" s="13" t="str">
        <f>VLOOKUP(A79,'10-year CDS Spreads'!$A$2:$D$157,4)</f>
        <v>NA</v>
      </c>
      <c r="H79" s="13" t="str">
        <f t="shared" si="11"/>
        <v>NA</v>
      </c>
      <c r="I79" s="16" t="str">
        <f t="shared" si="8"/>
        <v>NA</v>
      </c>
    </row>
    <row r="80" spans="1:9" ht="16">
      <c r="A80" s="120" t="str">
        <f>'Sovereign Ratings (Moody''s,S&amp;P)'!A74</f>
        <v>Japan</v>
      </c>
      <c r="B80" s="115" t="str">
        <f>VLOOKUP(A80,'Regional lookup table'!$A$3:$B$161,2)</f>
        <v>Asia</v>
      </c>
      <c r="C80" s="11" t="str">
        <f>'Sovereign Ratings (Moody''s,S&amp;P)'!C74</f>
        <v>A1</v>
      </c>
      <c r="D80" s="23">
        <f t="shared" si="7"/>
        <v>5.987386009901537E-3</v>
      </c>
      <c r="E80" s="23">
        <f t="shared" si="9"/>
        <v>4.9358878105350057E-2</v>
      </c>
      <c r="F80" s="13">
        <f t="shared" si="10"/>
        <v>6.958878105350055E-3</v>
      </c>
      <c r="G80" s="13">
        <f>VLOOKUP(A80,'10-year CDS Spreads'!$A$2:$D$157,4)</f>
        <v>1.4E-3</v>
      </c>
      <c r="H80" s="13">
        <f t="shared" si="11"/>
        <v>4.4027159052611391E-2</v>
      </c>
      <c r="I80" s="16">
        <f t="shared" si="8"/>
        <v>1.6271590526113903E-3</v>
      </c>
    </row>
    <row r="81" spans="1:9" ht="16">
      <c r="A81" s="120" t="str">
        <f>'Sovereign Ratings (Moody''s,S&amp;P)'!A75</f>
        <v>Jersey (States of)</v>
      </c>
      <c r="B81" s="115" t="str">
        <f>VLOOKUP(A81,'Regional lookup table'!$A$3:$B$161,2)</f>
        <v>Western Europe</v>
      </c>
      <c r="C81" s="11" t="str">
        <f>'Sovereign Ratings (Moody''s,S&amp;P)'!C75</f>
        <v>Aaa</v>
      </c>
      <c r="D81" s="23">
        <f t="shared" si="7"/>
        <v>0</v>
      </c>
      <c r="E81" s="23">
        <f t="shared" si="9"/>
        <v>4.24E-2</v>
      </c>
      <c r="F81" s="13">
        <f t="shared" si="10"/>
        <v>0</v>
      </c>
      <c r="G81" s="13" t="str">
        <f>VLOOKUP(A81,'10-year CDS Spreads'!$A$2:$D$157,4)</f>
        <v>NA</v>
      </c>
      <c r="H81" s="13" t="str">
        <f t="shared" si="11"/>
        <v>NA</v>
      </c>
      <c r="I81" s="16" t="str">
        <f t="shared" si="8"/>
        <v>NA</v>
      </c>
    </row>
    <row r="82" spans="1:9" ht="16">
      <c r="A82" s="120" t="str">
        <f>'Sovereign Ratings (Moody''s,S&amp;P)'!A76</f>
        <v>Jordan</v>
      </c>
      <c r="B82" s="115" t="str">
        <f>VLOOKUP(A82,'Regional lookup table'!$A$3:$B$161,2)</f>
        <v>Middle East</v>
      </c>
      <c r="C82" s="11" t="str">
        <f>'Sovereign Ratings (Moody''s,S&amp;P)'!C76</f>
        <v>B1</v>
      </c>
      <c r="D82" s="23">
        <f t="shared" si="7"/>
        <v>3.8303918191549574E-2</v>
      </c>
      <c r="E82" s="23">
        <f t="shared" si="9"/>
        <v>8.6918976597047143E-2</v>
      </c>
      <c r="F82" s="13">
        <f t="shared" si="10"/>
        <v>4.451897659704715E-2</v>
      </c>
      <c r="G82" s="13" t="str">
        <f>VLOOKUP(A82,'10-year CDS Spreads'!$A$2:$D$157,4)</f>
        <v>NA</v>
      </c>
      <c r="H82" s="13" t="str">
        <f t="shared" si="11"/>
        <v>NA</v>
      </c>
      <c r="I82" s="16" t="str">
        <f t="shared" si="8"/>
        <v>NA</v>
      </c>
    </row>
    <row r="83" spans="1:9" ht="16">
      <c r="A83" s="120" t="str">
        <f>'Sovereign Ratings (Moody''s,S&amp;P)'!A77</f>
        <v>Kazakhstan</v>
      </c>
      <c r="B83" s="115" t="str">
        <f>VLOOKUP(A83,'Regional lookup table'!$A$3:$B$161,2)</f>
        <v>Eastern Europe &amp; Russia</v>
      </c>
      <c r="C83" s="11" t="str">
        <f>'Sovereign Ratings (Moody''s,S&amp;P)'!C77</f>
        <v>Baa2</v>
      </c>
      <c r="D83" s="23">
        <f t="shared" si="7"/>
        <v>1.6196646770374669E-2</v>
      </c>
      <c r="E83" s="23">
        <f t="shared" si="9"/>
        <v>6.1224657438831556E-2</v>
      </c>
      <c r="F83" s="13">
        <f t="shared" si="10"/>
        <v>1.8824657438831559E-2</v>
      </c>
      <c r="G83" s="13">
        <f>VLOOKUP(A83,'10-year CDS Spreads'!$A$2:$D$157,4)</f>
        <v>8.0000000000000002E-3</v>
      </c>
      <c r="H83" s="13">
        <f t="shared" si="11"/>
        <v>5.1698051729207946E-2</v>
      </c>
      <c r="I83" s="16">
        <f t="shared" si="8"/>
        <v>9.2980517292079456E-3</v>
      </c>
    </row>
    <row r="84" spans="1:9" ht="16">
      <c r="A84" s="120" t="str">
        <f>'Sovereign Ratings (Moody''s,S&amp;P)'!A78</f>
        <v>Kenya</v>
      </c>
      <c r="B84" s="115" t="str">
        <f>VLOOKUP(A84,'Regional lookup table'!$A$3:$B$161,2)</f>
        <v>Africa</v>
      </c>
      <c r="C84" s="11" t="str">
        <f>'Sovereign Ratings (Moody''s,S&amp;P)'!C78</f>
        <v>B2</v>
      </c>
      <c r="D84" s="23">
        <f t="shared" si="7"/>
        <v>4.6824429051794063E-2</v>
      </c>
      <c r="E84" s="23">
        <f t="shared" si="9"/>
        <v>9.6821995439276054E-2</v>
      </c>
      <c r="F84" s="13">
        <f t="shared" si="10"/>
        <v>5.4421995439276061E-2</v>
      </c>
      <c r="G84" s="13">
        <f>VLOOKUP(A84,'10-year CDS Spreads'!$A$2:$D$157,4)</f>
        <v>4.2500000000000003E-2</v>
      </c>
      <c r="H84" s="13">
        <f t="shared" si="11"/>
        <v>9.1795899811417211E-2</v>
      </c>
      <c r="I84" s="16">
        <f t="shared" si="8"/>
        <v>4.9395899811417211E-2</v>
      </c>
    </row>
    <row r="85" spans="1:9" ht="16">
      <c r="A85" s="120" t="str">
        <f>'Sovereign Ratings (Moody''s,S&amp;P)'!A79</f>
        <v>Korea</v>
      </c>
      <c r="B85" s="115" t="str">
        <f>VLOOKUP(A85,'Regional lookup table'!$A$3:$B$161,2)</f>
        <v>Asia</v>
      </c>
      <c r="C85" s="11" t="str">
        <f>'Sovereign Ratings (Moody''s,S&amp;P)'!C79</f>
        <v>Aa2</v>
      </c>
      <c r="D85" s="23">
        <f t="shared" si="7"/>
        <v>4.2218747505715949E-3</v>
      </c>
      <c r="E85" s="23">
        <f>$E$3+F85</f>
        <v>4.730690122813145E-2</v>
      </c>
      <c r="F85" s="13">
        <f>IF($E$4="Yes",D85*$E$5,D85)</f>
        <v>4.9069012281314477E-3</v>
      </c>
      <c r="G85" s="13">
        <f>VLOOKUP(A85,'10-year CDS Spreads'!$A$2:$D$157,4)</f>
        <v>1.6000000000000001E-3</v>
      </c>
      <c r="H85" s="13">
        <f>IF(I85="NA","NA",$E$3+I85)</f>
        <v>4.4259610345841589E-2</v>
      </c>
      <c r="I85" s="16">
        <f t="shared" si="8"/>
        <v>1.8596103458415891E-3</v>
      </c>
    </row>
    <row r="86" spans="1:9" ht="16">
      <c r="A86" s="120" t="str">
        <f>'Sovereign Ratings (Moody''s,S&amp;P)'!A80</f>
        <v>Kuwait</v>
      </c>
      <c r="B86" s="115" t="str">
        <f>VLOOKUP(A86,'Regional lookup table'!$A$3:$B$161,2)</f>
        <v>Middle East</v>
      </c>
      <c r="C86" s="11" t="str">
        <f>'Sovereign Ratings (Moody''s,S&amp;P)'!C80</f>
        <v>A1</v>
      </c>
      <c r="D86" s="23">
        <f t="shared" si="7"/>
        <v>5.987386009901537E-3</v>
      </c>
      <c r="E86" s="23">
        <f t="shared" si="9"/>
        <v>4.9358878105350057E-2</v>
      </c>
      <c r="F86" s="13">
        <f t="shared" si="10"/>
        <v>6.958878105350055E-3</v>
      </c>
      <c r="G86" s="13">
        <f>VLOOKUP(A86,'10-year CDS Spreads'!$A$2:$D$157,4)</f>
        <v>6.7000000000000002E-3</v>
      </c>
      <c r="H86" s="13">
        <f t="shared" si="11"/>
        <v>5.0187118323211655E-2</v>
      </c>
      <c r="I86" s="16">
        <f t="shared" si="8"/>
        <v>7.7871183232116536E-3</v>
      </c>
    </row>
    <row r="87" spans="1:9" ht="16">
      <c r="A87" s="120" t="str">
        <f>'Sovereign Ratings (Moody''s,S&amp;P)'!A81</f>
        <v>Kyrgyzstan</v>
      </c>
      <c r="B87" s="115" t="str">
        <f>VLOOKUP(A87,'Regional lookup table'!$A$3:$B$161,2)</f>
        <v>Eastern Europe &amp; Russia</v>
      </c>
      <c r="C87" s="11" t="str">
        <f>'Sovereign Ratings (Moody''s,S&amp;P)'!C81</f>
        <v>B2</v>
      </c>
      <c r="D87" s="23">
        <f t="shared" si="7"/>
        <v>4.6824429051794063E-2</v>
      </c>
      <c r="E87" s="23">
        <f t="shared" si="9"/>
        <v>9.6821995439276054E-2</v>
      </c>
      <c r="F87" s="13">
        <f t="shared" si="10"/>
        <v>5.4421995439276061E-2</v>
      </c>
      <c r="G87" s="13" t="str">
        <f>VLOOKUP(A87,'10-year CDS Spreads'!$A$2:$D$157,4)</f>
        <v>NA</v>
      </c>
      <c r="H87" s="13" t="str">
        <f t="shared" si="11"/>
        <v>NA</v>
      </c>
      <c r="I87" s="16" t="str">
        <f t="shared" si="8"/>
        <v>NA</v>
      </c>
    </row>
    <row r="88" spans="1:9" ht="16">
      <c r="A88" s="120" t="str">
        <f>'Sovereign Ratings (Moody''s,S&amp;P)'!A82</f>
        <v>Laos</v>
      </c>
      <c r="B88" s="115" t="str">
        <f>VLOOKUP(A88,'Regional lookup table'!$A$3:$B$161,2)</f>
        <v>Asia</v>
      </c>
      <c r="C88" s="11" t="str">
        <f>'Sovereign Ratings (Moody''s,S&amp;P)'!C82</f>
        <v>Caa2</v>
      </c>
      <c r="D88" s="23">
        <f t="shared" si="7"/>
        <v>7.6607836383099148E-2</v>
      </c>
      <c r="E88" s="23">
        <f t="shared" ref="E88" si="12">$E$3+F88</f>
        <v>0.13143795319409429</v>
      </c>
      <c r="F88" s="13">
        <f t="shared" ref="F88" si="13">IF($E$4="Yes",D88*$E$5,D88)</f>
        <v>8.9037953194094299E-2</v>
      </c>
      <c r="G88" s="13" t="str">
        <f>VLOOKUP(A88,'10-year CDS Spreads'!$A$2:$D$157,4)</f>
        <v>NA</v>
      </c>
      <c r="H88" s="13" t="str">
        <f t="shared" ref="H88" si="14">IF(I88="NA","NA",$E$3+I88)</f>
        <v>NA</v>
      </c>
      <c r="I88" s="16" t="str">
        <f t="shared" ref="I88" si="15">IF(G88="NA","NA",G88*$E$5)</f>
        <v>NA</v>
      </c>
    </row>
    <row r="89" spans="1:9" ht="16">
      <c r="A89" s="120" t="str">
        <f>'Sovereign Ratings (Moody''s,S&amp;P)'!A83</f>
        <v>Latvia</v>
      </c>
      <c r="B89" s="115" t="str">
        <f>VLOOKUP(A89,'Regional lookup table'!$A$3:$B$161,2)</f>
        <v>Eastern Europe &amp; Russia</v>
      </c>
      <c r="C89" s="11" t="str">
        <f>'Sovereign Ratings (Moody''s,S&amp;P)'!C83</f>
        <v>A3</v>
      </c>
      <c r="D89" s="23">
        <f t="shared" si="7"/>
        <v>1.0209260760473134E-2</v>
      </c>
      <c r="E89" s="23">
        <f t="shared" si="9"/>
        <v>5.4265779333481506E-2</v>
      </c>
      <c r="F89" s="13">
        <f t="shared" si="10"/>
        <v>1.1865779333481504E-2</v>
      </c>
      <c r="G89" s="13">
        <f>VLOOKUP(A89,'10-year CDS Spreads'!$A$2:$D$157,4)</f>
        <v>5.5000000000000005E-3</v>
      </c>
      <c r="H89" s="13">
        <f t="shared" si="11"/>
        <v>4.8792410563830463E-2</v>
      </c>
      <c r="I89" s="16">
        <f t="shared" si="8"/>
        <v>6.3924105638304626E-3</v>
      </c>
    </row>
    <row r="90" spans="1:9" ht="16">
      <c r="A90" s="120" t="str">
        <f>'Sovereign Ratings (Moody''s,S&amp;P)'!A84</f>
        <v>Lebanon</v>
      </c>
      <c r="B90" s="115" t="str">
        <f>VLOOKUP(A90,'Regional lookup table'!$A$3:$B$161,2)</f>
        <v>Middle East</v>
      </c>
      <c r="C90" s="11" t="str">
        <f>'Sovereign Ratings (Moody''s,S&amp;P)'!C84</f>
        <v>C</v>
      </c>
      <c r="D90" s="23">
        <f t="shared" si="7"/>
        <v>0.17499999999999999</v>
      </c>
      <c r="E90" s="23">
        <f t="shared" si="9"/>
        <v>0.24579488157642376</v>
      </c>
      <c r="F90" s="13">
        <f t="shared" si="10"/>
        <v>0.20339488157642377</v>
      </c>
      <c r="G90" s="13" t="str">
        <f>VLOOKUP(A90,'10-year CDS Spreads'!$A$2:$D$157,4)</f>
        <v>NA</v>
      </c>
      <c r="H90" s="13" t="str">
        <f t="shared" si="11"/>
        <v>NA</v>
      </c>
      <c r="I90" s="16" t="str">
        <f t="shared" si="8"/>
        <v>NA</v>
      </c>
    </row>
    <row r="91" spans="1:9" ht="16">
      <c r="A91" s="120" t="str">
        <f>'Sovereign Ratings (Moody''s,S&amp;P)'!A85</f>
        <v>Liechtenstein</v>
      </c>
      <c r="B91" s="115" t="str">
        <f>VLOOKUP(A91,'Regional lookup table'!$A$3:$B$161,2)</f>
        <v>Western Europe</v>
      </c>
      <c r="C91" s="11" t="str">
        <f>'Sovereign Ratings (Moody''s,S&amp;P)'!C85</f>
        <v>Aaa</v>
      </c>
      <c r="D91" s="23">
        <f t="shared" si="7"/>
        <v>0</v>
      </c>
      <c r="E91" s="23">
        <f t="shared" si="9"/>
        <v>4.24E-2</v>
      </c>
      <c r="F91" s="13">
        <f t="shared" si="10"/>
        <v>0</v>
      </c>
      <c r="G91" s="13" t="str">
        <f>VLOOKUP(A91,'10-year CDS Spreads'!$A$2:$D$157,4)</f>
        <v>NA</v>
      </c>
      <c r="H91" s="13" t="str">
        <f t="shared" si="11"/>
        <v>NA</v>
      </c>
      <c r="I91" s="16" t="str">
        <f t="shared" si="8"/>
        <v>NA</v>
      </c>
    </row>
    <row r="92" spans="1:9" ht="16">
      <c r="A92" s="120" t="str">
        <f>'Sovereign Ratings (Moody''s,S&amp;P)'!A86</f>
        <v>Lithuania</v>
      </c>
      <c r="B92" s="115" t="str">
        <f>VLOOKUP(A92,'Regional lookup table'!$A$3:$B$161,2)</f>
        <v>Eastern Europe &amp; Russia</v>
      </c>
      <c r="C92" s="11" t="str">
        <f>'Sovereign Ratings (Moody''s,S&amp;P)'!C86</f>
        <v>A2</v>
      </c>
      <c r="D92" s="23">
        <f t="shared" si="7"/>
        <v>7.2155677555223634E-3</v>
      </c>
      <c r="E92" s="23">
        <f t="shared" si="9"/>
        <v>5.0786340280806475E-2</v>
      </c>
      <c r="F92" s="13">
        <f t="shared" si="10"/>
        <v>8.3863402808064744E-3</v>
      </c>
      <c r="G92" s="13">
        <f>VLOOKUP(A92,'10-year CDS Spreads'!$A$2:$D$157,4)</f>
        <v>6.000000000000001E-3</v>
      </c>
      <c r="H92" s="13">
        <f t="shared" si="11"/>
        <v>4.9373538796905959E-2</v>
      </c>
      <c r="I92" s="16">
        <f t="shared" si="8"/>
        <v>6.9735387969059601E-3</v>
      </c>
    </row>
    <row r="93" spans="1:9" ht="16">
      <c r="A93" s="120" t="str">
        <f>'Sovereign Ratings (Moody''s,S&amp;P)'!A87</f>
        <v>Luxembourg</v>
      </c>
      <c r="B93" s="115" t="str">
        <f>VLOOKUP(A93,'Regional lookup table'!$A$3:$B$161,2)</f>
        <v>Western Europe</v>
      </c>
      <c r="C93" s="11" t="str">
        <f>'Sovereign Ratings (Moody''s,S&amp;P)'!C87</f>
        <v>Aaa</v>
      </c>
      <c r="D93" s="23">
        <f t="shared" si="7"/>
        <v>0</v>
      </c>
      <c r="E93" s="23">
        <f t="shared" si="9"/>
        <v>4.24E-2</v>
      </c>
      <c r="F93" s="13">
        <f t="shared" si="10"/>
        <v>0</v>
      </c>
      <c r="G93" s="13" t="str">
        <f>VLOOKUP(A93,'10-year CDS Spreads'!$A$2:$D$157,4)</f>
        <v>NA</v>
      </c>
      <c r="H93" s="13" t="str">
        <f t="shared" si="11"/>
        <v>NA</v>
      </c>
      <c r="I93" s="16" t="str">
        <f t="shared" si="8"/>
        <v>NA</v>
      </c>
    </row>
    <row r="94" spans="1:9" ht="16">
      <c r="A94" s="120" t="str">
        <f>'Sovereign Ratings (Moody''s,S&amp;P)'!A88</f>
        <v>Macao</v>
      </c>
      <c r="B94" s="115" t="str">
        <f>VLOOKUP(A94,'Regional lookup table'!$A$3:$B$161,2)</f>
        <v>Asia</v>
      </c>
      <c r="C94" s="11" t="str">
        <f>'Sovereign Ratings (Moody''s,S&amp;P)'!C88</f>
        <v>Aa3</v>
      </c>
      <c r="D94" s="23">
        <f t="shared" si="7"/>
        <v>5.1430110597872171E-3</v>
      </c>
      <c r="E94" s="23">
        <f t="shared" si="9"/>
        <v>4.8377497859723763E-2</v>
      </c>
      <c r="F94" s="13">
        <f t="shared" si="10"/>
        <v>5.9774978597237644E-3</v>
      </c>
      <c r="G94" s="13" t="str">
        <f>VLOOKUP(A94,'10-year CDS Spreads'!$A$2:$D$157,4)</f>
        <v>NA</v>
      </c>
      <c r="H94" s="13" t="str">
        <f t="shared" si="11"/>
        <v>NA</v>
      </c>
      <c r="I94" s="16" t="str">
        <f t="shared" si="8"/>
        <v>NA</v>
      </c>
    </row>
    <row r="95" spans="1:9" ht="16">
      <c r="A95" s="120" t="str">
        <f>'Sovereign Ratings (Moody''s,S&amp;P)'!A89</f>
        <v>Macedonia</v>
      </c>
      <c r="B95" s="115" t="str">
        <f>VLOOKUP(A95,'Regional lookup table'!$A$3:$B$161,2)</f>
        <v>Eastern Europe &amp; Russia</v>
      </c>
      <c r="C95" s="11" t="str">
        <f>'Sovereign Ratings (Moody''s,S&amp;P)'!C89</f>
        <v>Ba3</v>
      </c>
      <c r="D95" s="23">
        <f t="shared" si="7"/>
        <v>3.0627782281419401E-2</v>
      </c>
      <c r="E95" s="23">
        <f t="shared" si="9"/>
        <v>7.7997338000444505E-2</v>
      </c>
      <c r="F95" s="13">
        <f t="shared" si="10"/>
        <v>3.5597338000444512E-2</v>
      </c>
      <c r="G95" s="13" t="str">
        <f>VLOOKUP(A95,'10-year CDS Spreads'!$A$2:$D$157,4)</f>
        <v>NA</v>
      </c>
      <c r="H95" s="13" t="str">
        <f t="shared" si="11"/>
        <v>NA</v>
      </c>
      <c r="I95" s="16" t="str">
        <f t="shared" si="8"/>
        <v>NA</v>
      </c>
    </row>
    <row r="96" spans="1:9" ht="16">
      <c r="A96" s="120" t="str">
        <f>'Sovereign Ratings (Moody''s,S&amp;P)'!A90</f>
        <v>Malaysia</v>
      </c>
      <c r="B96" s="115" t="str">
        <f>VLOOKUP(A96,'Regional lookup table'!$A$3:$B$161,2)</f>
        <v>Asia</v>
      </c>
      <c r="C96" s="11" t="str">
        <f>'Sovereign Ratings (Moody''s,S&amp;P)'!C90</f>
        <v>A3</v>
      </c>
      <c r="D96" s="23">
        <f t="shared" si="7"/>
        <v>1.0209260760473134E-2</v>
      </c>
      <c r="E96" s="23">
        <f t="shared" ref="E96" si="16">$E$3+F96</f>
        <v>5.4265779333481506E-2</v>
      </c>
      <c r="F96" s="13">
        <f t="shared" ref="F96" si="17">IF($E$4="Yes",D96*$E$5,D96)</f>
        <v>1.1865779333481504E-2</v>
      </c>
      <c r="G96" s="13">
        <f>VLOOKUP(A96,'10-year CDS Spreads'!$A$2:$D$157,4)</f>
        <v>6.1999999999999998E-3</v>
      </c>
      <c r="H96" s="13">
        <f t="shared" ref="H96" si="18">IF(I96="NA","NA",$E$3+I96)</f>
        <v>4.9605990090136158E-2</v>
      </c>
      <c r="I96" s="16">
        <f t="shared" ref="I96" si="19">IF(G96="NA","NA",G96*$E$5)</f>
        <v>7.205990090136157E-3</v>
      </c>
    </row>
    <row r="97" spans="1:9" ht="16">
      <c r="A97" s="120" t="str">
        <f>'Sovereign Ratings (Moody''s,S&amp;P)'!A91</f>
        <v>Maldives</v>
      </c>
      <c r="B97" s="115" t="str">
        <f>VLOOKUP(A97,'Regional lookup table'!$A$3:$B$161,2)</f>
        <v>Asia</v>
      </c>
      <c r="C97" s="11" t="str">
        <f>'Sovereign Ratings (Moody''s,S&amp;P)'!C91</f>
        <v>Caa1</v>
      </c>
      <c r="D97" s="23">
        <f t="shared" si="7"/>
        <v>6.3788689413181762E-2</v>
      </c>
      <c r="E97" s="23">
        <f t="shared" si="9"/>
        <v>0.11653881673776789</v>
      </c>
      <c r="F97" s="13">
        <f t="shared" si="10"/>
        <v>7.4138816737767899E-2</v>
      </c>
      <c r="G97" s="13" t="str">
        <f>VLOOKUP(A97,'10-year CDS Spreads'!$A$2:$D$157,4)</f>
        <v>NA</v>
      </c>
      <c r="H97" s="13" t="str">
        <f t="shared" si="11"/>
        <v>NA</v>
      </c>
      <c r="I97" s="16" t="str">
        <f t="shared" si="8"/>
        <v>NA</v>
      </c>
    </row>
    <row r="98" spans="1:9" ht="16">
      <c r="A98" s="120" t="str">
        <f>'Sovereign Ratings (Moody''s,S&amp;P)'!A92</f>
        <v>Mali</v>
      </c>
      <c r="B98" s="115" t="str">
        <f>VLOOKUP(A98,'Regional lookup table'!$A$3:$B$161,2)</f>
        <v>Africa</v>
      </c>
      <c r="C98" s="11" t="str">
        <f>'Sovereign Ratings (Moody''s,S&amp;P)'!C92</f>
        <v>Caa1</v>
      </c>
      <c r="D98" s="23">
        <f t="shared" si="7"/>
        <v>6.3788689413181762E-2</v>
      </c>
      <c r="E98" s="23">
        <f t="shared" si="9"/>
        <v>0.11653881673776789</v>
      </c>
      <c r="F98" s="13">
        <f t="shared" si="10"/>
        <v>7.4138816737767899E-2</v>
      </c>
      <c r="G98" s="13" t="str">
        <f>VLOOKUP(A98,'10-year CDS Spreads'!$A$2:$D$157,4)</f>
        <v>NA</v>
      </c>
      <c r="H98" s="13" t="str">
        <f t="shared" si="11"/>
        <v>NA</v>
      </c>
      <c r="I98" s="16" t="str">
        <f t="shared" si="8"/>
        <v>NA</v>
      </c>
    </row>
    <row r="99" spans="1:9" ht="16">
      <c r="A99" s="120" t="str">
        <f>'Sovereign Ratings (Moody''s,S&amp;P)'!A93</f>
        <v>Malta</v>
      </c>
      <c r="B99" s="115" t="str">
        <f>VLOOKUP(A99,'Regional lookup table'!$A$3:$B$161,2)</f>
        <v>Western Europe</v>
      </c>
      <c r="C99" s="11" t="str">
        <f>'Sovereign Ratings (Moody''s,S&amp;P)'!C93</f>
        <v>A2</v>
      </c>
      <c r="D99" s="23">
        <f t="shared" si="7"/>
        <v>7.2155677555223634E-3</v>
      </c>
      <c r="E99" s="23">
        <f t="shared" si="9"/>
        <v>5.0786340280806475E-2</v>
      </c>
      <c r="F99" s="13">
        <f t="shared" si="10"/>
        <v>8.3863402808064744E-3</v>
      </c>
      <c r="G99" s="13" t="str">
        <f>VLOOKUP(A99,'10-year CDS Spreads'!$A$2:$D$157,4)</f>
        <v>NA</v>
      </c>
      <c r="H99" s="13" t="str">
        <f t="shared" si="11"/>
        <v>NA</v>
      </c>
      <c r="I99" s="16" t="str">
        <f t="shared" si="8"/>
        <v>NA</v>
      </c>
    </row>
    <row r="100" spans="1:9" ht="16">
      <c r="A100" s="120" t="str">
        <f>'Sovereign Ratings (Moody''s,S&amp;P)'!A94</f>
        <v>Mauritius</v>
      </c>
      <c r="B100" s="115" t="str">
        <f>VLOOKUP(A100,'Regional lookup table'!$A$3:$B$161,2)</f>
        <v>Africa</v>
      </c>
      <c r="C100" s="11" t="str">
        <f>'Sovereign Ratings (Moody''s,S&amp;P)'!C94</f>
        <v>Baa2</v>
      </c>
      <c r="D100" s="23">
        <f t="shared" si="7"/>
        <v>1.6196646770374669E-2</v>
      </c>
      <c r="E100" s="23">
        <f t="shared" si="9"/>
        <v>6.1224657438831556E-2</v>
      </c>
      <c r="F100" s="13">
        <f t="shared" si="10"/>
        <v>1.8824657438831559E-2</v>
      </c>
      <c r="G100" s="13" t="str">
        <f>VLOOKUP(A100,'10-year CDS Spreads'!$A$2:$D$157,4)</f>
        <v>NA</v>
      </c>
      <c r="H100" s="13" t="str">
        <f t="shared" si="11"/>
        <v>NA</v>
      </c>
      <c r="I100" s="16" t="str">
        <f t="shared" si="8"/>
        <v>NA</v>
      </c>
    </row>
    <row r="101" spans="1:9" ht="16">
      <c r="A101" s="120" t="str">
        <f>'Sovereign Ratings (Moody''s,S&amp;P)'!A95</f>
        <v>Mexico</v>
      </c>
      <c r="B101" s="115" t="str">
        <f>VLOOKUP(A101,'Regional lookup table'!$A$3:$B$161,2)</f>
        <v>Central and South America</v>
      </c>
      <c r="C101" s="11" t="str">
        <f>'Sovereign Ratings (Moody''s,S&amp;P)'!C95</f>
        <v>Baa1</v>
      </c>
      <c r="D101" s="23">
        <f t="shared" si="7"/>
        <v>1.358676056093041E-2</v>
      </c>
      <c r="E101" s="23">
        <f t="shared" si="9"/>
        <v>5.8191300315986662E-2</v>
      </c>
      <c r="F101" s="13">
        <f t="shared" si="10"/>
        <v>1.5791300315986662E-2</v>
      </c>
      <c r="G101" s="13">
        <f>VLOOKUP(A101,'10-year CDS Spreads'!$A$2:$D$157,4)</f>
        <v>1.3900000000000001E-2</v>
      </c>
      <c r="H101" s="13">
        <f t="shared" si="11"/>
        <v>5.8555364879498806E-2</v>
      </c>
      <c r="I101" s="16">
        <f t="shared" si="8"/>
        <v>1.6155364879498806E-2</v>
      </c>
    </row>
    <row r="102" spans="1:9" ht="16">
      <c r="A102" s="120" t="str">
        <f>'Sovereign Ratings (Moody''s,S&amp;P)'!A96</f>
        <v>Moldova</v>
      </c>
      <c r="B102" s="115" t="str">
        <f>VLOOKUP(A102,'Regional lookup table'!$A$3:$B$161,2)</f>
        <v>Eastern Europe &amp; Russia</v>
      </c>
      <c r="C102" s="11" t="str">
        <f>'Sovereign Ratings (Moody''s,S&amp;P)'!C96</f>
        <v>B3</v>
      </c>
      <c r="D102" s="23">
        <f t="shared" si="7"/>
        <v>5.5344939912038545E-2</v>
      </c>
      <c r="E102" s="23">
        <f t="shared" si="9"/>
        <v>0.10672501428150497</v>
      </c>
      <c r="F102" s="13">
        <f t="shared" si="10"/>
        <v>6.4325014281504972E-2</v>
      </c>
      <c r="G102" s="13" t="str">
        <f>VLOOKUP(A102,'10-year CDS Spreads'!$A$2:$D$157,4)</f>
        <v>NA</v>
      </c>
      <c r="H102" s="13" t="str">
        <f t="shared" si="11"/>
        <v>NA</v>
      </c>
      <c r="I102" s="16" t="str">
        <f t="shared" si="8"/>
        <v>NA</v>
      </c>
    </row>
    <row r="103" spans="1:9" ht="16">
      <c r="A103" s="120" t="str">
        <f>'Sovereign Ratings (Moody''s,S&amp;P)'!A97</f>
        <v>Mongolia</v>
      </c>
      <c r="B103" s="115" t="str">
        <f>VLOOKUP(A103,'Regional lookup table'!$A$3:$B$161,2)</f>
        <v>Asia</v>
      </c>
      <c r="C103" s="11" t="str">
        <f>'Sovereign Ratings (Moody''s,S&amp;P)'!C97</f>
        <v>B3</v>
      </c>
      <c r="D103" s="23">
        <f t="shared" si="7"/>
        <v>5.5344939912038545E-2</v>
      </c>
      <c r="E103" s="23">
        <f t="shared" si="9"/>
        <v>0.10672501428150497</v>
      </c>
      <c r="F103" s="13">
        <f t="shared" si="10"/>
        <v>6.4325014281504972E-2</v>
      </c>
      <c r="G103" s="13" t="str">
        <f>VLOOKUP(A103,'10-year CDS Spreads'!$A$2:$D$157,4)</f>
        <v>NA</v>
      </c>
      <c r="H103" s="13" t="str">
        <f t="shared" si="11"/>
        <v>NA</v>
      </c>
      <c r="I103" s="16" t="str">
        <f t="shared" si="8"/>
        <v>NA</v>
      </c>
    </row>
    <row r="104" spans="1:9" ht="16">
      <c r="A104" s="120" t="str">
        <f>'Sovereign Ratings (Moody''s,S&amp;P)'!A98</f>
        <v>Montenegro</v>
      </c>
      <c r="B104" s="115" t="str">
        <f>VLOOKUP(A104,'Regional lookup table'!$A$3:$B$161,2)</f>
        <v>Eastern Europe &amp; Russia</v>
      </c>
      <c r="C104" s="11" t="str">
        <f>'Sovereign Ratings (Moody''s,S&amp;P)'!C98</f>
        <v>B1</v>
      </c>
      <c r="D104" s="23">
        <f t="shared" si="7"/>
        <v>3.8303918191549574E-2</v>
      </c>
      <c r="E104" s="23">
        <f t="shared" si="9"/>
        <v>8.6918976597047143E-2</v>
      </c>
      <c r="F104" s="13">
        <f t="shared" si="10"/>
        <v>4.451897659704715E-2</v>
      </c>
      <c r="G104" s="13" t="str">
        <f>VLOOKUP(A104,'10-year CDS Spreads'!$A$2:$D$157,4)</f>
        <v>NA</v>
      </c>
      <c r="H104" s="13" t="str">
        <f t="shared" si="11"/>
        <v>NA</v>
      </c>
      <c r="I104" s="16" t="str">
        <f t="shared" si="8"/>
        <v>NA</v>
      </c>
    </row>
    <row r="105" spans="1:9" ht="16">
      <c r="A105" s="120" t="str">
        <f>'Sovereign Ratings (Moody''s,S&amp;P)'!A99</f>
        <v>Montserrat</v>
      </c>
      <c r="B105" s="115" t="str">
        <f>VLOOKUP(A105,'Regional lookup table'!$A$3:$B$161,2)</f>
        <v>Caribbean</v>
      </c>
      <c r="C105" s="11" t="str">
        <f>'Sovereign Ratings (Moody''s,S&amp;P)'!C99</f>
        <v>Baa3</v>
      </c>
      <c r="D105" s="23">
        <f t="shared" si="7"/>
        <v>1.8729771620717626E-2</v>
      </c>
      <c r="E105" s="23">
        <f t="shared" si="9"/>
        <v>6.4168798175710431E-2</v>
      </c>
      <c r="F105" s="13">
        <f t="shared" si="10"/>
        <v>2.1768798175710428E-2</v>
      </c>
      <c r="G105" s="13" t="str">
        <f>VLOOKUP(A105,'10-year CDS Spreads'!$A$2:$D$157,4)</f>
        <v>NA</v>
      </c>
      <c r="H105" s="13" t="str">
        <f t="shared" si="11"/>
        <v>NA</v>
      </c>
      <c r="I105" s="16" t="str">
        <f t="shared" si="8"/>
        <v>NA</v>
      </c>
    </row>
    <row r="106" spans="1:9" ht="16">
      <c r="A106" s="120" t="str">
        <f>'Sovereign Ratings (Moody''s,S&amp;P)'!A100</f>
        <v>Morocco</v>
      </c>
      <c r="B106" s="115" t="str">
        <f>VLOOKUP(A106,'Regional lookup table'!$A$3:$B$161,2)</f>
        <v>Africa</v>
      </c>
      <c r="C106" s="11" t="str">
        <f>'Sovereign Ratings (Moody''s,S&amp;P)'!C100</f>
        <v>Ba1</v>
      </c>
      <c r="D106" s="23">
        <f t="shared" si="7"/>
        <v>2.1262896471060586E-2</v>
      </c>
      <c r="E106" s="23">
        <f t="shared" si="9"/>
        <v>6.7112938912589293E-2</v>
      </c>
      <c r="F106" s="13">
        <f t="shared" si="10"/>
        <v>2.47129389125893E-2</v>
      </c>
      <c r="G106" s="13">
        <f>VLOOKUP(A106,'10-year CDS Spreads'!$A$2:$D$157,4)</f>
        <v>1.1299999999999999E-2</v>
      </c>
      <c r="H106" s="13">
        <f t="shared" si="11"/>
        <v>5.5533498067506223E-2</v>
      </c>
      <c r="I106" s="16">
        <f t="shared" si="8"/>
        <v>1.3133498067506221E-2</v>
      </c>
    </row>
    <row r="107" spans="1:9" ht="16">
      <c r="A107" s="120" t="str">
        <f>'Sovereign Ratings (Moody''s,S&amp;P)'!A101</f>
        <v>Mozambique</v>
      </c>
      <c r="B107" s="115" t="str">
        <f>VLOOKUP(A107,'Regional lookup table'!$A$3:$B$161,2)</f>
        <v>Africa</v>
      </c>
      <c r="C107" s="11" t="str">
        <f>'Sovereign Ratings (Moody''s,S&amp;P)'!C101</f>
        <v>Caa2</v>
      </c>
      <c r="D107" s="23">
        <f t="shared" si="7"/>
        <v>7.6607836383099148E-2</v>
      </c>
      <c r="E107" s="23">
        <f t="shared" si="9"/>
        <v>0.13143795319409429</v>
      </c>
      <c r="F107" s="13">
        <f t="shared" si="10"/>
        <v>8.9037953194094299E-2</v>
      </c>
      <c r="G107" s="13" t="str">
        <f>VLOOKUP(A107,'10-year CDS Spreads'!$A$2:$D$157,4)</f>
        <v>NA</v>
      </c>
      <c r="H107" s="13" t="str">
        <f t="shared" si="11"/>
        <v>NA</v>
      </c>
      <c r="I107" s="16" t="str">
        <f t="shared" si="8"/>
        <v>NA</v>
      </c>
    </row>
    <row r="108" spans="1:9" ht="16">
      <c r="A108" s="120" t="str">
        <f>'Sovereign Ratings (Moody''s,S&amp;P)'!A102</f>
        <v>Namibia</v>
      </c>
      <c r="B108" s="115" t="str">
        <f>VLOOKUP(A108,'Regional lookup table'!$A$3:$B$161,2)</f>
        <v>Africa</v>
      </c>
      <c r="C108" s="11" t="str">
        <f>'Sovereign Ratings (Moody''s,S&amp;P)'!C102</f>
        <v>Ba3</v>
      </c>
      <c r="D108" s="23">
        <f t="shared" si="7"/>
        <v>3.0627782281419401E-2</v>
      </c>
      <c r="E108" s="23">
        <f t="shared" si="9"/>
        <v>7.7997338000444505E-2</v>
      </c>
      <c r="F108" s="13">
        <f t="shared" si="10"/>
        <v>3.5597338000444512E-2</v>
      </c>
      <c r="G108" s="13" t="str">
        <f>VLOOKUP(A108,'10-year CDS Spreads'!$A$2:$D$157,4)</f>
        <v>NA</v>
      </c>
      <c r="H108" s="13" t="str">
        <f t="shared" si="11"/>
        <v>NA</v>
      </c>
      <c r="I108" s="16" t="str">
        <f t="shared" si="8"/>
        <v>NA</v>
      </c>
    </row>
    <row r="109" spans="1:9" ht="16">
      <c r="A109" s="120" t="str">
        <f>'Sovereign Ratings (Moody''s,S&amp;P)'!A103</f>
        <v>Netherlands</v>
      </c>
      <c r="B109" s="115" t="str">
        <f>VLOOKUP(A109,'Regional lookup table'!$A$3:$B$161,2)</f>
        <v>Western Europe</v>
      </c>
      <c r="C109" s="11" t="str">
        <f>'Sovereign Ratings (Moody''s,S&amp;P)'!C103</f>
        <v>Aaa</v>
      </c>
      <c r="D109" s="23">
        <f t="shared" si="7"/>
        <v>0</v>
      </c>
      <c r="E109" s="23">
        <f t="shared" si="9"/>
        <v>4.24E-2</v>
      </c>
      <c r="F109" s="13">
        <f t="shared" si="10"/>
        <v>0</v>
      </c>
      <c r="G109" s="13">
        <f>VLOOKUP(A109,'10-year CDS Spreads'!$A$2:$D$157,4)</f>
        <v>0</v>
      </c>
      <c r="H109" s="13">
        <f t="shared" si="11"/>
        <v>4.24E-2</v>
      </c>
      <c r="I109" s="16">
        <f t="shared" si="8"/>
        <v>0</v>
      </c>
    </row>
    <row r="110" spans="1:9" ht="16">
      <c r="A110" s="120" t="str">
        <f>'Sovereign Ratings (Moody''s,S&amp;P)'!A104</f>
        <v>New Zealand</v>
      </c>
      <c r="B110" s="115" t="str">
        <f>VLOOKUP(A110,'Regional lookup table'!$A$3:$B$161,2)</f>
        <v>Australia &amp; New Zealand</v>
      </c>
      <c r="C110" s="11" t="str">
        <f>'Sovereign Ratings (Moody''s,S&amp;P)'!C104</f>
        <v>Aaa</v>
      </c>
      <c r="D110" s="23">
        <f t="shared" si="7"/>
        <v>0</v>
      </c>
      <c r="E110" s="23">
        <f t="shared" si="9"/>
        <v>4.24E-2</v>
      </c>
      <c r="F110" s="13">
        <f t="shared" si="10"/>
        <v>0</v>
      </c>
      <c r="G110" s="13">
        <f>VLOOKUP(A110,'10-year CDS Spreads'!$A$2:$D$157,4)</f>
        <v>1.9999999999999987E-4</v>
      </c>
      <c r="H110" s="13">
        <f t="shared" si="11"/>
        <v>4.2632451293230199E-2</v>
      </c>
      <c r="I110" s="16">
        <f t="shared" si="8"/>
        <v>2.3245129323019848E-4</v>
      </c>
    </row>
    <row r="111" spans="1:9" ht="16">
      <c r="A111" s="120" t="str">
        <f>'Sovereign Ratings (Moody''s,S&amp;P)'!A105</f>
        <v>Nicaragua</v>
      </c>
      <c r="B111" s="115" t="str">
        <f>VLOOKUP(A111,'Regional lookup table'!$A$3:$B$161,2)</f>
        <v>Central and South America</v>
      </c>
      <c r="C111" s="11" t="str">
        <f>'Sovereign Ratings (Moody''s,S&amp;P)'!C105</f>
        <v>B3</v>
      </c>
      <c r="D111" s="23">
        <f t="shared" si="7"/>
        <v>5.5344939912038545E-2</v>
      </c>
      <c r="E111" s="23">
        <f t="shared" si="9"/>
        <v>0.10672501428150497</v>
      </c>
      <c r="F111" s="13">
        <f t="shared" si="10"/>
        <v>6.4325014281504972E-2</v>
      </c>
      <c r="G111" s="13">
        <f>VLOOKUP(A111,'10-year CDS Spreads'!$A$2:$D$157,4)</f>
        <v>4.1700000000000001E-2</v>
      </c>
      <c r="H111" s="13">
        <f t="shared" si="11"/>
        <v>9.0866094638496403E-2</v>
      </c>
      <c r="I111" s="16">
        <f t="shared" si="8"/>
        <v>4.846609463849641E-2</v>
      </c>
    </row>
    <row r="112" spans="1:9" ht="16">
      <c r="A112" s="120" t="str">
        <f>'Sovereign Ratings (Moody''s,S&amp;P)'!A106</f>
        <v>Niger</v>
      </c>
      <c r="B112" s="115" t="str">
        <f>VLOOKUP(A112,'Regional lookup table'!$A$3:$B$161,2)</f>
        <v>Africa</v>
      </c>
      <c r="C112" s="11" t="str">
        <f>'Sovereign Ratings (Moody''s,S&amp;P)'!C106</f>
        <v>B3</v>
      </c>
      <c r="D112" s="23">
        <f t="shared" si="7"/>
        <v>5.5344939912038545E-2</v>
      </c>
      <c r="E112" s="23">
        <f t="shared" ref="E112" si="20">$E$3+F112</f>
        <v>0.10672501428150497</v>
      </c>
      <c r="F112" s="13">
        <f t="shared" ref="F112" si="21">IF($E$4="Yes",D112*$E$5,D112)</f>
        <v>6.4325014281504972E-2</v>
      </c>
      <c r="G112" s="13" t="str">
        <f>VLOOKUP(A112,'10-year CDS Spreads'!$A$2:$D$157,4)</f>
        <v>NA</v>
      </c>
      <c r="H112" s="13" t="str">
        <f t="shared" ref="H112" si="22">IF(I112="NA","NA",$E$3+I112)</f>
        <v>NA</v>
      </c>
      <c r="I112" s="16" t="str">
        <f t="shared" ref="I112" si="23">IF(G112="NA","NA",G112*$E$5)</f>
        <v>NA</v>
      </c>
    </row>
    <row r="113" spans="1:9" ht="16">
      <c r="A113" s="120" t="str">
        <f>'Sovereign Ratings (Moody''s,S&amp;P)'!A107</f>
        <v>Nigeria</v>
      </c>
      <c r="B113" s="115" t="str">
        <f>VLOOKUP(A113,'Regional lookup table'!$A$3:$B$161,2)</f>
        <v>Africa</v>
      </c>
      <c r="C113" s="11" t="str">
        <f>'Sovereign Ratings (Moody''s,S&amp;P)'!C107</f>
        <v>B2</v>
      </c>
      <c r="D113" s="23">
        <f t="shared" si="7"/>
        <v>4.6824429051794063E-2</v>
      </c>
      <c r="E113" s="23">
        <f t="shared" si="9"/>
        <v>9.6821995439276054E-2</v>
      </c>
      <c r="F113" s="13">
        <f t="shared" si="10"/>
        <v>5.4421995439276061E-2</v>
      </c>
      <c r="G113" s="13">
        <f>VLOOKUP(A113,'10-year CDS Spreads'!$A$2:$D$157,4)</f>
        <v>5.3400000000000003E-2</v>
      </c>
      <c r="H113" s="13">
        <f t="shared" si="11"/>
        <v>0.10446449529246304</v>
      </c>
      <c r="I113" s="16">
        <f t="shared" si="8"/>
        <v>6.2064495292463037E-2</v>
      </c>
    </row>
    <row r="114" spans="1:9" ht="16">
      <c r="A114" s="120" t="str">
        <f>'Sovereign Ratings (Moody''s,S&amp;P)'!A108</f>
        <v>Norway</v>
      </c>
      <c r="B114" s="115" t="str">
        <f>VLOOKUP(A114,'Regional lookup table'!$A$3:$B$161,2)</f>
        <v>Western Europe</v>
      </c>
      <c r="C114" s="11" t="str">
        <f>'Sovereign Ratings (Moody''s,S&amp;P)'!C108</f>
        <v>Aaa</v>
      </c>
      <c r="D114" s="23">
        <f t="shared" si="7"/>
        <v>0</v>
      </c>
      <c r="E114" s="23">
        <f t="shared" si="9"/>
        <v>4.24E-2</v>
      </c>
      <c r="F114" s="13">
        <f t="shared" si="10"/>
        <v>0</v>
      </c>
      <c r="G114" s="13">
        <f>VLOOKUP(A114,'10-year CDS Spreads'!$A$2:$D$157,4)</f>
        <v>0</v>
      </c>
      <c r="H114" s="13">
        <f t="shared" si="11"/>
        <v>4.24E-2</v>
      </c>
      <c r="I114" s="16">
        <f t="shared" si="8"/>
        <v>0</v>
      </c>
    </row>
    <row r="115" spans="1:9" ht="16">
      <c r="A115" s="120" t="str">
        <f>'Sovereign Ratings (Moody''s,S&amp;P)'!A109</f>
        <v>Oman</v>
      </c>
      <c r="B115" s="115" t="str">
        <f>VLOOKUP(A115,'Regional lookup table'!$A$3:$B$161,2)</f>
        <v>Middle East</v>
      </c>
      <c r="C115" s="11" t="str">
        <f>'Sovereign Ratings (Moody''s,S&amp;P)'!C109</f>
        <v>Ba3</v>
      </c>
      <c r="D115" s="23">
        <f t="shared" si="7"/>
        <v>3.0627782281419401E-2</v>
      </c>
      <c r="E115" s="23">
        <f t="shared" si="9"/>
        <v>7.7997338000444505E-2</v>
      </c>
      <c r="F115" s="13">
        <f t="shared" si="10"/>
        <v>3.5597338000444512E-2</v>
      </c>
      <c r="G115" s="13">
        <f>VLOOKUP(A115,'10-year CDS Spreads'!$A$2:$D$157,4)</f>
        <v>0.03</v>
      </c>
      <c r="H115" s="13">
        <f t="shared" si="11"/>
        <v>7.7267693984529789E-2</v>
      </c>
      <c r="I115" s="16">
        <f t="shared" si="8"/>
        <v>3.4867693984529789E-2</v>
      </c>
    </row>
    <row r="116" spans="1:9" ht="16">
      <c r="A116" s="120" t="str">
        <f>'Sovereign Ratings (Moody''s,S&amp;P)'!A110</f>
        <v>Pakistan</v>
      </c>
      <c r="B116" s="115" t="str">
        <f>VLOOKUP(A116,'Regional lookup table'!$A$3:$B$161,2)</f>
        <v>Asia</v>
      </c>
      <c r="C116" s="11" t="str">
        <f>'Sovereign Ratings (Moody''s,S&amp;P)'!C110</f>
        <v>B3</v>
      </c>
      <c r="D116" s="23">
        <f t="shared" si="7"/>
        <v>5.5344939912038545E-2</v>
      </c>
      <c r="E116" s="23">
        <f t="shared" si="9"/>
        <v>0.10672501428150497</v>
      </c>
      <c r="F116" s="13">
        <f t="shared" si="10"/>
        <v>6.4325014281504972E-2</v>
      </c>
      <c r="G116" s="13">
        <f>VLOOKUP(A116,'10-year CDS Spreads'!$A$2:$D$157,4)</f>
        <v>3.4800000000000005E-2</v>
      </c>
      <c r="H116" s="13">
        <f t="shared" si="11"/>
        <v>8.2846525022054557E-2</v>
      </c>
      <c r="I116" s="16">
        <f t="shared" si="8"/>
        <v>4.0446525022054564E-2</v>
      </c>
    </row>
    <row r="117" spans="1:9" ht="16">
      <c r="A117" s="120" t="str">
        <f>'Sovereign Ratings (Moody''s,S&amp;P)'!A111</f>
        <v>Panama</v>
      </c>
      <c r="B117" s="115" t="str">
        <f>VLOOKUP(A117,'Regional lookup table'!$A$3:$B$161,2)</f>
        <v>Central and South America</v>
      </c>
      <c r="C117" s="11" t="str">
        <f>'Sovereign Ratings (Moody''s,S&amp;P)'!C111</f>
        <v>Baa2</v>
      </c>
      <c r="D117" s="23">
        <f t="shared" si="7"/>
        <v>1.6196646770374669E-2</v>
      </c>
      <c r="E117" s="23">
        <f t="shared" si="9"/>
        <v>6.1224657438831556E-2</v>
      </c>
      <c r="F117" s="13">
        <f t="shared" si="10"/>
        <v>1.8824657438831559E-2</v>
      </c>
      <c r="G117" s="13">
        <f>VLOOKUP(A117,'10-year CDS Spreads'!$A$2:$D$157,4)</f>
        <v>1.0699999999999999E-2</v>
      </c>
      <c r="H117" s="13">
        <f t="shared" si="11"/>
        <v>5.4836144187815627E-2</v>
      </c>
      <c r="I117" s="16">
        <f t="shared" si="8"/>
        <v>1.2436144187815626E-2</v>
      </c>
    </row>
    <row r="118" spans="1:9" ht="16">
      <c r="A118" s="120" t="str">
        <f>'Sovereign Ratings (Moody''s,S&amp;P)'!A112</f>
        <v>Papua New Guinea</v>
      </c>
      <c r="B118" s="115" t="str">
        <f>VLOOKUP(A118,'Regional lookup table'!$A$3:$B$161,2)</f>
        <v>Asia</v>
      </c>
      <c r="C118" s="11" t="str">
        <f>'Sovereign Ratings (Moody''s,S&amp;P)'!C112</f>
        <v>B2</v>
      </c>
      <c r="D118" s="23">
        <f t="shared" si="7"/>
        <v>4.6824429051794063E-2</v>
      </c>
      <c r="E118" s="23">
        <f t="shared" si="9"/>
        <v>9.6821995439276054E-2</v>
      </c>
      <c r="F118" s="13">
        <f t="shared" si="10"/>
        <v>5.4421995439276061E-2</v>
      </c>
      <c r="G118" s="13" t="str">
        <f>VLOOKUP(A118,'10-year CDS Spreads'!$A$2:$D$157,4)</f>
        <v>NA</v>
      </c>
      <c r="H118" s="13" t="str">
        <f t="shared" si="11"/>
        <v>NA</v>
      </c>
      <c r="I118" s="16" t="str">
        <f t="shared" si="8"/>
        <v>NA</v>
      </c>
    </row>
    <row r="119" spans="1:9" ht="16">
      <c r="A119" s="120" t="str">
        <f>'Sovereign Ratings (Moody''s,S&amp;P)'!A113</f>
        <v>Paraguay</v>
      </c>
      <c r="B119" s="115" t="str">
        <f>VLOOKUP(A119,'Regional lookup table'!$A$3:$B$161,2)</f>
        <v>Central and South America</v>
      </c>
      <c r="C119" s="11" t="str">
        <f>'Sovereign Ratings (Moody''s,S&amp;P)'!C113</f>
        <v>Ba1</v>
      </c>
      <c r="D119" s="23">
        <f t="shared" si="7"/>
        <v>2.1262896471060586E-2</v>
      </c>
      <c r="E119" s="23">
        <f t="shared" si="9"/>
        <v>6.7112938912589293E-2</v>
      </c>
      <c r="F119" s="13">
        <f t="shared" si="10"/>
        <v>2.47129389125893E-2</v>
      </c>
      <c r="G119" s="13" t="str">
        <f>VLOOKUP(A119,'10-year CDS Spreads'!$A$2:$D$157,4)</f>
        <v>NA</v>
      </c>
      <c r="H119" s="13" t="str">
        <f t="shared" si="11"/>
        <v>NA</v>
      </c>
      <c r="I119" s="16" t="str">
        <f t="shared" si="8"/>
        <v>NA</v>
      </c>
    </row>
    <row r="120" spans="1:9" ht="16">
      <c r="A120" s="120" t="str">
        <f>'Sovereign Ratings (Moody''s,S&amp;P)'!A114</f>
        <v>Peru</v>
      </c>
      <c r="B120" s="115" t="str">
        <f>VLOOKUP(A120,'Regional lookup table'!$A$3:$B$161,2)</f>
        <v>Central and South America</v>
      </c>
      <c r="C120" s="11" t="str">
        <f>'Sovereign Ratings (Moody''s,S&amp;P)'!C114</f>
        <v>Baa1</v>
      </c>
      <c r="D120" s="23">
        <f t="shared" si="7"/>
        <v>1.358676056093041E-2</v>
      </c>
      <c r="E120" s="23">
        <f t="shared" si="9"/>
        <v>5.8191300315986662E-2</v>
      </c>
      <c r="F120" s="13">
        <f t="shared" si="10"/>
        <v>1.5791300315986662E-2</v>
      </c>
      <c r="G120" s="13">
        <f>VLOOKUP(A120,'10-year CDS Spreads'!$A$2:$D$157,4)</f>
        <v>1.12E-2</v>
      </c>
      <c r="H120" s="13">
        <f t="shared" si="11"/>
        <v>5.5417272420891124E-2</v>
      </c>
      <c r="I120" s="16">
        <f t="shared" si="8"/>
        <v>1.3017272420891122E-2</v>
      </c>
    </row>
    <row r="121" spans="1:9" ht="16">
      <c r="A121" s="120" t="str">
        <f>'Sovereign Ratings (Moody''s,S&amp;P)'!A115</f>
        <v>Philippines</v>
      </c>
      <c r="B121" s="115" t="str">
        <f>VLOOKUP(A121,'Regional lookup table'!$A$3:$B$161,2)</f>
        <v>Asia</v>
      </c>
      <c r="C121" s="11" t="str">
        <f>'Sovereign Ratings (Moody''s,S&amp;P)'!C115</f>
        <v>Baa2</v>
      </c>
      <c r="D121" s="23">
        <f t="shared" si="7"/>
        <v>1.6196646770374669E-2</v>
      </c>
      <c r="E121" s="23">
        <f t="shared" si="9"/>
        <v>6.1224657438831556E-2</v>
      </c>
      <c r="F121" s="13">
        <f t="shared" si="10"/>
        <v>1.8824657438831559E-2</v>
      </c>
      <c r="G121" s="13">
        <f>VLOOKUP(A121,'10-year CDS Spreads'!$A$2:$D$157,4)</f>
        <v>7.3000000000000001E-3</v>
      </c>
      <c r="H121" s="13">
        <f t="shared" si="11"/>
        <v>5.0884472202902251E-2</v>
      </c>
      <c r="I121" s="16">
        <f t="shared" si="8"/>
        <v>8.4844722029022504E-3</v>
      </c>
    </row>
    <row r="122" spans="1:9" ht="16">
      <c r="A122" s="120" t="str">
        <f>'Sovereign Ratings (Moody''s,S&amp;P)'!A116</f>
        <v>Poland</v>
      </c>
      <c r="B122" s="115" t="str">
        <f>VLOOKUP(A122,'Regional lookup table'!$A$3:$B$161,2)</f>
        <v>Eastern Europe &amp; Russia</v>
      </c>
      <c r="C122" s="11" t="str">
        <f>'Sovereign Ratings (Moody''s,S&amp;P)'!C116</f>
        <v>A2</v>
      </c>
      <c r="D122" s="23">
        <f t="shared" si="7"/>
        <v>7.2155677555223634E-3</v>
      </c>
      <c r="E122" s="23">
        <f t="shared" si="9"/>
        <v>5.0786340280806475E-2</v>
      </c>
      <c r="F122" s="13">
        <f t="shared" si="10"/>
        <v>8.3863402808064744E-3</v>
      </c>
      <c r="G122" s="13">
        <f>VLOOKUP(A122,'10-year CDS Spreads'!$A$2:$D$157,4)</f>
        <v>4.8999999999999998E-3</v>
      </c>
      <c r="H122" s="13">
        <f t="shared" si="11"/>
        <v>4.8095056684139867E-2</v>
      </c>
      <c r="I122" s="16">
        <f t="shared" si="8"/>
        <v>5.6950566841398658E-3</v>
      </c>
    </row>
    <row r="123" spans="1:9" ht="16">
      <c r="A123" s="120" t="str">
        <f>'Sovereign Ratings (Moody''s,S&amp;P)'!A117</f>
        <v>Portugal</v>
      </c>
      <c r="B123" s="115" t="str">
        <f>VLOOKUP(A123,'Regional lookup table'!$A$3:$B$161,2)</f>
        <v>Western Europe</v>
      </c>
      <c r="C123" s="11" t="str">
        <f>'Sovereign Ratings (Moody''s,S&amp;P)'!C117</f>
        <v>Baa2</v>
      </c>
      <c r="D123" s="23">
        <f t="shared" si="7"/>
        <v>1.6196646770374669E-2</v>
      </c>
      <c r="E123" s="23">
        <f t="shared" si="9"/>
        <v>6.1224657438831556E-2</v>
      </c>
      <c r="F123" s="13">
        <f t="shared" si="10"/>
        <v>1.8824657438831559E-2</v>
      </c>
      <c r="G123" s="13">
        <f>VLOOKUP(A123,'10-year CDS Spreads'!$A$2:$D$157,4)</f>
        <v>3.7000000000000002E-3</v>
      </c>
      <c r="H123" s="13">
        <f t="shared" si="11"/>
        <v>4.6700348924758675E-2</v>
      </c>
      <c r="I123" s="16">
        <f t="shared" si="8"/>
        <v>4.3003489247586749E-3</v>
      </c>
    </row>
    <row r="124" spans="1:9" ht="16">
      <c r="A124" s="120" t="str">
        <f>'Sovereign Ratings (Moody''s,S&amp;P)'!A118</f>
        <v>Qatar</v>
      </c>
      <c r="B124" s="115" t="str">
        <f>VLOOKUP(A124,'Regional lookup table'!$A$3:$B$161,2)</f>
        <v>Middle East</v>
      </c>
      <c r="C124" s="11" t="str">
        <f>'Sovereign Ratings (Moody''s,S&amp;P)'!C118</f>
        <v>Aa3</v>
      </c>
      <c r="D124" s="23">
        <f t="shared" si="7"/>
        <v>5.1430110597872171E-3</v>
      </c>
      <c r="E124" s="23">
        <f t="shared" si="9"/>
        <v>4.8377497859723763E-2</v>
      </c>
      <c r="F124" s="13">
        <f t="shared" si="10"/>
        <v>5.9774978597237644E-3</v>
      </c>
      <c r="G124" s="13">
        <f>VLOOKUP(A124,'10-year CDS Spreads'!$A$2:$D$157,4)</f>
        <v>5.5000000000000005E-3</v>
      </c>
      <c r="H124" s="13">
        <f t="shared" si="11"/>
        <v>4.8792410563830463E-2</v>
      </c>
      <c r="I124" s="16">
        <f t="shared" si="8"/>
        <v>6.3924105638304626E-3</v>
      </c>
    </row>
    <row r="125" spans="1:9" ht="16">
      <c r="A125" s="120" t="str">
        <f>'Sovereign Ratings (Moody''s,S&amp;P)'!A119</f>
        <v>Ras Al Khaimah (Emirate of)</v>
      </c>
      <c r="B125" s="115" t="str">
        <f>VLOOKUP(A125,'Regional lookup table'!$A$3:$B$161,2)</f>
        <v>Middle East</v>
      </c>
      <c r="C125" s="11" t="str">
        <f>'Sovereign Ratings (Moody''s,S&amp;P)'!C119</f>
        <v>A3</v>
      </c>
      <c r="D125" s="23">
        <f t="shared" si="7"/>
        <v>1.0209260760473134E-2</v>
      </c>
      <c r="E125" s="23">
        <f t="shared" si="9"/>
        <v>5.4265779333481506E-2</v>
      </c>
      <c r="F125" s="13">
        <f t="shared" si="10"/>
        <v>1.1865779333481504E-2</v>
      </c>
      <c r="G125" s="13" t="str">
        <f>VLOOKUP(A125,'10-year CDS Spreads'!$A$2:$D$157,4)</f>
        <v>NA</v>
      </c>
      <c r="H125" s="13" t="str">
        <f t="shared" si="11"/>
        <v>NA</v>
      </c>
      <c r="I125" s="16" t="str">
        <f t="shared" si="8"/>
        <v>NA</v>
      </c>
    </row>
    <row r="126" spans="1:9" ht="16">
      <c r="A126" s="120" t="str">
        <f>'Sovereign Ratings (Moody''s,S&amp;P)'!A120</f>
        <v>Romania</v>
      </c>
      <c r="B126" s="115" t="str">
        <f>VLOOKUP(A126,'Regional lookup table'!$A$3:$B$161,2)</f>
        <v>Eastern Europe &amp; Russia</v>
      </c>
      <c r="C126" s="11" t="str">
        <f>'Sovereign Ratings (Moody''s,S&amp;P)'!C120</f>
        <v>Baa3</v>
      </c>
      <c r="D126" s="23">
        <f t="shared" si="7"/>
        <v>1.8729771620717626E-2</v>
      </c>
      <c r="E126" s="23">
        <f t="shared" si="9"/>
        <v>6.4168798175710431E-2</v>
      </c>
      <c r="F126" s="13">
        <f t="shared" si="10"/>
        <v>2.1768798175710428E-2</v>
      </c>
      <c r="G126" s="13">
        <f>VLOOKUP(A126,'10-year CDS Spreads'!$A$2:$D$157,4)</f>
        <v>1.0499999999999999E-2</v>
      </c>
      <c r="H126" s="13">
        <f t="shared" si="11"/>
        <v>5.4603692894585429E-2</v>
      </c>
      <c r="I126" s="16">
        <f t="shared" si="8"/>
        <v>1.2203692894585427E-2</v>
      </c>
    </row>
    <row r="127" spans="1:9" ht="16">
      <c r="A127" s="120" t="str">
        <f>'Sovereign Ratings (Moody''s,S&amp;P)'!A121</f>
        <v>Russia</v>
      </c>
      <c r="B127" s="115" t="str">
        <f>VLOOKUP(A127,'Regional lookup table'!$A$3:$B$161,2)</f>
        <v>Eastern Europe &amp; Russia</v>
      </c>
      <c r="C127" s="11" t="str">
        <f>'Sovereign Ratings (Moody''s,S&amp;P)'!C121</f>
        <v>Baa3</v>
      </c>
      <c r="D127" s="23">
        <f t="shared" si="7"/>
        <v>1.8729771620717626E-2</v>
      </c>
      <c r="E127" s="23">
        <f t="shared" si="9"/>
        <v>6.4168798175710431E-2</v>
      </c>
      <c r="F127" s="13">
        <f t="shared" si="10"/>
        <v>2.1768798175710428E-2</v>
      </c>
      <c r="G127" s="13">
        <f>VLOOKUP(A127,'10-year CDS Spreads'!$A$2:$D$157,4)</f>
        <v>1.5100000000000001E-2</v>
      </c>
      <c r="H127" s="13">
        <f t="shared" si="11"/>
        <v>5.9950072638879998E-2</v>
      </c>
      <c r="I127" s="16">
        <f t="shared" si="8"/>
        <v>1.7550072638879997E-2</v>
      </c>
    </row>
    <row r="128" spans="1:9" ht="16">
      <c r="A128" s="120" t="str">
        <f>'Sovereign Ratings (Moody''s,S&amp;P)'!A122</f>
        <v>Rwanda</v>
      </c>
      <c r="B128" s="115" t="str">
        <f>VLOOKUP(A128,'Regional lookup table'!$A$3:$B$161,2)</f>
        <v>Africa</v>
      </c>
      <c r="C128" s="11" t="str">
        <f>'Sovereign Ratings (Moody''s,S&amp;P)'!C122</f>
        <v>B2</v>
      </c>
      <c r="D128" s="23">
        <f t="shared" si="7"/>
        <v>4.6824429051794063E-2</v>
      </c>
      <c r="E128" s="23">
        <f t="shared" si="9"/>
        <v>9.6821995439276054E-2</v>
      </c>
      <c r="F128" s="13">
        <f t="shared" si="10"/>
        <v>5.4421995439276061E-2</v>
      </c>
      <c r="G128" s="13">
        <f>VLOOKUP(A128,'10-year CDS Spreads'!$A$2:$D$157,4)</f>
        <v>3.1699999999999999E-2</v>
      </c>
      <c r="H128" s="13">
        <f t="shared" si="11"/>
        <v>7.9243529976986471E-2</v>
      </c>
      <c r="I128" s="16">
        <f t="shared" si="8"/>
        <v>3.6843529976986478E-2</v>
      </c>
    </row>
    <row r="129" spans="1:9" ht="16">
      <c r="A129" s="120" t="str">
        <f>'Sovereign Ratings (Moody''s,S&amp;P)'!A123</f>
        <v>Saudi Arabia</v>
      </c>
      <c r="B129" s="115" t="str">
        <f>VLOOKUP(A129,'Regional lookup table'!$A$3:$B$161,2)</f>
        <v>Middle East</v>
      </c>
      <c r="C129" s="11" t="str">
        <f>'Sovereign Ratings (Moody''s,S&amp;P)'!C123</f>
        <v>A1</v>
      </c>
      <c r="D129" s="23">
        <f t="shared" si="7"/>
        <v>5.987386009901537E-3</v>
      </c>
      <c r="E129" s="23">
        <f t="shared" si="9"/>
        <v>4.9358878105350057E-2</v>
      </c>
      <c r="F129" s="13">
        <f t="shared" si="10"/>
        <v>6.958878105350055E-3</v>
      </c>
      <c r="G129" s="13">
        <f>VLOOKUP(A129,'10-year CDS Spreads'!$A$2:$D$157,4)</f>
        <v>6.9000000000000008E-3</v>
      </c>
      <c r="H129" s="13">
        <f t="shared" si="11"/>
        <v>5.0419569616441853E-2</v>
      </c>
      <c r="I129" s="16">
        <f t="shared" si="8"/>
        <v>8.0195696164418531E-3</v>
      </c>
    </row>
    <row r="130" spans="1:9" ht="16">
      <c r="A130" s="120" t="str">
        <f>'Sovereign Ratings (Moody''s,S&amp;P)'!A124</f>
        <v>Senegal</v>
      </c>
      <c r="B130" s="115" t="str">
        <f>VLOOKUP(A130,'Regional lookup table'!$A$3:$B$161,2)</f>
        <v>Africa</v>
      </c>
      <c r="C130" s="11" t="str">
        <f>'Sovereign Ratings (Moody''s,S&amp;P)'!C124</f>
        <v>Ba3</v>
      </c>
      <c r="D130" s="23">
        <f t="shared" si="7"/>
        <v>3.0627782281419401E-2</v>
      </c>
      <c r="E130" s="23">
        <f t="shared" si="9"/>
        <v>7.7997338000444505E-2</v>
      </c>
      <c r="F130" s="13">
        <f t="shared" si="10"/>
        <v>3.5597338000444512E-2</v>
      </c>
      <c r="G130" s="13">
        <f>VLOOKUP(A130,'10-year CDS Spreads'!$A$2:$D$157,4)</f>
        <v>2.47E-2</v>
      </c>
      <c r="H130" s="13">
        <f t="shared" si="11"/>
        <v>7.1107734713929532E-2</v>
      </c>
      <c r="I130" s="16">
        <f t="shared" si="8"/>
        <v>2.8707734713929529E-2</v>
      </c>
    </row>
    <row r="131" spans="1:9" ht="16">
      <c r="A131" s="120" t="str">
        <f>'Sovereign Ratings (Moody''s,S&amp;P)'!A125</f>
        <v>Serbia</v>
      </c>
      <c r="B131" s="115" t="str">
        <f>VLOOKUP(A131,'Regional lookup table'!$A$3:$B$161,2)</f>
        <v>Eastern Europe &amp; Russia</v>
      </c>
      <c r="C131" s="11" t="str">
        <f>'Sovereign Ratings (Moody''s,S&amp;P)'!C125</f>
        <v>Ba2</v>
      </c>
      <c r="D131" s="23">
        <f t="shared" si="7"/>
        <v>2.5561532580733477E-2</v>
      </c>
      <c r="E131" s="23">
        <f t="shared" si="9"/>
        <v>7.2109056526686768E-2</v>
      </c>
      <c r="F131" s="13">
        <f>IF($E$4="Yes",D131*$E$5,D131)</f>
        <v>2.9709056526686765E-2</v>
      </c>
      <c r="G131" s="13">
        <f>VLOOKUP(A131,'10-year CDS Spreads'!$A$2:$D$157,4)</f>
        <v>1.18E-2</v>
      </c>
      <c r="H131" s="13">
        <f t="shared" si="11"/>
        <v>5.611462630058172E-2</v>
      </c>
      <c r="I131" s="16">
        <f t="shared" si="8"/>
        <v>1.3714626300581718E-2</v>
      </c>
    </row>
    <row r="132" spans="1:9" ht="16">
      <c r="A132" s="120" t="str">
        <f>'Sovereign Ratings (Moody''s,S&amp;P)'!A126</f>
        <v>Sharjah</v>
      </c>
      <c r="B132" s="115" t="str">
        <f>VLOOKUP(A132,'Regional lookup table'!$A$3:$B$161,2)</f>
        <v>Middle East</v>
      </c>
      <c r="C132" s="11" t="str">
        <f>'Sovereign Ratings (Moody''s,S&amp;P)'!C126</f>
        <v>Baa3</v>
      </c>
      <c r="D132" s="23">
        <f t="shared" si="7"/>
        <v>1.8729771620717626E-2</v>
      </c>
      <c r="E132" s="23">
        <f t="shared" si="9"/>
        <v>6.4168798175710431E-2</v>
      </c>
      <c r="F132" s="13">
        <f t="shared" ref="F132:F143" si="24">IF($E$4="Yes",D132*$E$5,D132)</f>
        <v>2.1768798175710428E-2</v>
      </c>
      <c r="G132" s="13" t="str">
        <f>VLOOKUP(A132,'10-year CDS Spreads'!$A$2:$D$157,4)</f>
        <v>NA</v>
      </c>
      <c r="H132" s="13" t="str">
        <f t="shared" si="11"/>
        <v>NA</v>
      </c>
      <c r="I132" s="16" t="str">
        <f t="shared" si="8"/>
        <v>NA</v>
      </c>
    </row>
    <row r="133" spans="1:9" ht="16">
      <c r="A133" s="120" t="str">
        <f>'Sovereign Ratings (Moody''s,S&amp;P)'!A127</f>
        <v>Singapore</v>
      </c>
      <c r="B133" s="115" t="str">
        <f>VLOOKUP(A133,'Regional lookup table'!$A$3:$B$161,2)</f>
        <v>Asia</v>
      </c>
      <c r="C133" s="11" t="str">
        <f>'Sovereign Ratings (Moody''s,S&amp;P)'!C127</f>
        <v>Aaa</v>
      </c>
      <c r="D133" s="23">
        <f t="shared" si="7"/>
        <v>0</v>
      </c>
      <c r="E133" s="23">
        <f t="shared" si="9"/>
        <v>4.24E-2</v>
      </c>
      <c r="F133" s="13">
        <f t="shared" si="24"/>
        <v>0</v>
      </c>
      <c r="G133" s="13" t="str">
        <f>VLOOKUP(A133,'10-year CDS Spreads'!$A$2:$D$157,4)</f>
        <v>NA</v>
      </c>
      <c r="H133" s="13" t="str">
        <f t="shared" si="11"/>
        <v>NA</v>
      </c>
      <c r="I133" s="16" t="str">
        <f t="shared" si="8"/>
        <v>NA</v>
      </c>
    </row>
    <row r="134" spans="1:9" ht="16">
      <c r="A134" s="120" t="str">
        <f>'Sovereign Ratings (Moody''s,S&amp;P)'!A128</f>
        <v>Slovakia</v>
      </c>
      <c r="B134" s="115" t="str">
        <f>VLOOKUP(A134,'Regional lookup table'!$A$3:$B$161,2)</f>
        <v>Eastern Europe &amp; Russia</v>
      </c>
      <c r="C134" s="11" t="str">
        <f>'Sovereign Ratings (Moody''s,S&amp;P)'!C128</f>
        <v>A2</v>
      </c>
      <c r="D134" s="23">
        <f t="shared" si="7"/>
        <v>7.2155677555223634E-3</v>
      </c>
      <c r="E134" s="23">
        <f t="shared" ref="E134" si="25">$E$3+F134</f>
        <v>5.0786340280806475E-2</v>
      </c>
      <c r="F134" s="13">
        <f t="shared" ref="F134" si="26">IF($E$4="Yes",D134*$E$5,D134)</f>
        <v>8.3863402808064744E-3</v>
      </c>
      <c r="G134" s="13">
        <f>VLOOKUP(A134,'10-year CDS Spreads'!$A$2:$D$157,4)</f>
        <v>4.4000000000000003E-3</v>
      </c>
      <c r="H134" s="13">
        <f t="shared" ref="H134" si="27">IF(I134="NA","NA",$E$3+I134)</f>
        <v>4.751392845106437E-2</v>
      </c>
      <c r="I134" s="16">
        <f t="shared" ref="I134" si="28">IF(G134="NA","NA",G134*$E$5)</f>
        <v>5.1139284510643701E-3</v>
      </c>
    </row>
    <row r="135" spans="1:9" ht="16">
      <c r="A135" s="120" t="str">
        <f>'Sovereign Ratings (Moody''s,S&amp;P)'!A129</f>
        <v>Slovenia</v>
      </c>
      <c r="B135" s="115" t="str">
        <f>VLOOKUP(A135,'Regional lookup table'!$A$3:$B$161,2)</f>
        <v>Eastern Europe &amp; Russia</v>
      </c>
      <c r="C135" s="11" t="str">
        <f>'Sovereign Ratings (Moody''s,S&amp;P)'!C129</f>
        <v>A3</v>
      </c>
      <c r="D135" s="23">
        <f t="shared" si="7"/>
        <v>1.0209260760473134E-2</v>
      </c>
      <c r="E135" s="23">
        <f t="shared" si="9"/>
        <v>5.4265779333481506E-2</v>
      </c>
      <c r="F135" s="13">
        <f t="shared" si="24"/>
        <v>1.1865779333481504E-2</v>
      </c>
      <c r="G135" s="13">
        <f>VLOOKUP(A135,'10-year CDS Spreads'!$A$2:$D$157,4)</f>
        <v>6.7999999999999996E-3</v>
      </c>
      <c r="H135" s="13">
        <f t="shared" si="11"/>
        <v>5.0303343969826754E-2</v>
      </c>
      <c r="I135" s="16">
        <f t="shared" si="8"/>
        <v>7.9033439698267521E-3</v>
      </c>
    </row>
    <row r="136" spans="1:9" ht="16">
      <c r="A136" s="120" t="str">
        <f>'Sovereign Ratings (Moody''s,S&amp;P)'!A130</f>
        <v>Solomon Islands</v>
      </c>
      <c r="B136" s="115" t="str">
        <f>VLOOKUP(A136,'Regional lookup table'!$A$3:$B$161,2)</f>
        <v>Asia</v>
      </c>
      <c r="C136" s="11" t="str">
        <f>'Sovereign Ratings (Moody''s,S&amp;P)'!C130</f>
        <v>Caa1</v>
      </c>
      <c r="D136" s="23">
        <f t="shared" si="7"/>
        <v>6.3788689413181762E-2</v>
      </c>
      <c r="E136" s="23">
        <f t="shared" si="9"/>
        <v>0.11653881673776789</v>
      </c>
      <c r="F136" s="13">
        <f t="shared" si="24"/>
        <v>7.4138816737767899E-2</v>
      </c>
      <c r="G136" s="13" t="str">
        <f>VLOOKUP(A136,'10-year CDS Spreads'!$A$2:$D$157,4)</f>
        <v>NA</v>
      </c>
      <c r="H136" s="13" t="str">
        <f t="shared" si="11"/>
        <v>NA</v>
      </c>
      <c r="I136" s="16" t="str">
        <f t="shared" si="8"/>
        <v>NA</v>
      </c>
    </row>
    <row r="137" spans="1:9" ht="16">
      <c r="A137" s="120" t="str">
        <f>'Sovereign Ratings (Moody''s,S&amp;P)'!A131</f>
        <v>South Africa</v>
      </c>
      <c r="B137" s="115" t="str">
        <f>VLOOKUP(A137,'Regional lookup table'!$A$3:$B$161,2)</f>
        <v>Africa</v>
      </c>
      <c r="C137" s="11" t="str">
        <f>'Sovereign Ratings (Moody''s,S&amp;P)'!C131</f>
        <v>Ba2</v>
      </c>
      <c r="D137" s="23">
        <f t="shared" ref="D137:D164" si="29">VLOOKUP(C137,$J$9:$K$31,2,FALSE)/10000</f>
        <v>2.5561532580733477E-2</v>
      </c>
      <c r="E137" s="23">
        <f t="shared" si="9"/>
        <v>7.2109056526686768E-2</v>
      </c>
      <c r="F137" s="13">
        <f t="shared" si="24"/>
        <v>2.9709056526686765E-2</v>
      </c>
      <c r="G137" s="13">
        <f>VLOOKUP(A137,'10-year CDS Spreads'!$A$2:$D$157,4)</f>
        <v>2.6600000000000002E-2</v>
      </c>
      <c r="H137" s="13">
        <f t="shared" si="11"/>
        <v>7.3316021999616426E-2</v>
      </c>
      <c r="I137" s="16">
        <f t="shared" si="8"/>
        <v>3.0916021999616419E-2</v>
      </c>
    </row>
    <row r="138" spans="1:9" ht="16">
      <c r="A138" s="120" t="str">
        <f>'Sovereign Ratings (Moody''s,S&amp;P)'!A132</f>
        <v>Spain</v>
      </c>
      <c r="B138" s="115" t="str">
        <f>VLOOKUP(A138,'Regional lookup table'!$A$3:$B$161,2)</f>
        <v>Western Europe</v>
      </c>
      <c r="C138" s="11" t="str">
        <f>'Sovereign Ratings (Moody''s,S&amp;P)'!C132</f>
        <v>Baa1</v>
      </c>
      <c r="D138" s="23">
        <f t="shared" si="29"/>
        <v>1.358676056093041E-2</v>
      </c>
      <c r="E138" s="23">
        <f t="shared" si="9"/>
        <v>5.8191300315986662E-2</v>
      </c>
      <c r="F138" s="13">
        <f t="shared" si="24"/>
        <v>1.5791300315986662E-2</v>
      </c>
      <c r="G138" s="13">
        <f>VLOOKUP(A138,'10-year CDS Spreads'!$A$2:$D$157,4)</f>
        <v>4.1000000000000003E-3</v>
      </c>
      <c r="H138" s="13">
        <f t="shared" si="11"/>
        <v>4.7165251511219072E-2</v>
      </c>
      <c r="I138" s="16">
        <f t="shared" si="8"/>
        <v>4.7652515112190721E-3</v>
      </c>
    </row>
    <row r="139" spans="1:9" ht="16">
      <c r="A139" s="120" t="str">
        <f>'Sovereign Ratings (Moody''s,S&amp;P)'!A133</f>
        <v>Sri Lanka</v>
      </c>
      <c r="B139" s="115" t="str">
        <f>VLOOKUP(A139,'Regional lookup table'!$A$3:$B$161,2)</f>
        <v>Asia</v>
      </c>
      <c r="C139" s="11" t="str">
        <f>'Sovereign Ratings (Moody''s,S&amp;P)'!C133</f>
        <v>Caa2</v>
      </c>
      <c r="D139" s="23">
        <f t="shared" si="29"/>
        <v>7.6607836383099148E-2</v>
      </c>
      <c r="E139" s="23">
        <f t="shared" si="9"/>
        <v>0.13143795319409429</v>
      </c>
      <c r="F139" s="13">
        <f t="shared" si="24"/>
        <v>8.9037953194094299E-2</v>
      </c>
      <c r="G139" s="13">
        <f>VLOOKUP(A139,'10-year CDS Spreads'!$A$2:$D$157,4)</f>
        <v>0.19499999999999998</v>
      </c>
      <c r="H139" s="13">
        <f t="shared" si="11"/>
        <v>0.26904001089944363</v>
      </c>
      <c r="I139" s="16">
        <f t="shared" si="8"/>
        <v>0.22664001089944363</v>
      </c>
    </row>
    <row r="140" spans="1:9" ht="16">
      <c r="A140" s="120" t="str">
        <f>'Sovereign Ratings (Moody''s,S&amp;P)'!A134</f>
        <v>St. Maarten</v>
      </c>
      <c r="B140" s="115" t="str">
        <f>VLOOKUP(A140,'Regional lookup table'!$A$3:$B$161,2)</f>
        <v>Caribbean</v>
      </c>
      <c r="C140" s="11" t="str">
        <f>'Sovereign Ratings (Moody''s,S&amp;P)'!C134</f>
        <v>Ba2</v>
      </c>
      <c r="D140" s="23">
        <f t="shared" si="29"/>
        <v>2.5561532580733477E-2</v>
      </c>
      <c r="E140" s="23">
        <f t="shared" si="9"/>
        <v>7.2109056526686768E-2</v>
      </c>
      <c r="F140" s="13">
        <f t="shared" si="24"/>
        <v>2.9709056526686765E-2</v>
      </c>
      <c r="G140" s="13" t="str">
        <f>VLOOKUP(A140,'10-year CDS Spreads'!$A$2:$D$157,4)</f>
        <v>NA</v>
      </c>
      <c r="H140" s="13" t="str">
        <f t="shared" si="11"/>
        <v>NA</v>
      </c>
      <c r="I140" s="16" t="str">
        <f t="shared" si="8"/>
        <v>NA</v>
      </c>
    </row>
    <row r="141" spans="1:9" ht="16">
      <c r="A141" s="120" t="str">
        <f>'Sovereign Ratings (Moody''s,S&amp;P)'!A135</f>
        <v>St. Vincent &amp; the Grenadines</v>
      </c>
      <c r="B141" s="115" t="str">
        <f>VLOOKUP(A141,'Regional lookup table'!$A$3:$B$161,2)</f>
        <v>Caribbean</v>
      </c>
      <c r="C141" s="11" t="str">
        <f>'Sovereign Ratings (Moody''s,S&amp;P)'!C135</f>
        <v>B3</v>
      </c>
      <c r="D141" s="23">
        <f t="shared" si="29"/>
        <v>5.5344939912038545E-2</v>
      </c>
      <c r="E141" s="23">
        <f>$E$3+F141</f>
        <v>0.10672501428150497</v>
      </c>
      <c r="F141" s="13">
        <f>IF($E$4="Yes",D141*$E$5,D141)</f>
        <v>6.4325014281504972E-2</v>
      </c>
      <c r="G141" s="13" t="str">
        <f>VLOOKUP(A141,'10-year CDS Spreads'!$A$2:$D$157,4)</f>
        <v>NA</v>
      </c>
      <c r="H141" s="13" t="str">
        <f>IF(I141="NA","NA",$E$3+I141)</f>
        <v>NA</v>
      </c>
      <c r="I141" s="16" t="str">
        <f>IF(G141="NA","NA",G141*$E$5)</f>
        <v>NA</v>
      </c>
    </row>
    <row r="142" spans="1:9" ht="16">
      <c r="A142" s="120" t="str">
        <f>'Sovereign Ratings (Moody''s,S&amp;P)'!A136</f>
        <v>Suriname</v>
      </c>
      <c r="B142" s="115" t="str">
        <f>VLOOKUP(A142,'Regional lookup table'!$A$3:$B$161,2)</f>
        <v>Central and South America</v>
      </c>
      <c r="C142" s="11" t="str">
        <f>'Sovereign Ratings (Moody''s,S&amp;P)'!C136</f>
        <v>Caa3</v>
      </c>
      <c r="D142" s="23">
        <f t="shared" si="29"/>
        <v>8.5051585884242345E-2</v>
      </c>
      <c r="E142" s="23">
        <f t="shared" si="9"/>
        <v>0.14125175565035719</v>
      </c>
      <c r="F142" s="13">
        <f t="shared" si="24"/>
        <v>9.8851755650357198E-2</v>
      </c>
      <c r="G142" s="13" t="str">
        <f>VLOOKUP(A142,'10-year CDS Spreads'!$A$2:$D$157,4)</f>
        <v>NA</v>
      </c>
      <c r="H142" s="13" t="str">
        <f t="shared" si="11"/>
        <v>NA</v>
      </c>
      <c r="I142" s="16" t="str">
        <f t="shared" ref="I142:I160" si="30">IF(G142="NA","NA",G142*$E$5)</f>
        <v>NA</v>
      </c>
    </row>
    <row r="143" spans="1:9" ht="16">
      <c r="A143" s="120" t="str">
        <f>'Sovereign Ratings (Moody''s,S&amp;P)'!A137</f>
        <v>Swaziland</v>
      </c>
      <c r="B143" s="115" t="str">
        <f>VLOOKUP(A143,'Regional lookup table'!$A$3:$B$161,2)</f>
        <v>Africa</v>
      </c>
      <c r="C143" s="11" t="str">
        <f>'Sovereign Ratings (Moody''s,S&amp;P)'!C137</f>
        <v>B3</v>
      </c>
      <c r="D143" s="23">
        <f t="shared" si="29"/>
        <v>5.5344939912038545E-2</v>
      </c>
      <c r="E143" s="23">
        <f t="shared" si="9"/>
        <v>0.10672501428150497</v>
      </c>
      <c r="F143" s="13">
        <f t="shared" si="24"/>
        <v>6.4325014281504972E-2</v>
      </c>
      <c r="G143" s="13" t="str">
        <f>VLOOKUP(A143,'10-year CDS Spreads'!$A$2:$D$157,4)</f>
        <v>NA</v>
      </c>
      <c r="H143" s="13" t="str">
        <f t="shared" si="11"/>
        <v>NA</v>
      </c>
      <c r="I143" s="16" t="str">
        <f t="shared" si="30"/>
        <v>NA</v>
      </c>
    </row>
    <row r="144" spans="1:9" ht="16">
      <c r="A144" s="120" t="str">
        <f>'Sovereign Ratings (Moody''s,S&amp;P)'!A138</f>
        <v>Sweden</v>
      </c>
      <c r="B144" s="115" t="str">
        <f>VLOOKUP(A144,'Regional lookup table'!$A$3:$B$161,2)</f>
        <v>Western Europe</v>
      </c>
      <c r="C144" s="11" t="str">
        <f>'Sovereign Ratings (Moody''s,S&amp;P)'!C138</f>
        <v>Aaa</v>
      </c>
      <c r="D144" s="23">
        <f t="shared" si="29"/>
        <v>0</v>
      </c>
      <c r="E144" s="23">
        <f t="shared" si="9"/>
        <v>4.24E-2</v>
      </c>
      <c r="F144" s="13">
        <f t="shared" ref="F144:F151" si="31">IF($E$4="Yes",D144*$E$5,D144)</f>
        <v>0</v>
      </c>
      <c r="G144" s="13">
        <f>VLOOKUP(A144,'10-year CDS Spreads'!$A$2:$D$157,4)</f>
        <v>0</v>
      </c>
      <c r="H144" s="13">
        <f t="shared" si="11"/>
        <v>4.24E-2</v>
      </c>
      <c r="I144" s="16">
        <f t="shared" si="30"/>
        <v>0</v>
      </c>
    </row>
    <row r="145" spans="1:9" ht="16">
      <c r="A145" s="120" t="str">
        <f>'Sovereign Ratings (Moody''s,S&amp;P)'!A139</f>
        <v>Switzerland</v>
      </c>
      <c r="B145" s="115" t="str">
        <f>VLOOKUP(A145,'Regional lookup table'!$A$3:$B$161,2)</f>
        <v>Western Europe</v>
      </c>
      <c r="C145" s="11" t="str">
        <f>'Sovereign Ratings (Moody''s,S&amp;P)'!C139</f>
        <v>Aaa</v>
      </c>
      <c r="D145" s="23">
        <f t="shared" si="29"/>
        <v>0</v>
      </c>
      <c r="E145" s="23">
        <f>$E$3+F145</f>
        <v>4.24E-2</v>
      </c>
      <c r="F145" s="13">
        <f>IF($E$4="Yes",D145*$E$5,D145)</f>
        <v>0</v>
      </c>
      <c r="G145" s="13">
        <f>VLOOKUP(A145,'10-year CDS Spreads'!$A$2:$D$157,4)</f>
        <v>0</v>
      </c>
      <c r="H145" s="13">
        <f>IF(I145="NA","NA",$E$3+I145)</f>
        <v>4.24E-2</v>
      </c>
      <c r="I145" s="16">
        <f>IF(G145="NA","NA",G145*$E$5)</f>
        <v>0</v>
      </c>
    </row>
    <row r="146" spans="1:9" ht="16">
      <c r="A146" s="120" t="str">
        <f>'Sovereign Ratings (Moody''s,S&amp;P)'!A140</f>
        <v>Taiwan</v>
      </c>
      <c r="B146" s="115" t="str">
        <f>VLOOKUP(A146,'Regional lookup table'!$A$3:$B$161,2)</f>
        <v>Asia</v>
      </c>
      <c r="C146" s="11" t="str">
        <f>'Sovereign Ratings (Moody''s,S&amp;P)'!C140</f>
        <v>Aa3</v>
      </c>
      <c r="D146" s="23">
        <f t="shared" si="29"/>
        <v>5.1430110597872171E-3</v>
      </c>
      <c r="E146" s="23">
        <f>$E$3+F146</f>
        <v>4.8377497859723763E-2</v>
      </c>
      <c r="F146" s="13">
        <f>IF($E$4="Yes",D146*$E$5,D146)</f>
        <v>5.9774978597237644E-3</v>
      </c>
      <c r="G146" s="13" t="str">
        <f>VLOOKUP(A146,'10-year CDS Spreads'!$A$2:$D$157,4)</f>
        <v>NA</v>
      </c>
      <c r="H146" s="13" t="str">
        <f>IF(I146="NA","NA",$E$3+I146)</f>
        <v>NA</v>
      </c>
      <c r="I146" s="16" t="str">
        <f>IF(G146="NA","NA",G146*$E$5)</f>
        <v>NA</v>
      </c>
    </row>
    <row r="147" spans="1:9" ht="16">
      <c r="A147" s="120" t="str">
        <f>'Sovereign Ratings (Moody''s,S&amp;P)'!A141</f>
        <v>Tajikistan</v>
      </c>
      <c r="B147" s="115" t="str">
        <f>VLOOKUP(A147,'Regional lookup table'!$A$3:$B$161,2)</f>
        <v>Eastern Europe &amp; Russia</v>
      </c>
      <c r="C147" s="11" t="str">
        <f>'Sovereign Ratings (Moody''s,S&amp;P)'!C141</f>
        <v>B3</v>
      </c>
      <c r="D147" s="23">
        <f t="shared" si="29"/>
        <v>5.5344939912038545E-2</v>
      </c>
      <c r="E147" s="23">
        <f t="shared" ref="E147:E155" si="32">$E$3+F147</f>
        <v>0.10672501428150497</v>
      </c>
      <c r="F147" s="13">
        <f t="shared" si="31"/>
        <v>6.4325014281504972E-2</v>
      </c>
      <c r="G147" s="13" t="str">
        <f>VLOOKUP(A147,'10-year CDS Spreads'!$A$2:$D$157,4)</f>
        <v>NA</v>
      </c>
      <c r="H147" s="13" t="str">
        <f t="shared" ref="H147:H155" si="33">IF(I147="NA","NA",$E$3+I147)</f>
        <v>NA</v>
      </c>
      <c r="I147" s="16" t="str">
        <f t="shared" si="30"/>
        <v>NA</v>
      </c>
    </row>
    <row r="148" spans="1:9" ht="16">
      <c r="A148" s="120" t="str">
        <f>'Sovereign Ratings (Moody''s,S&amp;P)'!A142</f>
        <v>Tanzania</v>
      </c>
      <c r="B148" s="115" t="str">
        <f>VLOOKUP(A148,'Regional lookup table'!$A$3:$B$161,2)</f>
        <v>Africa</v>
      </c>
      <c r="C148" s="11" t="str">
        <f>'Sovereign Ratings (Moody''s,S&amp;P)'!C142</f>
        <v>B2</v>
      </c>
      <c r="D148" s="23">
        <f t="shared" si="29"/>
        <v>4.6824429051794063E-2</v>
      </c>
      <c r="E148" s="23">
        <f t="shared" si="32"/>
        <v>9.6821995439276054E-2</v>
      </c>
      <c r="F148" s="13">
        <f t="shared" si="31"/>
        <v>5.4421995439276061E-2</v>
      </c>
      <c r="G148" s="13" t="str">
        <f>VLOOKUP(A148,'10-year CDS Spreads'!$A$2:$D$157,4)</f>
        <v>NA</v>
      </c>
      <c r="H148" s="13" t="str">
        <f t="shared" si="33"/>
        <v>NA</v>
      </c>
      <c r="I148" s="16" t="str">
        <f t="shared" si="30"/>
        <v>NA</v>
      </c>
    </row>
    <row r="149" spans="1:9" ht="16">
      <c r="A149" s="120" t="str">
        <f>'Sovereign Ratings (Moody''s,S&amp;P)'!A143</f>
        <v>Thailand</v>
      </c>
      <c r="B149" s="115" t="str">
        <f>VLOOKUP(A149,'Regional lookup table'!$A$3:$B$161,2)</f>
        <v>Asia</v>
      </c>
      <c r="C149" s="11" t="str">
        <f>'Sovereign Ratings (Moody''s,S&amp;P)'!C143</f>
        <v>Baa1</v>
      </c>
      <c r="D149" s="23">
        <f t="shared" si="29"/>
        <v>1.358676056093041E-2</v>
      </c>
      <c r="E149" s="23">
        <f t="shared" si="32"/>
        <v>5.8191300315986662E-2</v>
      </c>
      <c r="F149" s="13">
        <f t="shared" si="31"/>
        <v>1.5791300315986662E-2</v>
      </c>
      <c r="G149" s="13">
        <f>VLOOKUP(A149,'10-year CDS Spreads'!$A$2:$D$157,4)</f>
        <v>3.3E-3</v>
      </c>
      <c r="H149" s="13">
        <f t="shared" si="33"/>
        <v>4.6235446338298278E-2</v>
      </c>
      <c r="I149" s="16">
        <f t="shared" si="30"/>
        <v>3.8354463382982771E-3</v>
      </c>
    </row>
    <row r="150" spans="1:9" ht="16">
      <c r="A150" s="120" t="str">
        <f>'Sovereign Ratings (Moody''s,S&amp;P)'!A144</f>
        <v>Togo</v>
      </c>
      <c r="B150" s="115" t="str">
        <f>VLOOKUP(A150,'Regional lookup table'!$A$3:$B$161,2)</f>
        <v>Africa</v>
      </c>
      <c r="C150" s="11" t="str">
        <f>'Sovereign Ratings (Moody''s,S&amp;P)'!C144</f>
        <v>B3</v>
      </c>
      <c r="D150" s="23">
        <f t="shared" si="29"/>
        <v>5.5344939912038545E-2</v>
      </c>
      <c r="E150" s="23">
        <f t="shared" si="32"/>
        <v>0.10672501428150497</v>
      </c>
      <c r="F150" s="13">
        <f t="shared" si="31"/>
        <v>6.4325014281504972E-2</v>
      </c>
      <c r="G150" s="13" t="str">
        <f>VLOOKUP(A150,'10-year CDS Spreads'!$A$2:$D$157,4)</f>
        <v>NA</v>
      </c>
      <c r="H150" s="13" t="str">
        <f t="shared" si="33"/>
        <v>NA</v>
      </c>
      <c r="I150" s="16" t="str">
        <f t="shared" si="30"/>
        <v>NA</v>
      </c>
    </row>
    <row r="151" spans="1:9" ht="16">
      <c r="A151" s="120" t="str">
        <f>'Sovereign Ratings (Moody''s,S&amp;P)'!A145</f>
        <v>Trinidad and Tobago</v>
      </c>
      <c r="B151" s="115" t="str">
        <f>VLOOKUP(A151,'Regional lookup table'!$A$3:$B$161,2)</f>
        <v>Caribbean</v>
      </c>
      <c r="C151" s="11" t="str">
        <f>'Sovereign Ratings (Moody''s,S&amp;P)'!C145</f>
        <v>Ba2</v>
      </c>
      <c r="D151" s="23">
        <f t="shared" si="29"/>
        <v>2.5561532580733477E-2</v>
      </c>
      <c r="E151" s="23">
        <f t="shared" si="32"/>
        <v>7.2109056526686768E-2</v>
      </c>
      <c r="F151" s="13">
        <f t="shared" si="31"/>
        <v>2.9709056526686765E-2</v>
      </c>
      <c r="G151" s="13" t="str">
        <f>VLOOKUP(A151,'10-year CDS Spreads'!$A$2:$D$157,4)</f>
        <v>NA</v>
      </c>
      <c r="H151" s="13" t="str">
        <f t="shared" si="33"/>
        <v>NA</v>
      </c>
      <c r="I151" s="16" t="str">
        <f t="shared" si="30"/>
        <v>NA</v>
      </c>
    </row>
    <row r="152" spans="1:9" ht="16">
      <c r="A152" s="120" t="str">
        <f>'Sovereign Ratings (Moody''s,S&amp;P)'!A146</f>
        <v>Tunisia</v>
      </c>
      <c r="B152" s="115" t="str">
        <f>VLOOKUP(A152,'Regional lookup table'!$A$3:$B$161,2)</f>
        <v>Africa</v>
      </c>
      <c r="C152" s="11" t="str">
        <f>'Sovereign Ratings (Moody''s,S&amp;P)'!C146</f>
        <v>Caa1</v>
      </c>
      <c r="D152" s="23">
        <f t="shared" si="29"/>
        <v>6.3788689413181762E-2</v>
      </c>
      <c r="E152" s="23">
        <f t="shared" si="32"/>
        <v>0.11653881673776789</v>
      </c>
      <c r="F152" s="13">
        <f t="shared" ref="F152:F160" si="34">IF($E$4="Yes",D152*$E$5,D152)</f>
        <v>7.4138816737767899E-2</v>
      </c>
      <c r="G152" s="13">
        <f>VLOOKUP(A152,'10-year CDS Spreads'!$A$2:$D$157,4)</f>
        <v>8.6300000000000002E-2</v>
      </c>
      <c r="H152" s="13">
        <f t="shared" si="33"/>
        <v>0.14270273302883071</v>
      </c>
      <c r="I152" s="16">
        <f t="shared" si="30"/>
        <v>0.10030273302883071</v>
      </c>
    </row>
    <row r="153" spans="1:9" ht="16">
      <c r="A153" s="120" t="str">
        <f>'Sovereign Ratings (Moody''s,S&amp;P)'!A147</f>
        <v>Turkey</v>
      </c>
      <c r="B153" s="115" t="str">
        <f>VLOOKUP(A153,'Regional lookup table'!$A$3:$B$161,2)</f>
        <v>Western Europe</v>
      </c>
      <c r="C153" s="11" t="str">
        <f>'Sovereign Ratings (Moody''s,S&amp;P)'!C147</f>
        <v>B2</v>
      </c>
      <c r="D153" s="23">
        <f t="shared" si="29"/>
        <v>4.6824429051794063E-2</v>
      </c>
      <c r="E153" s="23">
        <f t="shared" si="32"/>
        <v>9.6821995439276054E-2</v>
      </c>
      <c r="F153" s="13">
        <f t="shared" si="34"/>
        <v>5.4421995439276061E-2</v>
      </c>
      <c r="G153" s="13">
        <f>VLOOKUP(A153,'10-year CDS Spreads'!$A$2:$D$157,4)</f>
        <v>5.3200000000000004E-2</v>
      </c>
      <c r="H153" s="13">
        <f t="shared" si="33"/>
        <v>0.10423204399923283</v>
      </c>
      <c r="I153" s="16">
        <f t="shared" si="30"/>
        <v>6.1832043999232839E-2</v>
      </c>
    </row>
    <row r="154" spans="1:9" ht="16">
      <c r="A154" s="120" t="str">
        <f>'Sovereign Ratings (Moody''s,S&amp;P)'!A148</f>
        <v>Turks and Caicos Islands</v>
      </c>
      <c r="B154" s="115" t="str">
        <f>VLOOKUP(A154,'Regional lookup table'!$A$3:$B$161,2)</f>
        <v>Caribbean</v>
      </c>
      <c r="C154" s="11" t="str">
        <f>'Sovereign Ratings (Moody''s,S&amp;P)'!C148</f>
        <v>Baa1</v>
      </c>
      <c r="D154" s="23">
        <f t="shared" si="29"/>
        <v>1.358676056093041E-2</v>
      </c>
      <c r="E154" s="23">
        <f t="shared" si="32"/>
        <v>5.8191300315986662E-2</v>
      </c>
      <c r="F154" s="13">
        <f t="shared" si="34"/>
        <v>1.5791300315986662E-2</v>
      </c>
      <c r="G154" s="13" t="str">
        <f>VLOOKUP(A154,'10-year CDS Spreads'!$A$2:$D$157,4)</f>
        <v>NA</v>
      </c>
      <c r="H154" s="13" t="str">
        <f t="shared" si="33"/>
        <v>NA</v>
      </c>
      <c r="I154" s="16" t="str">
        <f t="shared" si="30"/>
        <v>NA</v>
      </c>
    </row>
    <row r="155" spans="1:9" ht="16">
      <c r="A155" s="120" t="str">
        <f>'Sovereign Ratings (Moody''s,S&amp;P)'!A149</f>
        <v>Uganda</v>
      </c>
      <c r="B155" s="115" t="str">
        <f>VLOOKUP(A155,'Regional lookup table'!$A$3:$B$161,2)</f>
        <v>Africa</v>
      </c>
      <c r="C155" s="11" t="str">
        <f>'Sovereign Ratings (Moody''s,S&amp;P)'!C149</f>
        <v>B2</v>
      </c>
      <c r="D155" s="23">
        <f t="shared" si="29"/>
        <v>4.6824429051794063E-2</v>
      </c>
      <c r="E155" s="23">
        <f t="shared" si="32"/>
        <v>9.6821995439276054E-2</v>
      </c>
      <c r="F155" s="13">
        <f t="shared" si="34"/>
        <v>5.4421995439276061E-2</v>
      </c>
      <c r="G155" s="13" t="str">
        <f>VLOOKUP(A155,'10-year CDS Spreads'!$A$2:$D$157,4)</f>
        <v>NA</v>
      </c>
      <c r="H155" s="13" t="str">
        <f t="shared" si="33"/>
        <v>NA</v>
      </c>
      <c r="I155" s="16" t="str">
        <f t="shared" si="30"/>
        <v>NA</v>
      </c>
    </row>
    <row r="156" spans="1:9" ht="16">
      <c r="A156" s="120" t="str">
        <f>'Sovereign Ratings (Moody''s,S&amp;P)'!A150</f>
        <v>Ukraine</v>
      </c>
      <c r="B156" s="115" t="str">
        <f>VLOOKUP(A156,'Regional lookup table'!$A$3:$B$161,2)</f>
        <v>Eastern Europe &amp; Russia</v>
      </c>
      <c r="C156" s="11" t="str">
        <f>'Sovereign Ratings (Moody''s,S&amp;P)'!C150</f>
        <v>B3</v>
      </c>
      <c r="D156" s="23">
        <f t="shared" si="29"/>
        <v>5.5344939912038545E-2</v>
      </c>
      <c r="E156" s="23">
        <f t="shared" ref="E156:E161" si="35">$E$3+F156</f>
        <v>0.10672501428150497</v>
      </c>
      <c r="F156" s="13">
        <f t="shared" si="34"/>
        <v>6.4325014281504972E-2</v>
      </c>
      <c r="G156" s="13">
        <f>VLOOKUP(A156,'10-year CDS Spreads'!$A$2:$D$157,4)</f>
        <v>5.9799999999999999E-2</v>
      </c>
      <c r="H156" s="13">
        <f t="shared" ref="H156:H161" si="36">IF(I156="NA","NA",$E$3+I156)</f>
        <v>0.11190293667582937</v>
      </c>
      <c r="I156" s="16">
        <f t="shared" si="30"/>
        <v>6.950293667582938E-2</v>
      </c>
    </row>
    <row r="157" spans="1:9" ht="16">
      <c r="A157" s="120" t="str">
        <f>'Sovereign Ratings (Moody''s,S&amp;P)'!A151</f>
        <v>United Arab Emirates</v>
      </c>
      <c r="B157" s="115" t="str">
        <f>VLOOKUP(A157,'Regional lookup table'!$A$3:$B$161,2)</f>
        <v>Middle East</v>
      </c>
      <c r="C157" s="11" t="str">
        <f>'Sovereign Ratings (Moody''s,S&amp;P)'!C151</f>
        <v>Aa2</v>
      </c>
      <c r="D157" s="23">
        <f t="shared" si="29"/>
        <v>4.2218747505715949E-3</v>
      </c>
      <c r="E157" s="23">
        <f t="shared" si="35"/>
        <v>4.730690122813145E-2</v>
      </c>
      <c r="F157" s="13">
        <f t="shared" si="34"/>
        <v>4.9069012281314477E-3</v>
      </c>
      <c r="G157" s="13" t="str">
        <f>VLOOKUP(A157,'10-year CDS Spreads'!$A$2:$D$157,4)</f>
        <v>NA</v>
      </c>
      <c r="H157" s="13" t="str">
        <f t="shared" si="36"/>
        <v>NA</v>
      </c>
      <c r="I157" s="16" t="str">
        <f t="shared" si="30"/>
        <v>NA</v>
      </c>
    </row>
    <row r="158" spans="1:9" ht="16">
      <c r="A158" s="120" t="str">
        <f>'Sovereign Ratings (Moody''s,S&amp;P)'!A152</f>
        <v>United Kingdom</v>
      </c>
      <c r="B158" s="115" t="str">
        <f>VLOOKUP(A158,'Regional lookup table'!$A$3:$B$161,2)</f>
        <v>Western Europe</v>
      </c>
      <c r="C158" s="11" t="str">
        <f>'Sovereign Ratings (Moody''s,S&amp;P)'!C152</f>
        <v>Aa3</v>
      </c>
      <c r="D158" s="23">
        <f t="shared" si="29"/>
        <v>5.1430110597872171E-3</v>
      </c>
      <c r="E158" s="23">
        <f t="shared" si="35"/>
        <v>4.8377497859723763E-2</v>
      </c>
      <c r="F158" s="13">
        <f t="shared" si="34"/>
        <v>5.9774978597237644E-3</v>
      </c>
      <c r="G158" s="13">
        <f>VLOOKUP(A158,'10-year CDS Spreads'!$A$2:$D$157,4)</f>
        <v>0</v>
      </c>
      <c r="H158" s="13">
        <f t="shared" si="36"/>
        <v>4.24E-2</v>
      </c>
      <c r="I158" s="16">
        <f t="shared" si="30"/>
        <v>0</v>
      </c>
    </row>
    <row r="159" spans="1:9" ht="16">
      <c r="A159" s="120" t="str">
        <f>'Sovereign Ratings (Moody''s,S&amp;P)'!A153</f>
        <v>United States</v>
      </c>
      <c r="B159" s="115" t="str">
        <f>VLOOKUP(A159,'Regional lookup table'!$A$3:$B$161,2)</f>
        <v>North America</v>
      </c>
      <c r="C159" s="11" t="str">
        <f>'Sovereign Ratings (Moody''s,S&amp;P)'!C153</f>
        <v>Aaa</v>
      </c>
      <c r="D159" s="23">
        <f t="shared" si="29"/>
        <v>0</v>
      </c>
      <c r="E159" s="23">
        <f t="shared" si="35"/>
        <v>4.24E-2</v>
      </c>
      <c r="F159" s="13">
        <f t="shared" si="34"/>
        <v>0</v>
      </c>
      <c r="G159" s="13">
        <f>VLOOKUP(A159,'10-year CDS Spreads'!$A$2:$D$157,4)</f>
        <v>0</v>
      </c>
      <c r="H159" s="13">
        <f t="shared" si="36"/>
        <v>4.24E-2</v>
      </c>
      <c r="I159" s="16">
        <f t="shared" si="30"/>
        <v>0</v>
      </c>
    </row>
    <row r="160" spans="1:9" ht="16">
      <c r="A160" s="127" t="str">
        <f>'Sovereign Ratings (Moody''s,S&amp;P)'!A154</f>
        <v>Uruguay</v>
      </c>
      <c r="B160" s="117" t="str">
        <f>VLOOKUP(A160,'Regional lookup table'!$A$3:$B$161,2)</f>
        <v>Central and South America</v>
      </c>
      <c r="C160" s="101" t="str">
        <f>'Sovereign Ratings (Moody''s,S&amp;P)'!C154</f>
        <v>Baa2</v>
      </c>
      <c r="D160" s="23">
        <f t="shared" si="29"/>
        <v>1.6196646770374669E-2</v>
      </c>
      <c r="E160" s="128">
        <f t="shared" si="35"/>
        <v>6.1224657438831556E-2</v>
      </c>
      <c r="F160" s="129">
        <f t="shared" si="34"/>
        <v>1.8824657438831559E-2</v>
      </c>
      <c r="G160" s="129">
        <f>VLOOKUP(A160,'10-year CDS Spreads'!$A$2:$D$157,4)</f>
        <v>1.2699999999999999E-2</v>
      </c>
      <c r="H160" s="129">
        <f t="shared" si="36"/>
        <v>5.7160657120117614E-2</v>
      </c>
      <c r="I160" s="130">
        <f t="shared" si="30"/>
        <v>1.4760657120117612E-2</v>
      </c>
    </row>
    <row r="161" spans="1:51" ht="16">
      <c r="A161" s="164" t="str">
        <f>'Sovereign Ratings (Moody''s,S&amp;P)'!A155</f>
        <v>Uzbekistan</v>
      </c>
      <c r="B161" s="115" t="str">
        <f>VLOOKUP(A161,'Regional lookup table'!$A$3:$B$161,2)</f>
        <v>Eastern Europe &amp; Russia</v>
      </c>
      <c r="C161" s="11" t="str">
        <f>'Sovereign Ratings (Moody''s,S&amp;P)'!C155</f>
        <v>B1</v>
      </c>
      <c r="D161" s="23">
        <f t="shared" si="29"/>
        <v>3.8303918191549574E-2</v>
      </c>
      <c r="E161" s="23">
        <f t="shared" si="35"/>
        <v>8.6918976597047143E-2</v>
      </c>
      <c r="F161" s="13">
        <f t="shared" ref="F161" si="37">IF($E$4="Yes",D161*$E$5,D161)</f>
        <v>4.451897659704715E-2</v>
      </c>
      <c r="G161" s="13" t="str">
        <f>VLOOKUP(A161,'10-year CDS Spreads'!$A$2:$D$157,4)</f>
        <v>NA</v>
      </c>
      <c r="H161" s="13" t="str">
        <f t="shared" si="36"/>
        <v>NA</v>
      </c>
      <c r="I161" s="13" t="str">
        <f t="shared" ref="I161" si="38">IF(G161="NA","NA",G161*$E$5)</f>
        <v>NA</v>
      </c>
    </row>
    <row r="162" spans="1:51" s="163" customFormat="1" ht="16">
      <c r="A162" s="165" t="str">
        <f>'Sovereign Ratings (Moody''s,S&amp;P)'!A156</f>
        <v>Venezuela</v>
      </c>
      <c r="B162" s="166" t="str">
        <f>VLOOKUP(A162,'Regional lookup table'!$A$3:$B$161,2)</f>
        <v>Central and South America</v>
      </c>
      <c r="C162" s="167" t="str">
        <f>'Sovereign Ratings (Moody''s,S&amp;P)'!C156</f>
        <v>C</v>
      </c>
      <c r="D162" s="23">
        <f t="shared" si="29"/>
        <v>0.17499999999999999</v>
      </c>
      <c r="E162" s="168">
        <f t="shared" ref="E162:E163" si="39">$E$3+F162</f>
        <v>0.24579488157642376</v>
      </c>
      <c r="F162" s="169">
        <f t="shared" ref="F162:F163" si="40">IF($E$4="Yes",D162*$E$5,D162)</f>
        <v>0.20339488157642377</v>
      </c>
      <c r="G162" s="169" t="str">
        <f>VLOOKUP(A162,'10-year CDS Spreads'!$A$2:$D$157,4)</f>
        <v>NA</v>
      </c>
      <c r="H162" s="169" t="str">
        <f t="shared" ref="H162:H163" si="41">IF(I162="NA","NA",$E$3+I162)</f>
        <v>NA</v>
      </c>
      <c r="I162" s="169" t="str">
        <f t="shared" ref="I162:I163" si="42">IF(G162="NA","NA",G162*$E$5)</f>
        <v>NA</v>
      </c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</row>
    <row r="163" spans="1:51" ht="16">
      <c r="A163" s="164" t="str">
        <f>'Sovereign Ratings (Moody''s,S&amp;P)'!A157</f>
        <v>Vietnam</v>
      </c>
      <c r="B163" s="115" t="str">
        <f>VLOOKUP(A163,'Regional lookup table'!$A$3:$B$161,2)</f>
        <v>Asia</v>
      </c>
      <c r="C163" s="11" t="str">
        <f>'Sovereign Ratings (Moody''s,S&amp;P)'!C157</f>
        <v>Ba3</v>
      </c>
      <c r="D163" s="23">
        <f t="shared" si="29"/>
        <v>3.0627782281419401E-2</v>
      </c>
      <c r="E163" s="23">
        <f t="shared" si="39"/>
        <v>7.7997338000444505E-2</v>
      </c>
      <c r="F163" s="13">
        <f t="shared" si="40"/>
        <v>3.5597338000444512E-2</v>
      </c>
      <c r="G163" s="13">
        <f>VLOOKUP(A163,'10-year CDS Spreads'!$A$2:$D$157,4)</f>
        <v>1.3699999999999999E-2</v>
      </c>
      <c r="H163" s="13">
        <f t="shared" si="41"/>
        <v>5.8322913586268607E-2</v>
      </c>
      <c r="I163" s="13">
        <f t="shared" si="42"/>
        <v>1.5922913586268603E-2</v>
      </c>
    </row>
    <row r="164" spans="1:51" ht="16">
      <c r="A164" s="165" t="str">
        <f>'Sovereign Ratings (Moody''s,S&amp;P)'!A158</f>
        <v>Zambia</v>
      </c>
      <c r="B164" s="166" t="str">
        <f>VLOOKUP(A164,'Regional lookup table'!$A$3:$B$161,2)</f>
        <v>Africa</v>
      </c>
      <c r="C164" s="167" t="str">
        <f>'Sovereign Ratings (Moody''s,S&amp;P)'!C158</f>
        <v>Ca</v>
      </c>
      <c r="D164" s="23">
        <f t="shared" si="29"/>
        <v>0.10209260760473131</v>
      </c>
      <c r="E164" s="168">
        <f t="shared" ref="E164" si="43">$E$3+F164</f>
        <v>0.16105779333481501</v>
      </c>
      <c r="F164" s="169">
        <f t="shared" ref="F164" si="44">IF($E$4="Yes",D164*$E$5,D164)</f>
        <v>0.11865779333481502</v>
      </c>
      <c r="G164" s="169" t="str">
        <f>VLOOKUP(A164,'10-year CDS Spreads'!$A$2:$D$158,4)</f>
        <v>NA</v>
      </c>
      <c r="H164" s="169" t="str">
        <f t="shared" ref="H164" si="45">IF(I164="NA","NA",$E$3+I164)</f>
        <v>NA</v>
      </c>
      <c r="I164" s="169" t="str">
        <f t="shared" ref="I164" si="46">IF(G164="NA","NA",G164*$E$5)</f>
        <v>NA</v>
      </c>
    </row>
    <row r="165" spans="1:51" ht="16">
      <c r="A165" s="252" t="s">
        <v>390</v>
      </c>
      <c r="B165" s="252"/>
      <c r="C165" s="252"/>
      <c r="D165" s="252"/>
      <c r="E165" s="252"/>
      <c r="F165" s="29"/>
      <c r="G165" s="29"/>
      <c r="H165" s="29"/>
      <c r="I165" s="29"/>
    </row>
    <row r="166" spans="1:51" s="107" customFormat="1" ht="16">
      <c r="A166" s="118" t="s">
        <v>75</v>
      </c>
      <c r="B166" s="118" t="s">
        <v>391</v>
      </c>
      <c r="C166" s="107" t="s">
        <v>312</v>
      </c>
      <c r="D166" s="107" t="s">
        <v>392</v>
      </c>
      <c r="E166" s="107" t="s">
        <v>313</v>
      </c>
      <c r="F166" s="111"/>
      <c r="G166" s="111"/>
      <c r="H166" s="111"/>
      <c r="I166" s="111"/>
      <c r="J166" s="193"/>
      <c r="K166" s="193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200"/>
      <c r="AA166" s="200"/>
      <c r="AB166" s="200"/>
      <c r="AC166" s="200"/>
      <c r="AD166" s="200"/>
      <c r="AE166" s="200"/>
      <c r="AF166" s="200"/>
      <c r="AG166" s="200"/>
      <c r="AH166" s="200"/>
      <c r="AI166" s="200"/>
      <c r="AJ166" s="200"/>
      <c r="AK166" s="200"/>
      <c r="AL166" s="200"/>
      <c r="AM166" s="200"/>
      <c r="AN166" s="200"/>
      <c r="AO166" s="200"/>
      <c r="AP166" s="200"/>
      <c r="AQ166" s="200"/>
      <c r="AR166" s="200"/>
      <c r="AS166" s="200"/>
      <c r="AT166" s="200"/>
      <c r="AU166" s="200"/>
      <c r="AV166" s="200"/>
      <c r="AW166" s="200"/>
      <c r="AX166" s="200"/>
      <c r="AY166" s="200"/>
    </row>
    <row r="167" spans="1:51" ht="16">
      <c r="A167" s="51" t="str">
        <f>'PRS Worksheet'!A161</f>
        <v>Algeria</v>
      </c>
      <c r="B167" s="63">
        <f>'PRS Worksheet'!B161</f>
        <v>62.25</v>
      </c>
      <c r="C167" s="104">
        <f>'PRS Worksheet'!E161</f>
        <v>0.10672501428150497</v>
      </c>
      <c r="D167" s="64">
        <f>'PRS Worksheet'!G161</f>
        <v>6.4325014281504972E-2</v>
      </c>
      <c r="E167" s="64">
        <f>'PRS Worksheet'!D161</f>
        <v>5.5344939912038545E-2</v>
      </c>
      <c r="F167" s="29"/>
      <c r="G167" s="29"/>
      <c r="H167" s="29"/>
      <c r="J167" s="200"/>
      <c r="K167" s="200"/>
    </row>
    <row r="168" spans="1:51" ht="16">
      <c r="A168" s="51" t="str">
        <f>'PRS Worksheet'!A162</f>
        <v>Brunei</v>
      </c>
      <c r="B168" s="63">
        <f>'PRS Worksheet'!B162</f>
        <v>79</v>
      </c>
      <c r="C168" s="104">
        <f>'PRS Worksheet'!E162</f>
        <v>5.0786340280806475E-2</v>
      </c>
      <c r="D168" s="64">
        <f>'PRS Worksheet'!G162</f>
        <v>8.3863402808064744E-3</v>
      </c>
      <c r="E168" s="64">
        <f>'PRS Worksheet'!D162</f>
        <v>7.2155677555223625E-3</v>
      </c>
      <c r="F168" s="29"/>
      <c r="G168" s="29"/>
      <c r="H168" s="29"/>
    </row>
    <row r="169" spans="1:51" ht="16">
      <c r="A169" s="51" t="str">
        <f>'PRS Worksheet'!A163</f>
        <v>Gambia</v>
      </c>
      <c r="B169" s="63">
        <f>'PRS Worksheet'!B163</f>
        <v>65.75</v>
      </c>
      <c r="C169" s="104">
        <f>'PRS Worksheet'!E163</f>
        <v>9.6821995439276054E-2</v>
      </c>
      <c r="D169" s="64">
        <f>'PRS Worksheet'!G163</f>
        <v>5.4421995439276054E-2</v>
      </c>
      <c r="E169" s="64">
        <f>'PRS Worksheet'!D163</f>
        <v>4.6824429051794056E-2</v>
      </c>
      <c r="F169" s="29"/>
      <c r="G169" s="29"/>
      <c r="H169" s="29"/>
    </row>
    <row r="170" spans="1:51" ht="16">
      <c r="A170" s="51" t="str">
        <f>'PRS Worksheet'!A164</f>
        <v>Guinea</v>
      </c>
      <c r="B170" s="63">
        <f>'PRS Worksheet'!B164</f>
        <v>57.5</v>
      </c>
      <c r="C170" s="104">
        <f>'PRS Worksheet'!E164</f>
        <v>0.13143795319409429</v>
      </c>
      <c r="D170" s="64">
        <f>'PRS Worksheet'!G164</f>
        <v>8.9037953194094299E-2</v>
      </c>
      <c r="E170" s="64">
        <f>'PRS Worksheet'!D164</f>
        <v>7.6607836383099148E-2</v>
      </c>
      <c r="F170" s="29"/>
      <c r="G170" s="29"/>
      <c r="H170" s="29"/>
    </row>
    <row r="171" spans="1:51" ht="16">
      <c r="A171" s="51" t="str">
        <f>'PRS Worksheet'!A165</f>
        <v>Guinea-Bissau</v>
      </c>
      <c r="B171" s="63">
        <f>'PRS Worksheet'!B165</f>
        <v>62.75</v>
      </c>
      <c r="C171" s="104">
        <f>'PRS Worksheet'!E165</f>
        <v>0.10672501428150497</v>
      </c>
      <c r="D171" s="64">
        <f>'PRS Worksheet'!G165</f>
        <v>6.4325014281504972E-2</v>
      </c>
      <c r="E171" s="64">
        <f>'PRS Worksheet'!D165</f>
        <v>5.5344939912038545E-2</v>
      </c>
      <c r="F171" s="29"/>
      <c r="G171" s="29"/>
      <c r="H171" s="29"/>
    </row>
    <row r="172" spans="1:51" ht="16">
      <c r="A172" s="51" t="str">
        <f>'PRS Worksheet'!A166</f>
        <v>Guyana</v>
      </c>
      <c r="B172" s="63">
        <f>'PRS Worksheet'!B166</f>
        <v>66.25</v>
      </c>
      <c r="C172" s="104">
        <f>'PRS Worksheet'!E166</f>
        <v>8.6918976597047143E-2</v>
      </c>
      <c r="D172" s="64">
        <f>'PRS Worksheet'!G166</f>
        <v>4.4518976597047143E-2</v>
      </c>
      <c r="E172" s="64">
        <f>'PRS Worksheet'!D166</f>
        <v>3.8303918191549574E-2</v>
      </c>
      <c r="F172" s="29"/>
      <c r="G172" s="29"/>
      <c r="H172" s="29"/>
    </row>
    <row r="173" spans="1:51" ht="16">
      <c r="A173" s="51" t="str">
        <f>'PRS Worksheet'!A167</f>
        <v>Haiti</v>
      </c>
      <c r="B173" s="63">
        <f>'PRS Worksheet'!B167</f>
        <v>56.25</v>
      </c>
      <c r="C173" s="104">
        <f>'PRS Worksheet'!E167</f>
        <v>0.14125175565035719</v>
      </c>
      <c r="D173" s="64">
        <f>'PRS Worksheet'!G167</f>
        <v>9.8851755650357198E-2</v>
      </c>
      <c r="E173" s="64">
        <f>'PRS Worksheet'!D167</f>
        <v>8.5051585884242345E-2</v>
      </c>
      <c r="F173" s="29"/>
      <c r="G173" s="29"/>
      <c r="H173" s="29"/>
    </row>
    <row r="174" spans="1:51" ht="16">
      <c r="A174" s="51" t="str">
        <f>'PRS Worksheet'!A168</f>
        <v>Iran</v>
      </c>
      <c r="B174" s="63">
        <f>'PRS Worksheet'!B168</f>
        <v>63.75</v>
      </c>
      <c r="C174" s="104">
        <f>'PRS Worksheet'!E168</f>
        <v>0.10672501428150497</v>
      </c>
      <c r="D174" s="64">
        <f>'PRS Worksheet'!G168</f>
        <v>6.4325014281504972E-2</v>
      </c>
      <c r="E174" s="64">
        <f>'PRS Worksheet'!D168</f>
        <v>5.5344939912038545E-2</v>
      </c>
      <c r="F174" s="29"/>
      <c r="G174" s="29"/>
      <c r="H174" s="29"/>
    </row>
    <row r="175" spans="1:51" ht="16">
      <c r="A175" s="51" t="str">
        <f>'PRS Worksheet'!A169</f>
        <v>Korea, D.P.R.</v>
      </c>
      <c r="B175" s="63">
        <f>'PRS Worksheet'!B169</f>
        <v>51.5</v>
      </c>
      <c r="C175" s="104">
        <f>'PRS Worksheet'!E169</f>
        <v>0.16105779333481501</v>
      </c>
      <c r="D175" s="64">
        <f>'PRS Worksheet'!G169</f>
        <v>0.11865779333481502</v>
      </c>
      <c r="E175" s="64">
        <f>'PRS Worksheet'!D169</f>
        <v>0.10209260760473131</v>
      </c>
      <c r="F175" s="29"/>
      <c r="G175" s="29"/>
      <c r="H175" s="29"/>
    </row>
    <row r="176" spans="1:51" ht="16">
      <c r="A176" s="51" t="str">
        <f>'PRS Worksheet'!A170</f>
        <v>Liberia</v>
      </c>
      <c r="B176" s="63">
        <f>'PRS Worksheet'!B170</f>
        <v>59</v>
      </c>
      <c r="C176" s="104">
        <f>'PRS Worksheet'!E170</f>
        <v>0.13143795319409429</v>
      </c>
      <c r="D176" s="64">
        <f>'PRS Worksheet'!G170</f>
        <v>8.9037953194094299E-2</v>
      </c>
      <c r="E176" s="64">
        <f>'PRS Worksheet'!D170</f>
        <v>7.6607836383099148E-2</v>
      </c>
      <c r="F176" s="29"/>
      <c r="G176" s="29"/>
      <c r="H176" s="29"/>
    </row>
    <row r="177" spans="1:8" ht="16">
      <c r="A177" s="51" t="str">
        <f>'PRS Worksheet'!A171</f>
        <v>Libya</v>
      </c>
      <c r="B177" s="63">
        <f>'PRS Worksheet'!B171</f>
        <v>66.25</v>
      </c>
      <c r="C177" s="104">
        <f>'PRS Worksheet'!E171</f>
        <v>8.6918976597047143E-2</v>
      </c>
      <c r="D177" s="64">
        <f>'PRS Worksheet'!G171</f>
        <v>4.4518976597047143E-2</v>
      </c>
      <c r="E177" s="64">
        <f>'PRS Worksheet'!D171</f>
        <v>3.8303918191549574E-2</v>
      </c>
      <c r="F177" s="29"/>
      <c r="G177" s="29"/>
      <c r="H177" s="29"/>
    </row>
    <row r="178" spans="1:8" ht="16">
      <c r="A178" s="51" t="str">
        <f>'PRS Worksheet'!A172</f>
        <v>Madagascar</v>
      </c>
      <c r="B178" s="63">
        <f>'PRS Worksheet'!B172</f>
        <v>63.5</v>
      </c>
      <c r="C178" s="104">
        <f>'PRS Worksheet'!E172</f>
        <v>0.10672501428150497</v>
      </c>
      <c r="D178" s="64">
        <f>'PRS Worksheet'!G172</f>
        <v>6.4325014281504972E-2</v>
      </c>
      <c r="E178" s="64">
        <f>'PRS Worksheet'!D172</f>
        <v>5.5344939912038545E-2</v>
      </c>
      <c r="F178" s="29"/>
      <c r="G178" s="29"/>
      <c r="H178" s="29"/>
    </row>
    <row r="179" spans="1:8" ht="16">
      <c r="A179" s="51" t="str">
        <f>'PRS Worksheet'!A173</f>
        <v>Malawi</v>
      </c>
      <c r="B179" s="63">
        <f>'PRS Worksheet'!B173</f>
        <v>59.75</v>
      </c>
      <c r="C179" s="104">
        <f>'PRS Worksheet'!E173</f>
        <v>0.13143795319409429</v>
      </c>
      <c r="D179" s="64">
        <f>'PRS Worksheet'!G173</f>
        <v>8.9037953194094299E-2</v>
      </c>
      <c r="E179" s="64">
        <f>'PRS Worksheet'!D173</f>
        <v>7.6607836383099148E-2</v>
      </c>
      <c r="F179" s="29"/>
      <c r="G179" s="29"/>
      <c r="H179" s="29"/>
    </row>
    <row r="180" spans="1:8" ht="16">
      <c r="A180" s="51" t="str">
        <f>'PRS Worksheet'!A174</f>
        <v>Myanmar</v>
      </c>
      <c r="B180" s="63">
        <f>'PRS Worksheet'!B174</f>
        <v>53</v>
      </c>
      <c r="C180" s="104">
        <f>'PRS Worksheet'!E174</f>
        <v>0.16105779333481501</v>
      </c>
      <c r="D180" s="64">
        <f>'PRS Worksheet'!G174</f>
        <v>0.11865779333481502</v>
      </c>
      <c r="E180" s="64">
        <f>'PRS Worksheet'!D174</f>
        <v>0.10209260760473131</v>
      </c>
      <c r="F180" s="29"/>
      <c r="G180" s="29"/>
      <c r="H180" s="29"/>
    </row>
    <row r="181" spans="1:8" ht="16">
      <c r="A181" s="51" t="str">
        <f>'PRS Worksheet'!A175</f>
        <v>Sierra Leone</v>
      </c>
      <c r="B181" s="63">
        <f>'PRS Worksheet'!B175</f>
        <v>57</v>
      </c>
      <c r="C181" s="104">
        <f>'PRS Worksheet'!E175</f>
        <v>0.14125175565035719</v>
      </c>
      <c r="D181" s="64">
        <f>'PRS Worksheet'!G175</f>
        <v>9.8851755650357198E-2</v>
      </c>
      <c r="E181" s="64">
        <f>'PRS Worksheet'!D175</f>
        <v>8.5051585884242345E-2</v>
      </c>
      <c r="F181" s="29"/>
      <c r="G181" s="29"/>
      <c r="H181" s="29"/>
    </row>
    <row r="182" spans="1:8" ht="16">
      <c r="A182" s="51" t="str">
        <f>'PRS Worksheet'!A176</f>
        <v>Somalia</v>
      </c>
      <c r="B182" s="63">
        <f>'PRS Worksheet'!B176</f>
        <v>51.5</v>
      </c>
      <c r="C182" s="104">
        <f>'PRS Worksheet'!E176</f>
        <v>0.16105779333481501</v>
      </c>
      <c r="D182" s="64">
        <f>'PRS Worksheet'!G176</f>
        <v>0.11865779333481502</v>
      </c>
      <c r="E182" s="64">
        <f>'PRS Worksheet'!D176</f>
        <v>0.10209260760473131</v>
      </c>
      <c r="F182" s="29"/>
      <c r="G182" s="29"/>
      <c r="H182" s="29"/>
    </row>
    <row r="183" spans="1:8" ht="16">
      <c r="A183" s="51" t="str">
        <f>'PRS Worksheet'!A177</f>
        <v>Sudan</v>
      </c>
      <c r="B183" s="63">
        <f>'PRS Worksheet'!B177</f>
        <v>36.25</v>
      </c>
      <c r="C183" s="104">
        <f>'PRS Worksheet'!E177</f>
        <v>0.24579488157642376</v>
      </c>
      <c r="D183" s="64">
        <f>'PRS Worksheet'!G177</f>
        <v>0.20339488157642377</v>
      </c>
      <c r="E183" s="64">
        <f>'PRS Worksheet'!D177</f>
        <v>0.17499999999999999</v>
      </c>
      <c r="F183" s="29"/>
      <c r="G183" s="29"/>
      <c r="H183" s="29"/>
    </row>
    <row r="184" spans="1:8" ht="16">
      <c r="A184" s="51" t="str">
        <f>'PRS Worksheet'!A178</f>
        <v>Syria</v>
      </c>
      <c r="B184" s="63">
        <f>'PRS Worksheet'!B178</f>
        <v>45.5</v>
      </c>
      <c r="C184" s="104">
        <f>'PRS Worksheet'!E178</f>
        <v>0.24579488157642376</v>
      </c>
      <c r="D184" s="64">
        <f>'PRS Worksheet'!G178</f>
        <v>0.20339488157642377</v>
      </c>
      <c r="E184" s="64">
        <f>'PRS Worksheet'!D178</f>
        <v>0.17499999999999999</v>
      </c>
      <c r="F184" s="29"/>
      <c r="G184" s="29"/>
      <c r="H184" s="29"/>
    </row>
    <row r="185" spans="1:8" ht="16">
      <c r="A185" s="51" t="str">
        <f>'PRS Worksheet'!A179</f>
        <v>Yemen, Republic</v>
      </c>
      <c r="B185" s="63">
        <f>'PRS Worksheet'!B179</f>
        <v>52.75</v>
      </c>
      <c r="C185" s="104">
        <f>'PRS Worksheet'!E179</f>
        <v>0.16105779333481501</v>
      </c>
      <c r="D185" s="64">
        <f>'PRS Worksheet'!G179</f>
        <v>0.11865779333481502</v>
      </c>
      <c r="E185" s="64">
        <f>'PRS Worksheet'!D179</f>
        <v>0.10209260760473131</v>
      </c>
      <c r="F185" s="29"/>
      <c r="G185" s="29"/>
      <c r="H185" s="29"/>
    </row>
    <row r="186" spans="1:8" ht="16">
      <c r="A186" s="51" t="str">
        <f>'PRS Worksheet'!A180</f>
        <v>Zimbabwe</v>
      </c>
      <c r="B186" s="63">
        <f>'PRS Worksheet'!B180</f>
        <v>61</v>
      </c>
      <c r="C186" s="104">
        <f>'PRS Worksheet'!E180</f>
        <v>0.11653881673776789</v>
      </c>
      <c r="D186" s="64">
        <f>'PRS Worksheet'!G180</f>
        <v>7.4138816737767899E-2</v>
      </c>
      <c r="E186" s="64">
        <f>'PRS Worksheet'!D180</f>
        <v>6.3788689413181762E-2</v>
      </c>
      <c r="F186" s="29"/>
      <c r="G186" s="29"/>
      <c r="H186" s="29"/>
    </row>
    <row r="187" spans="1:8" ht="16">
      <c r="A187" s="102"/>
      <c r="B187" s="119"/>
      <c r="C187" s="103"/>
      <c r="D187" s="28"/>
      <c r="E187" s="29"/>
      <c r="F187" s="29"/>
      <c r="G187" s="29"/>
      <c r="H187" s="29"/>
    </row>
    <row r="188" spans="1:8">
      <c r="B188" s="19" t="s">
        <v>39</v>
      </c>
      <c r="C188" s="19" t="s">
        <v>40</v>
      </c>
    </row>
    <row r="189" spans="1:8">
      <c r="B189" s="5" t="s">
        <v>41</v>
      </c>
      <c r="C189" s="143">
        <f>'Default Spreads for Ratings'!C2</f>
        <v>59.873860099015367</v>
      </c>
    </row>
    <row r="190" spans="1:8">
      <c r="B190" s="5" t="s">
        <v>42</v>
      </c>
      <c r="C190" s="143">
        <f>'Default Spreads for Ratings'!C3</f>
        <v>72.155677555223633</v>
      </c>
    </row>
    <row r="191" spans="1:8">
      <c r="B191" s="5" t="s">
        <v>43</v>
      </c>
      <c r="C191" s="143">
        <f>'Default Spreads for Ratings'!C4</f>
        <v>102.09260760473134</v>
      </c>
    </row>
    <row r="192" spans="1:8">
      <c r="B192" s="5" t="s">
        <v>44</v>
      </c>
      <c r="C192" s="143">
        <f>'Default Spreads for Ratings'!C5</f>
        <v>33.774998004572765</v>
      </c>
    </row>
    <row r="193" spans="2:3">
      <c r="B193" s="5" t="s">
        <v>45</v>
      </c>
      <c r="C193" s="143">
        <f>'Default Spreads for Ratings'!C6</f>
        <v>42.218747505715953</v>
      </c>
    </row>
    <row r="194" spans="2:3">
      <c r="B194" s="5" t="s">
        <v>46</v>
      </c>
      <c r="C194" s="143">
        <f>'Default Spreads for Ratings'!C7</f>
        <v>51.430110597872172</v>
      </c>
    </row>
    <row r="195" spans="2:3">
      <c r="B195" s="5" t="s">
        <v>47</v>
      </c>
      <c r="C195" s="143">
        <f>'Default Spreads for Ratings'!C8</f>
        <v>0</v>
      </c>
    </row>
    <row r="196" spans="2:3">
      <c r="B196" s="5" t="s">
        <v>48</v>
      </c>
      <c r="C196" s="143">
        <f>'Default Spreads for Ratings'!C9</f>
        <v>383.03918191549576</v>
      </c>
    </row>
    <row r="197" spans="2:3">
      <c r="B197" s="5" t="s">
        <v>49</v>
      </c>
      <c r="C197" s="143">
        <f>'Default Spreads for Ratings'!C10</f>
        <v>468.24429051794061</v>
      </c>
    </row>
    <row r="198" spans="2:3">
      <c r="B198" s="5" t="s">
        <v>78</v>
      </c>
      <c r="C198" s="143">
        <f>'Default Spreads for Ratings'!C11</f>
        <v>553.44939912038546</v>
      </c>
    </row>
    <row r="199" spans="2:3">
      <c r="B199" s="5" t="s">
        <v>79</v>
      </c>
      <c r="C199" s="143">
        <f>'Default Spreads for Ratings'!C12</f>
        <v>212.62896471060586</v>
      </c>
    </row>
    <row r="200" spans="2:3">
      <c r="B200" s="5" t="s">
        <v>80</v>
      </c>
      <c r="C200" s="143">
        <f>'Default Spreads for Ratings'!C13</f>
        <v>255.61532580733476</v>
      </c>
    </row>
    <row r="201" spans="2:3">
      <c r="B201" s="5" t="s">
        <v>81</v>
      </c>
      <c r="C201" s="143">
        <f>'Default Spreads for Ratings'!C14</f>
        <v>306.277822814194</v>
      </c>
    </row>
    <row r="202" spans="2:3">
      <c r="B202" s="5" t="s">
        <v>82</v>
      </c>
      <c r="C202" s="143">
        <f>'Default Spreads for Ratings'!C15</f>
        <v>135.86760560930409</v>
      </c>
    </row>
    <row r="203" spans="2:3">
      <c r="B203" s="5" t="s">
        <v>83</v>
      </c>
      <c r="C203" s="143">
        <f>'Default Spreads for Ratings'!C16</f>
        <v>161.96646770374667</v>
      </c>
    </row>
    <row r="204" spans="2:3">
      <c r="B204" s="5" t="s">
        <v>124</v>
      </c>
      <c r="C204" s="143">
        <f>'Default Spreads for Ratings'!C17</f>
        <v>187.29771620717625</v>
      </c>
    </row>
    <row r="205" spans="2:3">
      <c r="B205" s="8" t="s">
        <v>137</v>
      </c>
      <c r="C205" s="143">
        <v>1750</v>
      </c>
    </row>
    <row r="206" spans="2:3">
      <c r="B206" s="8" t="s">
        <v>346</v>
      </c>
      <c r="C206" s="143">
        <f>'Default Spreads for Ratings'!C18</f>
        <v>1020.926076047313</v>
      </c>
    </row>
    <row r="207" spans="2:3">
      <c r="B207" s="140" t="s">
        <v>100</v>
      </c>
      <c r="C207" s="143">
        <f>'Default Spreads for Ratings'!C19</f>
        <v>637.8868941318176</v>
      </c>
    </row>
    <row r="208" spans="2:3">
      <c r="B208" s="8" t="s">
        <v>58</v>
      </c>
      <c r="C208" s="143">
        <f>'Default Spreads for Ratings'!C20</f>
        <v>766.07836383099152</v>
      </c>
    </row>
    <row r="209" spans="2:3">
      <c r="B209" s="8" t="s">
        <v>62</v>
      </c>
      <c r="C209" s="143">
        <f>'Default Spreads for Ratings'!C21</f>
        <v>850.51585884242343</v>
      </c>
    </row>
    <row r="210" spans="2:3">
      <c r="B210" s="8" t="s">
        <v>277</v>
      </c>
      <c r="C210" s="5" t="s">
        <v>143</v>
      </c>
    </row>
  </sheetData>
  <sortState xmlns:xlrd2="http://schemas.microsoft.com/office/spreadsheetml/2017/richdata2" ref="J9:K30">
    <sortCondition ref="J9:J30"/>
  </sortState>
  <mergeCells count="1">
    <mergeCell ref="A165:E165"/>
  </mergeCells>
  <phoneticPr fontId="10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18"/>
  <sheetViews>
    <sheetView workbookViewId="0">
      <selection activeCell="M25" sqref="M25"/>
    </sheetView>
  </sheetViews>
  <sheetFormatPr baseColWidth="10" defaultRowHeight="13"/>
  <cols>
    <col min="1" max="1" width="31.33203125" customWidth="1"/>
    <col min="6" max="6" width="20" customWidth="1"/>
  </cols>
  <sheetData>
    <row r="1" spans="1:11">
      <c r="A1" s="17"/>
      <c r="B1" s="17" t="s">
        <v>379</v>
      </c>
    </row>
    <row r="2" spans="1:11">
      <c r="A2" s="17" t="s">
        <v>380</v>
      </c>
      <c r="B2" s="93">
        <f>D17</f>
        <v>0.16442491011335056</v>
      </c>
      <c r="D2" t="s">
        <v>394</v>
      </c>
    </row>
    <row r="3" spans="1:11">
      <c r="A3" s="17" t="s">
        <v>381</v>
      </c>
      <c r="B3" s="93">
        <f>K16</f>
        <v>0.1911039149755375</v>
      </c>
      <c r="D3" t="s">
        <v>395</v>
      </c>
    </row>
    <row r="4" spans="1:11">
      <c r="A4" s="17" t="s">
        <v>382</v>
      </c>
      <c r="B4" s="94">
        <f>B3/B2</f>
        <v>1.1622564661509931</v>
      </c>
    </row>
    <row r="9" spans="1:11">
      <c r="A9" t="s">
        <v>368</v>
      </c>
      <c r="B9" t="s">
        <v>481</v>
      </c>
      <c r="G9" t="s">
        <v>368</v>
      </c>
      <c r="H9" t="s">
        <v>378</v>
      </c>
    </row>
    <row r="10" spans="1:11">
      <c r="A10" t="s">
        <v>254</v>
      </c>
      <c r="B10" t="s">
        <v>369</v>
      </c>
      <c r="G10" t="s">
        <v>254</v>
      </c>
      <c r="H10" t="s">
        <v>377</v>
      </c>
    </row>
    <row r="11" spans="1:11">
      <c r="B11" s="112" t="s">
        <v>396</v>
      </c>
      <c r="H11" s="112" t="s">
        <v>383</v>
      </c>
    </row>
    <row r="12" spans="1:11">
      <c r="A12" t="s">
        <v>370</v>
      </c>
      <c r="B12" t="s">
        <v>562</v>
      </c>
      <c r="G12" t="s">
        <v>370</v>
      </c>
      <c r="H12" t="s">
        <v>562</v>
      </c>
    </row>
    <row r="13" spans="1:11">
      <c r="A13" t="s">
        <v>371</v>
      </c>
      <c r="B13" t="s">
        <v>372</v>
      </c>
      <c r="G13" t="s">
        <v>371</v>
      </c>
      <c r="H13" t="s">
        <v>372</v>
      </c>
    </row>
    <row r="14" spans="1:11" ht="28">
      <c r="A14" s="86" t="s">
        <v>361</v>
      </c>
      <c r="B14" s="86" t="s">
        <v>362</v>
      </c>
      <c r="G14" s="88" t="s">
        <v>373</v>
      </c>
      <c r="H14" s="84" t="s">
        <v>520</v>
      </c>
      <c r="I14" s="84" t="s">
        <v>374</v>
      </c>
      <c r="J14" s="84"/>
      <c r="K14" s="84"/>
    </row>
    <row r="15" spans="1:11" ht="28">
      <c r="A15" s="146">
        <v>42369</v>
      </c>
      <c r="B15" s="240">
        <v>3.66</v>
      </c>
      <c r="C15" t="s">
        <v>363</v>
      </c>
      <c r="D15" s="87">
        <f>AVERAGE(B15:B544)</f>
        <v>3.2548113207547082</v>
      </c>
      <c r="E15" t="s">
        <v>364</v>
      </c>
      <c r="G15" s="89">
        <v>42369</v>
      </c>
      <c r="H15" s="90">
        <v>294.10000000000002</v>
      </c>
      <c r="I15" s="92"/>
      <c r="J15" s="84" t="s">
        <v>375</v>
      </c>
      <c r="K15" s="91">
        <f>STDEV(I15:I537)</f>
        <v>1.1851761686474727E-2</v>
      </c>
    </row>
    <row r="16" spans="1:11" ht="43" thickBot="1">
      <c r="A16" s="146">
        <v>42370</v>
      </c>
      <c r="B16" s="87">
        <v>3.66</v>
      </c>
      <c r="C16" t="s">
        <v>365</v>
      </c>
      <c r="D16">
        <f>STDEV(B15:B544)</f>
        <v>0.53517205885100871</v>
      </c>
      <c r="E16" t="s">
        <v>364</v>
      </c>
      <c r="G16" s="89">
        <v>42370</v>
      </c>
      <c r="H16" s="90">
        <v>298.23</v>
      </c>
      <c r="I16" s="92">
        <f t="shared" ref="I16:I64" si="0">H16/H15-1</f>
        <v>1.4042842570554326E-2</v>
      </c>
      <c r="J16" s="84" t="s">
        <v>376</v>
      </c>
      <c r="K16" s="91">
        <f>K15*(260^0.5)</f>
        <v>0.1911039149755375</v>
      </c>
    </row>
    <row r="17" spans="1:11" ht="17" thickBot="1">
      <c r="A17" s="146">
        <v>42371</v>
      </c>
      <c r="B17" s="87">
        <v>3.62</v>
      </c>
      <c r="C17" t="s">
        <v>366</v>
      </c>
      <c r="D17" s="175">
        <f>D16/D15</f>
        <v>0.16442491011335056</v>
      </c>
      <c r="E17" t="s">
        <v>367</v>
      </c>
      <c r="G17" s="89">
        <v>42371</v>
      </c>
      <c r="H17" s="90">
        <v>297.17</v>
      </c>
      <c r="I17" s="92">
        <f t="shared" si="0"/>
        <v>-3.5543037253127352E-3</v>
      </c>
      <c r="J17" s="84"/>
      <c r="K17" s="84"/>
    </row>
    <row r="18" spans="1:11" ht="16">
      <c r="A18" s="146">
        <v>42374</v>
      </c>
      <c r="B18" s="87">
        <v>3.6</v>
      </c>
      <c r="G18" s="89">
        <v>42374</v>
      </c>
      <c r="H18" s="90">
        <v>294.22000000000003</v>
      </c>
      <c r="I18" s="92">
        <f t="shared" si="0"/>
        <v>-9.9269778241409812E-3</v>
      </c>
      <c r="J18" s="84"/>
      <c r="K18" s="84"/>
    </row>
    <row r="19" spans="1:11" ht="16">
      <c r="A19" s="146">
        <v>42375</v>
      </c>
      <c r="B19" s="87">
        <v>3.61</v>
      </c>
      <c r="G19" s="89">
        <v>42375</v>
      </c>
      <c r="H19" s="90">
        <v>294.75</v>
      </c>
      <c r="I19" s="92">
        <f t="shared" si="0"/>
        <v>1.801373122153338E-3</v>
      </c>
      <c r="J19" s="84"/>
      <c r="K19" s="84"/>
    </row>
    <row r="20" spans="1:11" ht="16">
      <c r="A20" s="146">
        <v>42376</v>
      </c>
      <c r="B20" s="87">
        <v>3.61</v>
      </c>
      <c r="G20" s="89">
        <v>42376</v>
      </c>
      <c r="H20" s="90">
        <v>293.61</v>
      </c>
      <c r="I20" s="92">
        <f t="shared" si="0"/>
        <v>-3.8676844783714914E-3</v>
      </c>
      <c r="J20" s="84"/>
      <c r="K20" s="84"/>
    </row>
    <row r="21" spans="1:11" ht="16">
      <c r="A21" s="146">
        <v>42377</v>
      </c>
      <c r="B21" s="87">
        <v>3.61</v>
      </c>
      <c r="G21" s="89">
        <v>42377</v>
      </c>
      <c r="H21" s="90">
        <v>297.82</v>
      </c>
      <c r="I21" s="92">
        <f t="shared" si="0"/>
        <v>1.4338748680222002E-2</v>
      </c>
      <c r="J21" s="84"/>
      <c r="K21" s="84"/>
    </row>
    <row r="22" spans="1:11" ht="16">
      <c r="A22" s="146">
        <v>42378</v>
      </c>
      <c r="B22" s="87">
        <v>3.6</v>
      </c>
      <c r="G22" s="89">
        <v>42378</v>
      </c>
      <c r="H22" s="90">
        <v>298.82</v>
      </c>
      <c r="I22" s="92">
        <f t="shared" si="0"/>
        <v>3.357732858773721E-3</v>
      </c>
      <c r="J22" s="84"/>
      <c r="K22" s="84"/>
    </row>
    <row r="23" spans="1:11" ht="16">
      <c r="A23" s="146">
        <v>42381</v>
      </c>
      <c r="B23" s="87">
        <v>3.59</v>
      </c>
      <c r="G23" s="89">
        <v>42381</v>
      </c>
      <c r="H23" s="90">
        <v>301.32</v>
      </c>
      <c r="I23" s="92">
        <f t="shared" si="0"/>
        <v>8.366240546148207E-3</v>
      </c>
      <c r="J23" s="84"/>
      <c r="K23" s="84"/>
    </row>
    <row r="24" spans="1:11" ht="16">
      <c r="A24" s="146">
        <v>42382</v>
      </c>
      <c r="B24" s="87">
        <v>3.58</v>
      </c>
      <c r="G24" s="89">
        <v>42382</v>
      </c>
      <c r="H24" s="90">
        <v>301.23</v>
      </c>
      <c r="I24" s="92">
        <f t="shared" si="0"/>
        <v>-2.9868578255665135E-4</v>
      </c>
      <c r="J24" s="84"/>
      <c r="K24" s="84"/>
    </row>
    <row r="25" spans="1:11" ht="16">
      <c r="A25" s="146">
        <v>42383</v>
      </c>
      <c r="B25" s="87">
        <v>3.55</v>
      </c>
      <c r="G25" s="89">
        <v>42383</v>
      </c>
      <c r="H25" s="90">
        <v>300.07</v>
      </c>
      <c r="I25" s="92">
        <f t="shared" si="0"/>
        <v>-3.850878066593677E-3</v>
      </c>
      <c r="J25" s="84"/>
      <c r="K25" s="84"/>
    </row>
    <row r="26" spans="1:11" ht="16">
      <c r="A26" s="146">
        <v>42384</v>
      </c>
      <c r="B26" s="87">
        <v>3.54</v>
      </c>
      <c r="G26" s="89">
        <v>42384</v>
      </c>
      <c r="H26" s="90">
        <v>300.60000000000002</v>
      </c>
      <c r="I26" s="92">
        <f t="shared" si="0"/>
        <v>1.7662545406071928E-3</v>
      </c>
      <c r="J26" s="84"/>
      <c r="K26" s="84"/>
    </row>
    <row r="27" spans="1:11" ht="16">
      <c r="A27" s="146">
        <v>42385</v>
      </c>
      <c r="B27" s="87">
        <v>3.54</v>
      </c>
      <c r="G27" s="89">
        <v>42385</v>
      </c>
      <c r="H27" s="90">
        <v>302.11</v>
      </c>
      <c r="I27" s="92">
        <f t="shared" si="0"/>
        <v>5.0232867598136721E-3</v>
      </c>
      <c r="J27" s="84"/>
      <c r="K27" s="84"/>
    </row>
    <row r="28" spans="1:11" ht="16">
      <c r="A28" s="146">
        <v>42388</v>
      </c>
      <c r="B28" s="87">
        <v>3.53</v>
      </c>
      <c r="G28" s="89">
        <v>42388</v>
      </c>
      <c r="H28" s="90">
        <v>301.43</v>
      </c>
      <c r="I28" s="92">
        <f t="shared" si="0"/>
        <v>-2.2508357882891072E-3</v>
      </c>
      <c r="J28" s="84"/>
      <c r="K28" s="84"/>
    </row>
    <row r="29" spans="1:11" ht="16">
      <c r="A29" s="146">
        <v>42389</v>
      </c>
      <c r="B29" s="87">
        <v>3.51</v>
      </c>
      <c r="G29" s="89">
        <v>42389</v>
      </c>
      <c r="H29" s="90">
        <v>296.95</v>
      </c>
      <c r="I29" s="92">
        <f t="shared" si="0"/>
        <v>-1.486248880337071E-2</v>
      </c>
      <c r="J29" s="84"/>
      <c r="K29" s="84"/>
    </row>
    <row r="30" spans="1:11" ht="16">
      <c r="A30" s="146">
        <v>42390</v>
      </c>
      <c r="B30" s="87">
        <v>3.49</v>
      </c>
      <c r="G30" s="89">
        <v>42390</v>
      </c>
      <c r="H30" s="90">
        <v>298.18</v>
      </c>
      <c r="I30" s="92">
        <f t="shared" si="0"/>
        <v>4.1421114665769476E-3</v>
      </c>
      <c r="J30" s="84"/>
      <c r="K30" s="84"/>
    </row>
    <row r="31" spans="1:11" ht="16">
      <c r="A31" s="146">
        <v>42391</v>
      </c>
      <c r="B31" s="87">
        <v>3.48</v>
      </c>
      <c r="G31" s="89">
        <v>42391</v>
      </c>
      <c r="H31" s="90">
        <v>295.55</v>
      </c>
      <c r="I31" s="92">
        <f t="shared" si="0"/>
        <v>-8.8201757327788233E-3</v>
      </c>
      <c r="J31" s="84"/>
      <c r="K31" s="84"/>
    </row>
    <row r="32" spans="1:11" ht="16">
      <c r="A32" s="146">
        <v>42392</v>
      </c>
      <c r="B32" s="87">
        <v>3.48</v>
      </c>
      <c r="G32" s="89">
        <v>42392</v>
      </c>
      <c r="H32" s="90">
        <v>294.83999999999997</v>
      </c>
      <c r="I32" s="92">
        <f t="shared" si="0"/>
        <v>-2.4023007951278208E-3</v>
      </c>
      <c r="J32" s="84"/>
      <c r="K32" s="84"/>
    </row>
    <row r="33" spans="1:11" ht="16">
      <c r="A33" s="146">
        <v>42395</v>
      </c>
      <c r="B33" s="87">
        <v>3.45</v>
      </c>
      <c r="G33" s="89">
        <v>42395</v>
      </c>
      <c r="H33" s="90">
        <v>290.14</v>
      </c>
      <c r="I33" s="92">
        <f t="shared" si="0"/>
        <v>-1.59408492741826E-2</v>
      </c>
      <c r="J33" s="84"/>
      <c r="K33" s="84"/>
    </row>
    <row r="34" spans="1:11" ht="16">
      <c r="A34" s="146">
        <v>42396</v>
      </c>
      <c r="B34" s="87">
        <v>3.43</v>
      </c>
      <c r="G34" s="89">
        <v>42396</v>
      </c>
      <c r="H34" s="90">
        <v>291.14999999999998</v>
      </c>
      <c r="I34" s="92">
        <f t="shared" si="0"/>
        <v>3.4810781002274638E-3</v>
      </c>
      <c r="J34" s="84"/>
      <c r="K34" s="84"/>
    </row>
    <row r="35" spans="1:11" ht="16">
      <c r="A35" s="146">
        <v>42397</v>
      </c>
      <c r="B35" s="87">
        <v>3.42</v>
      </c>
      <c r="G35" s="89">
        <v>42397</v>
      </c>
      <c r="H35" s="90">
        <v>289.81</v>
      </c>
      <c r="I35" s="92">
        <f t="shared" si="0"/>
        <v>-4.6024386055296684E-3</v>
      </c>
      <c r="J35" s="84"/>
      <c r="K35" s="84"/>
    </row>
    <row r="36" spans="1:11" ht="16">
      <c r="A36" s="146">
        <v>42398</v>
      </c>
      <c r="B36" s="87">
        <v>3.4</v>
      </c>
      <c r="G36" s="89">
        <v>42398</v>
      </c>
      <c r="H36" s="90">
        <v>283.39999999999998</v>
      </c>
      <c r="I36" s="92">
        <f t="shared" si="0"/>
        <v>-2.2117939339567405E-2</v>
      </c>
      <c r="J36" s="84"/>
      <c r="K36" s="84"/>
    </row>
    <row r="37" spans="1:11" ht="16">
      <c r="A37" s="146">
        <v>42399</v>
      </c>
      <c r="B37" s="87">
        <v>3.43</v>
      </c>
      <c r="G37" s="89">
        <v>42399</v>
      </c>
      <c r="H37" s="90">
        <v>281.29000000000002</v>
      </c>
      <c r="I37" s="92">
        <f t="shared" si="0"/>
        <v>-7.4453069865912935E-3</v>
      </c>
      <c r="J37" s="84"/>
      <c r="K37" s="84"/>
    </row>
    <row r="38" spans="1:11" ht="16">
      <c r="A38" s="146">
        <v>42402</v>
      </c>
      <c r="B38" s="87">
        <v>3.41</v>
      </c>
      <c r="G38" s="89">
        <v>42402</v>
      </c>
      <c r="H38" s="90">
        <v>279.89999999999998</v>
      </c>
      <c r="I38" s="92">
        <f t="shared" si="0"/>
        <v>-4.9415194283480846E-3</v>
      </c>
      <c r="J38" s="84"/>
      <c r="K38" s="84"/>
    </row>
    <row r="39" spans="1:11" ht="16">
      <c r="A39" s="146">
        <v>42403</v>
      </c>
      <c r="B39" s="87">
        <v>3.44</v>
      </c>
      <c r="G39" s="89">
        <v>42403</v>
      </c>
      <c r="H39" s="90">
        <v>285.89</v>
      </c>
      <c r="I39" s="92">
        <f t="shared" si="0"/>
        <v>2.1400500178635262E-2</v>
      </c>
      <c r="J39" s="84"/>
      <c r="K39" s="84"/>
    </row>
    <row r="40" spans="1:11" ht="16">
      <c r="A40" s="146">
        <v>42404</v>
      </c>
      <c r="B40" s="87">
        <v>3.44</v>
      </c>
      <c r="G40" s="89">
        <v>42404</v>
      </c>
      <c r="H40" s="90">
        <v>287.12</v>
      </c>
      <c r="I40" s="92">
        <f t="shared" si="0"/>
        <v>4.302354052257984E-3</v>
      </c>
      <c r="J40" s="84"/>
      <c r="K40" s="84"/>
    </row>
    <row r="41" spans="1:11" ht="16">
      <c r="A41" s="146">
        <v>42405</v>
      </c>
      <c r="B41" s="87">
        <v>3.44</v>
      </c>
      <c r="G41" s="89">
        <v>42405</v>
      </c>
      <c r="H41" s="90">
        <v>289.37</v>
      </c>
      <c r="I41" s="92">
        <f t="shared" si="0"/>
        <v>7.8364446921148634E-3</v>
      </c>
      <c r="J41" s="84"/>
      <c r="K41" s="84"/>
    </row>
    <row r="42" spans="1:11" ht="16">
      <c r="A42" s="146">
        <v>42406</v>
      </c>
      <c r="B42" s="87">
        <v>3.42</v>
      </c>
      <c r="G42" s="89">
        <v>42406</v>
      </c>
      <c r="H42" s="90">
        <v>286.83999999999997</v>
      </c>
      <c r="I42" s="92">
        <f t="shared" si="0"/>
        <v>-8.7431316307842177E-3</v>
      </c>
      <c r="J42" s="84"/>
      <c r="K42" s="84"/>
    </row>
    <row r="43" spans="1:11" ht="16">
      <c r="A43" s="146">
        <v>42409</v>
      </c>
      <c r="B43" s="87">
        <v>3.4</v>
      </c>
      <c r="G43" s="89">
        <v>42409</v>
      </c>
      <c r="H43" s="90">
        <v>285.51</v>
      </c>
      <c r="I43" s="92">
        <f t="shared" si="0"/>
        <v>-4.6367312787616299E-3</v>
      </c>
      <c r="J43" s="84"/>
      <c r="K43" s="84"/>
    </row>
    <row r="44" spans="1:11" ht="16">
      <c r="A44" s="146">
        <v>42410</v>
      </c>
      <c r="B44" s="87">
        <v>3.4</v>
      </c>
      <c r="G44" s="89">
        <v>42410</v>
      </c>
      <c r="H44" s="90">
        <v>288.64</v>
      </c>
      <c r="I44" s="92">
        <f t="shared" si="0"/>
        <v>1.0962838429477095E-2</v>
      </c>
      <c r="J44" s="84"/>
      <c r="K44" s="84"/>
    </row>
    <row r="45" spans="1:11" ht="16">
      <c r="A45" s="146">
        <v>42411</v>
      </c>
      <c r="B45" s="87">
        <v>3.4</v>
      </c>
      <c r="G45" s="89">
        <v>42411</v>
      </c>
      <c r="H45" s="90">
        <v>291.18</v>
      </c>
      <c r="I45" s="92">
        <f t="shared" si="0"/>
        <v>8.7998891352549791E-3</v>
      </c>
      <c r="J45" s="84"/>
      <c r="K45" s="84"/>
    </row>
    <row r="46" spans="1:11" ht="16">
      <c r="A46" s="146">
        <v>42412</v>
      </c>
      <c r="B46" s="87">
        <v>3.39</v>
      </c>
      <c r="G46" s="89">
        <v>42412</v>
      </c>
      <c r="H46" s="90">
        <v>290.33</v>
      </c>
      <c r="I46" s="92">
        <f t="shared" si="0"/>
        <v>-2.9191565354763638E-3</v>
      </c>
      <c r="J46" s="84"/>
      <c r="K46" s="84"/>
    </row>
    <row r="47" spans="1:11" ht="16">
      <c r="A47" s="146">
        <v>42413</v>
      </c>
      <c r="B47" s="87">
        <v>3.38</v>
      </c>
      <c r="G47" s="89">
        <v>42413</v>
      </c>
      <c r="H47" s="90">
        <v>290.05</v>
      </c>
      <c r="I47" s="92">
        <f t="shared" si="0"/>
        <v>-9.6441979816064283E-4</v>
      </c>
      <c r="J47" s="84"/>
      <c r="K47" s="84"/>
    </row>
    <row r="48" spans="1:11" ht="16">
      <c r="A48" s="146">
        <v>42416</v>
      </c>
      <c r="B48" s="87">
        <v>3.38</v>
      </c>
      <c r="G48" s="89">
        <v>42416</v>
      </c>
      <c r="H48" s="90">
        <v>290.75</v>
      </c>
      <c r="I48" s="92">
        <f t="shared" si="0"/>
        <v>2.4133770039647118E-3</v>
      </c>
      <c r="J48" s="84"/>
      <c r="K48" s="84"/>
    </row>
    <row r="49" spans="1:11" ht="16">
      <c r="A49" s="146">
        <v>42417</v>
      </c>
      <c r="B49" s="87">
        <v>3.36</v>
      </c>
      <c r="G49" s="89">
        <v>42417</v>
      </c>
      <c r="H49" s="90">
        <v>288.17</v>
      </c>
      <c r="I49" s="92">
        <f t="shared" si="0"/>
        <v>-8.8736027515047278E-3</v>
      </c>
      <c r="J49" s="84"/>
      <c r="K49" s="84"/>
    </row>
    <row r="50" spans="1:11" ht="16">
      <c r="A50" s="146">
        <v>42418</v>
      </c>
      <c r="B50" s="87">
        <v>3.36</v>
      </c>
      <c r="G50" s="89">
        <v>42418</v>
      </c>
      <c r="H50" s="90">
        <v>290.33</v>
      </c>
      <c r="I50" s="92">
        <f t="shared" si="0"/>
        <v>7.4955755283339087E-3</v>
      </c>
      <c r="J50" s="84"/>
      <c r="K50" s="84"/>
    </row>
    <row r="51" spans="1:11" ht="16">
      <c r="A51" s="146">
        <v>42419</v>
      </c>
      <c r="B51" s="87">
        <v>3.34</v>
      </c>
      <c r="G51" s="89">
        <v>42419</v>
      </c>
      <c r="H51" s="90">
        <v>288.73</v>
      </c>
      <c r="I51" s="92">
        <f t="shared" si="0"/>
        <v>-5.5109702752039746E-3</v>
      </c>
      <c r="J51" s="84"/>
      <c r="K51" s="84"/>
    </row>
    <row r="52" spans="1:11" ht="16">
      <c r="A52" s="146">
        <v>42420</v>
      </c>
      <c r="B52" s="87">
        <v>3.32</v>
      </c>
      <c r="G52" s="89">
        <v>42420</v>
      </c>
      <c r="H52" s="90">
        <v>286.58999999999997</v>
      </c>
      <c r="I52" s="92">
        <f t="shared" si="0"/>
        <v>-7.4117687805217436E-3</v>
      </c>
      <c r="J52" s="84"/>
      <c r="K52" s="84"/>
    </row>
    <row r="53" spans="1:11" ht="16">
      <c r="A53" s="146">
        <v>42423</v>
      </c>
      <c r="B53" s="87">
        <v>3.29</v>
      </c>
      <c r="G53" s="89">
        <v>42423</v>
      </c>
      <c r="H53" s="90">
        <v>280.14</v>
      </c>
      <c r="I53" s="92">
        <f t="shared" si="0"/>
        <v>-2.2506019051606763E-2</v>
      </c>
      <c r="J53" s="84"/>
      <c r="K53" s="84"/>
    </row>
    <row r="54" spans="1:11" ht="16">
      <c r="A54" s="146">
        <v>42424</v>
      </c>
      <c r="B54" s="87">
        <v>3.3</v>
      </c>
      <c r="G54" s="89">
        <v>42424</v>
      </c>
      <c r="H54" s="90">
        <v>279.68</v>
      </c>
      <c r="I54" s="92">
        <f t="shared" si="0"/>
        <v>-1.6420361247946325E-3</v>
      </c>
      <c r="J54" s="84"/>
      <c r="K54" s="84"/>
    </row>
    <row r="55" spans="1:11" ht="16">
      <c r="A55" s="146">
        <v>42425</v>
      </c>
      <c r="B55" s="87">
        <v>3.31</v>
      </c>
      <c r="G55" s="89">
        <v>42425</v>
      </c>
      <c r="H55" s="90">
        <v>276.60000000000002</v>
      </c>
      <c r="I55" s="92">
        <f t="shared" si="0"/>
        <v>-1.1012585812356868E-2</v>
      </c>
      <c r="J55" s="84"/>
      <c r="K55" s="84"/>
    </row>
    <row r="56" spans="1:11" ht="16">
      <c r="A56" s="146">
        <v>42426</v>
      </c>
      <c r="B56" s="87">
        <v>3.35</v>
      </c>
      <c r="G56" s="89">
        <v>42426</v>
      </c>
      <c r="H56" s="90">
        <v>273.07</v>
      </c>
      <c r="I56" s="92">
        <f t="shared" si="0"/>
        <v>-1.2762111352133121E-2</v>
      </c>
      <c r="J56" s="84"/>
      <c r="K56" s="84"/>
    </row>
    <row r="57" spans="1:11" ht="16">
      <c r="A57" s="146">
        <v>42427</v>
      </c>
      <c r="B57" s="87">
        <v>3.37</v>
      </c>
      <c r="G57" s="89">
        <v>42427</v>
      </c>
      <c r="H57" s="90">
        <v>266.58999999999997</v>
      </c>
      <c r="I57" s="92">
        <f t="shared" si="0"/>
        <v>-2.3730179074962554E-2</v>
      </c>
      <c r="J57" s="84"/>
      <c r="K57" s="84"/>
    </row>
    <row r="58" spans="1:11" ht="16">
      <c r="A58" s="146">
        <v>42428</v>
      </c>
      <c r="B58" s="87">
        <v>3.35</v>
      </c>
      <c r="G58" s="89">
        <v>42430</v>
      </c>
      <c r="H58" s="90">
        <v>268.94</v>
      </c>
      <c r="I58" s="92">
        <f t="shared" si="0"/>
        <v>8.815034322367854E-3</v>
      </c>
      <c r="J58" s="84"/>
      <c r="K58" s="84"/>
    </row>
    <row r="59" spans="1:11" ht="16">
      <c r="A59" s="146">
        <v>42430</v>
      </c>
      <c r="B59" s="87">
        <v>3.3</v>
      </c>
      <c r="G59" s="89">
        <v>42431</v>
      </c>
      <c r="H59" s="90">
        <v>272.01</v>
      </c>
      <c r="I59" s="92">
        <f t="shared" si="0"/>
        <v>1.1415185543243833E-2</v>
      </c>
      <c r="J59" s="84"/>
      <c r="K59" s="84"/>
    </row>
    <row r="60" spans="1:11" ht="16">
      <c r="A60" s="146">
        <v>42431</v>
      </c>
      <c r="B60" s="87">
        <v>3.26</v>
      </c>
      <c r="G60" s="89">
        <v>42432</v>
      </c>
      <c r="H60" s="90">
        <v>273.49</v>
      </c>
      <c r="I60" s="92">
        <f t="shared" si="0"/>
        <v>5.4409764346898815E-3</v>
      </c>
      <c r="J60" s="84"/>
      <c r="K60" s="84"/>
    </row>
    <row r="61" spans="1:11" ht="16">
      <c r="A61" s="146">
        <v>42432</v>
      </c>
      <c r="B61" s="87">
        <v>3.15</v>
      </c>
      <c r="G61" s="89">
        <v>42433</v>
      </c>
      <c r="H61" s="90">
        <v>273.31</v>
      </c>
      <c r="I61" s="92">
        <f t="shared" si="0"/>
        <v>-6.5815934769097861E-4</v>
      </c>
      <c r="J61" s="84"/>
      <c r="K61" s="84"/>
    </row>
    <row r="62" spans="1:11" ht="16">
      <c r="A62" s="146">
        <v>42433</v>
      </c>
      <c r="B62" s="87">
        <v>3.18</v>
      </c>
      <c r="G62" s="89">
        <v>42434</v>
      </c>
      <c r="H62" s="90">
        <v>266.81</v>
      </c>
      <c r="I62" s="92">
        <f t="shared" si="0"/>
        <v>-2.3782518019831E-2</v>
      </c>
      <c r="J62" s="84"/>
      <c r="K62" s="84"/>
    </row>
    <row r="63" spans="1:11" ht="16">
      <c r="A63" s="146">
        <v>42434</v>
      </c>
      <c r="B63" s="87">
        <v>3.15</v>
      </c>
      <c r="G63" s="89">
        <v>42437</v>
      </c>
      <c r="H63" s="90">
        <v>249.58</v>
      </c>
      <c r="I63" s="92">
        <f t="shared" si="0"/>
        <v>-6.4577789438176936E-2</v>
      </c>
      <c r="J63" s="84"/>
      <c r="K63" s="84"/>
    </row>
    <row r="64" spans="1:11" ht="16">
      <c r="A64" s="146">
        <v>42437</v>
      </c>
      <c r="B64" s="87">
        <v>3.39</v>
      </c>
      <c r="G64" s="89">
        <v>42438</v>
      </c>
      <c r="H64" s="90">
        <v>253.81</v>
      </c>
      <c r="I64" s="92">
        <f t="shared" si="0"/>
        <v>1.6948473435371314E-2</v>
      </c>
      <c r="J64" s="84"/>
      <c r="K64" s="84"/>
    </row>
    <row r="65" spans="1:11" ht="16">
      <c r="A65" s="146">
        <v>42438</v>
      </c>
      <c r="B65" s="87">
        <v>3.53</v>
      </c>
      <c r="G65" s="89">
        <v>42439</v>
      </c>
      <c r="H65" s="90">
        <v>249.68</v>
      </c>
      <c r="I65" s="92">
        <f t="shared" ref="I65:I128" si="1">H65/H64-1</f>
        <v>-1.6272014499034704E-2</v>
      </c>
      <c r="J65" s="84"/>
      <c r="K65" s="84"/>
    </row>
    <row r="66" spans="1:11" ht="16">
      <c r="A66" s="146">
        <v>42439</v>
      </c>
      <c r="B66" s="87">
        <v>3.64</v>
      </c>
      <c r="G66" s="89">
        <v>42440</v>
      </c>
      <c r="H66" s="90">
        <v>232.06</v>
      </c>
      <c r="I66" s="92">
        <f t="shared" si="1"/>
        <v>-7.057033002242874E-2</v>
      </c>
      <c r="J66" s="84"/>
      <c r="K66" s="84"/>
    </row>
    <row r="67" spans="1:11" ht="16">
      <c r="A67" s="146">
        <v>42440</v>
      </c>
      <c r="B67" s="87">
        <v>3.9</v>
      </c>
      <c r="G67" s="89">
        <v>42441</v>
      </c>
      <c r="H67" s="90">
        <v>234.96</v>
      </c>
      <c r="I67" s="92">
        <f t="shared" si="1"/>
        <v>1.2496768077221443E-2</v>
      </c>
      <c r="J67" s="84"/>
      <c r="K67" s="84"/>
    </row>
    <row r="68" spans="1:11" ht="16">
      <c r="A68" s="146">
        <v>42441</v>
      </c>
      <c r="B68" s="87">
        <v>4.03</v>
      </c>
      <c r="G68" s="89">
        <v>42444</v>
      </c>
      <c r="H68" s="90">
        <v>218.98</v>
      </c>
      <c r="I68" s="92">
        <f t="shared" si="1"/>
        <v>-6.8011576438542831E-2</v>
      </c>
      <c r="J68" s="84"/>
      <c r="K68" s="84"/>
    </row>
    <row r="69" spans="1:11" ht="16">
      <c r="A69" s="146">
        <v>42444</v>
      </c>
      <c r="B69" s="87">
        <v>4.1900000000000004</v>
      </c>
      <c r="G69" s="89">
        <v>42445</v>
      </c>
      <c r="H69" s="90">
        <v>217.76</v>
      </c>
      <c r="I69" s="92">
        <f t="shared" si="1"/>
        <v>-5.5712850488629506E-3</v>
      </c>
      <c r="J69" s="84"/>
      <c r="K69" s="84"/>
    </row>
    <row r="70" spans="1:11" ht="16">
      <c r="A70" s="146">
        <v>42445</v>
      </c>
      <c r="B70" s="87">
        <v>4.3499999999999996</v>
      </c>
      <c r="G70" s="89">
        <v>42446</v>
      </c>
      <c r="H70" s="90">
        <v>207.3</v>
      </c>
      <c r="I70" s="92">
        <f t="shared" si="1"/>
        <v>-4.8034533431300375E-2</v>
      </c>
      <c r="J70" s="84"/>
      <c r="K70" s="84"/>
    </row>
    <row r="71" spans="1:11" ht="16">
      <c r="A71" s="146">
        <v>42446</v>
      </c>
      <c r="B71" s="87">
        <v>4.84</v>
      </c>
      <c r="G71" s="89">
        <v>42447</v>
      </c>
      <c r="H71" s="90">
        <v>203.35</v>
      </c>
      <c r="I71" s="92">
        <f t="shared" si="1"/>
        <v>-1.9054510371442457E-2</v>
      </c>
      <c r="J71" s="84"/>
      <c r="K71" s="84"/>
    </row>
    <row r="72" spans="1:11" ht="16">
      <c r="A72" s="146">
        <v>42447</v>
      </c>
      <c r="B72" s="87">
        <v>5.09</v>
      </c>
      <c r="G72" s="89">
        <v>42448</v>
      </c>
      <c r="H72" s="90">
        <v>211.43</v>
      </c>
      <c r="I72" s="92">
        <f t="shared" si="1"/>
        <v>3.9734447996065958E-2</v>
      </c>
      <c r="J72" s="84"/>
      <c r="K72" s="84"/>
    </row>
    <row r="73" spans="1:11" ht="16">
      <c r="A73" s="146">
        <v>42448</v>
      </c>
      <c r="B73" s="87">
        <v>5.09</v>
      </c>
      <c r="G73" s="89">
        <v>42451</v>
      </c>
      <c r="H73" s="90">
        <v>199.71</v>
      </c>
      <c r="I73" s="92">
        <f t="shared" si="1"/>
        <v>-5.5432057891500741E-2</v>
      </c>
      <c r="J73" s="84"/>
      <c r="K73" s="84"/>
    </row>
    <row r="74" spans="1:11" ht="16">
      <c r="A74" s="146">
        <v>42451</v>
      </c>
      <c r="B74" s="87">
        <v>5.2</v>
      </c>
      <c r="G74" s="89">
        <v>42452</v>
      </c>
      <c r="H74" s="90">
        <v>209.4</v>
      </c>
      <c r="I74" s="92">
        <f t="shared" si="1"/>
        <v>4.852035451404535E-2</v>
      </c>
      <c r="J74" s="84"/>
      <c r="K74" s="84"/>
    </row>
    <row r="75" spans="1:11" ht="16">
      <c r="A75" s="146">
        <v>42452</v>
      </c>
      <c r="B75" s="87">
        <v>5.23</v>
      </c>
      <c r="G75" s="89">
        <v>42453</v>
      </c>
      <c r="H75" s="90">
        <v>217.72</v>
      </c>
      <c r="I75" s="92">
        <f t="shared" si="1"/>
        <v>3.973256924546309E-2</v>
      </c>
      <c r="J75" s="84"/>
      <c r="K75" s="84"/>
    </row>
    <row r="76" spans="1:11" ht="16">
      <c r="A76" s="146">
        <v>42453</v>
      </c>
      <c r="B76" s="87">
        <v>5.16</v>
      </c>
      <c r="G76" s="89">
        <v>42454</v>
      </c>
      <c r="H76" s="90">
        <v>222.85</v>
      </c>
      <c r="I76" s="92">
        <f t="shared" si="1"/>
        <v>2.3562373690979133E-2</v>
      </c>
      <c r="J76" s="84"/>
      <c r="K76" s="84"/>
    </row>
    <row r="77" spans="1:11" ht="16">
      <c r="A77" s="146">
        <v>42454</v>
      </c>
      <c r="B77" s="87">
        <v>4.93</v>
      </c>
      <c r="G77" s="89">
        <v>42455</v>
      </c>
      <c r="H77" s="90">
        <v>219.58</v>
      </c>
      <c r="I77" s="92">
        <f t="shared" si="1"/>
        <v>-1.4673547229077766E-2</v>
      </c>
      <c r="J77" s="84"/>
      <c r="K77" s="84"/>
    </row>
    <row r="78" spans="1:11" ht="16">
      <c r="A78" s="146">
        <v>42455</v>
      </c>
      <c r="B78" s="87">
        <v>4.92</v>
      </c>
      <c r="G78" s="89">
        <v>42458</v>
      </c>
      <c r="H78" s="90">
        <v>216.78</v>
      </c>
      <c r="I78" s="92">
        <f t="shared" si="1"/>
        <v>-1.2751616722834536E-2</v>
      </c>
      <c r="J78" s="84"/>
      <c r="K78" s="84"/>
    </row>
    <row r="79" spans="1:11" ht="16">
      <c r="A79" s="146">
        <v>42458</v>
      </c>
      <c r="B79" s="87">
        <v>4.93</v>
      </c>
      <c r="G79" s="89">
        <v>42459</v>
      </c>
      <c r="H79" s="90">
        <v>220.78</v>
      </c>
      <c r="I79" s="92">
        <f t="shared" si="1"/>
        <v>1.8451886705415532E-2</v>
      </c>
      <c r="J79" s="84"/>
      <c r="K79" s="84"/>
    </row>
    <row r="80" spans="1:11" ht="16">
      <c r="A80" s="146">
        <v>42459</v>
      </c>
      <c r="B80" s="87">
        <v>4.93</v>
      </c>
      <c r="G80" s="89">
        <v>42460</v>
      </c>
      <c r="H80" s="90">
        <v>216.35</v>
      </c>
      <c r="I80" s="92">
        <f t="shared" si="1"/>
        <v>-2.0065223299211898E-2</v>
      </c>
      <c r="J80" s="84"/>
      <c r="K80" s="84"/>
    </row>
    <row r="81" spans="1:11" ht="16">
      <c r="A81" s="146">
        <v>42460</v>
      </c>
      <c r="B81" s="87">
        <v>4.97</v>
      </c>
      <c r="G81" s="89">
        <v>42461</v>
      </c>
      <c r="H81" s="90">
        <v>218.73</v>
      </c>
      <c r="I81" s="92">
        <f t="shared" si="1"/>
        <v>1.1000693321007615E-2</v>
      </c>
      <c r="J81" s="84"/>
      <c r="K81" s="84"/>
    </row>
    <row r="82" spans="1:11" ht="16">
      <c r="A82" s="146">
        <v>42461</v>
      </c>
      <c r="B82" s="87">
        <v>4.96</v>
      </c>
      <c r="G82" s="89">
        <v>42462</v>
      </c>
      <c r="H82" s="90">
        <v>216.77</v>
      </c>
      <c r="I82" s="92">
        <f t="shared" si="1"/>
        <v>-8.9608192749049964E-3</v>
      </c>
      <c r="J82" s="84"/>
      <c r="K82" s="84"/>
    </row>
    <row r="83" spans="1:11" ht="16">
      <c r="A83" s="146">
        <v>42462</v>
      </c>
      <c r="B83" s="87">
        <v>4.92</v>
      </c>
      <c r="G83" s="89">
        <v>42465</v>
      </c>
      <c r="H83" s="90">
        <v>221.78</v>
      </c>
      <c r="I83" s="92">
        <f t="shared" si="1"/>
        <v>2.3112054251049452E-2</v>
      </c>
      <c r="J83" s="84"/>
      <c r="K83" s="84"/>
    </row>
    <row r="84" spans="1:11" ht="16">
      <c r="A84" s="146">
        <v>42465</v>
      </c>
      <c r="B84" s="87">
        <v>4.97</v>
      </c>
      <c r="G84" s="89">
        <v>42466</v>
      </c>
      <c r="H84" s="90">
        <v>228.48</v>
      </c>
      <c r="I84" s="92">
        <f t="shared" si="1"/>
        <v>3.021011813508867E-2</v>
      </c>
      <c r="J84" s="84"/>
      <c r="K84" s="84"/>
    </row>
    <row r="85" spans="1:11" ht="16">
      <c r="A85" s="146">
        <v>42466</v>
      </c>
      <c r="B85" s="87">
        <v>4.96</v>
      </c>
      <c r="G85" s="89">
        <v>42467</v>
      </c>
      <c r="H85" s="90">
        <v>227.95</v>
      </c>
      <c r="I85" s="92">
        <f t="shared" si="1"/>
        <v>-2.3196778711485067E-3</v>
      </c>
      <c r="J85" s="84"/>
      <c r="K85" s="84"/>
    </row>
    <row r="86" spans="1:11" ht="16">
      <c r="A86" s="146">
        <v>42467</v>
      </c>
      <c r="B86" s="87">
        <v>4.9400000000000004</v>
      </c>
      <c r="G86" s="89">
        <v>42468</v>
      </c>
      <c r="H86" s="90">
        <v>231.52</v>
      </c>
      <c r="I86" s="92">
        <f t="shared" si="1"/>
        <v>1.5661329238868316E-2</v>
      </c>
      <c r="J86" s="84"/>
      <c r="K86" s="84"/>
    </row>
    <row r="87" spans="1:11" ht="16">
      <c r="A87" s="146">
        <v>42468</v>
      </c>
      <c r="B87" s="87">
        <v>4.84</v>
      </c>
      <c r="G87" s="89">
        <v>42469</v>
      </c>
      <c r="H87" s="90">
        <v>231.6</v>
      </c>
      <c r="I87" s="92">
        <f t="shared" si="1"/>
        <v>3.4554250172758039E-4</v>
      </c>
      <c r="J87" s="84"/>
      <c r="K87" s="84"/>
    </row>
    <row r="88" spans="1:11" ht="16">
      <c r="A88" s="146">
        <v>42469</v>
      </c>
      <c r="B88" s="240">
        <f>B87</f>
        <v>4.84</v>
      </c>
      <c r="G88" s="89">
        <v>42472</v>
      </c>
      <c r="H88" s="90">
        <v>230.69</v>
      </c>
      <c r="I88" s="92">
        <f t="shared" si="1"/>
        <v>-3.9291882556130586E-3</v>
      </c>
      <c r="J88" s="84"/>
      <c r="K88" s="84"/>
    </row>
    <row r="89" spans="1:11" ht="16">
      <c r="A89" s="146">
        <v>42472</v>
      </c>
      <c r="B89" s="87">
        <v>4.78</v>
      </c>
      <c r="G89" s="89">
        <v>42473</v>
      </c>
      <c r="H89" s="90">
        <v>233.98</v>
      </c>
      <c r="I89" s="92">
        <f t="shared" si="1"/>
        <v>1.4261563136676925E-2</v>
      </c>
      <c r="J89" s="84"/>
      <c r="K89" s="84"/>
    </row>
    <row r="90" spans="1:11" ht="16">
      <c r="A90" s="146">
        <v>42473</v>
      </c>
      <c r="B90" s="87">
        <v>4.7</v>
      </c>
      <c r="G90" s="89">
        <v>42474</v>
      </c>
      <c r="H90" s="90">
        <v>231.54</v>
      </c>
      <c r="I90" s="92">
        <f t="shared" si="1"/>
        <v>-1.0428241730062404E-2</v>
      </c>
      <c r="J90" s="84"/>
      <c r="K90" s="84"/>
    </row>
    <row r="91" spans="1:11" ht="16">
      <c r="A91" s="146">
        <v>42474</v>
      </c>
      <c r="B91" s="87">
        <v>4.6900000000000004</v>
      </c>
      <c r="G91" s="89">
        <v>42475</v>
      </c>
      <c r="H91" s="90">
        <v>230.99</v>
      </c>
      <c r="I91" s="92">
        <f t="shared" si="1"/>
        <v>-2.3753994990065586E-3</v>
      </c>
      <c r="J91" s="84"/>
      <c r="K91" s="84"/>
    </row>
    <row r="92" spans="1:11" ht="16">
      <c r="A92" s="146">
        <v>42475</v>
      </c>
      <c r="B92" s="87">
        <v>4.67</v>
      </c>
      <c r="G92" s="89">
        <v>42476</v>
      </c>
      <c r="H92" s="90">
        <v>234.23</v>
      </c>
      <c r="I92" s="92">
        <f t="shared" si="1"/>
        <v>1.4026581237282842E-2</v>
      </c>
      <c r="J92" s="84"/>
      <c r="K92" s="84"/>
    </row>
    <row r="93" spans="1:11" ht="16">
      <c r="A93" s="146">
        <v>42476</v>
      </c>
      <c r="B93" s="87">
        <v>4.63</v>
      </c>
      <c r="G93" s="89">
        <v>42479</v>
      </c>
      <c r="H93" s="90">
        <v>234.47</v>
      </c>
      <c r="I93" s="92">
        <f t="shared" si="1"/>
        <v>1.0246339068438193E-3</v>
      </c>
      <c r="J93" s="84"/>
      <c r="K93" s="84"/>
    </row>
    <row r="94" spans="1:11" ht="16">
      <c r="A94" s="146">
        <v>42479</v>
      </c>
      <c r="B94" s="87">
        <v>4.6500000000000004</v>
      </c>
      <c r="G94" s="89">
        <v>42480</v>
      </c>
      <c r="H94" s="90">
        <v>228.79</v>
      </c>
      <c r="I94" s="92">
        <f t="shared" si="1"/>
        <v>-2.4224847528468541E-2</v>
      </c>
      <c r="J94" s="84"/>
      <c r="K94" s="84"/>
    </row>
    <row r="95" spans="1:11" ht="16">
      <c r="A95" s="146">
        <v>42480</v>
      </c>
      <c r="B95" s="87">
        <v>4.68</v>
      </c>
      <c r="G95" s="89">
        <v>42481</v>
      </c>
      <c r="H95" s="90">
        <v>231.59</v>
      </c>
      <c r="I95" s="92">
        <f t="shared" si="1"/>
        <v>1.223829712837099E-2</v>
      </c>
      <c r="J95" s="84"/>
      <c r="K95" s="84"/>
    </row>
    <row r="96" spans="1:11" ht="16">
      <c r="A96" s="146">
        <v>42481</v>
      </c>
      <c r="B96" s="87">
        <v>4.6900000000000004</v>
      </c>
      <c r="G96" s="89">
        <v>42482</v>
      </c>
      <c r="H96" s="90">
        <v>232.52</v>
      </c>
      <c r="I96" s="92">
        <f t="shared" si="1"/>
        <v>4.0157174316679534E-3</v>
      </c>
      <c r="J96" s="84"/>
      <c r="K96" s="84"/>
    </row>
    <row r="97" spans="1:11" ht="16">
      <c r="A97" s="146">
        <v>42482</v>
      </c>
      <c r="B97" s="87">
        <v>4.6900000000000004</v>
      </c>
      <c r="G97" s="89">
        <v>42483</v>
      </c>
      <c r="H97" s="90">
        <v>229.45</v>
      </c>
      <c r="I97" s="92">
        <f t="shared" si="1"/>
        <v>-1.3203165319112475E-2</v>
      </c>
      <c r="J97" s="84"/>
      <c r="K97" s="84"/>
    </row>
    <row r="98" spans="1:11" ht="16">
      <c r="A98" s="146">
        <v>42483</v>
      </c>
      <c r="B98" s="87">
        <v>4.7</v>
      </c>
      <c r="G98" s="89">
        <v>42486</v>
      </c>
      <c r="H98" s="90">
        <v>233.3</v>
      </c>
      <c r="I98" s="92">
        <f t="shared" si="1"/>
        <v>1.6779254739594851E-2</v>
      </c>
      <c r="J98" s="84"/>
      <c r="K98" s="84"/>
    </row>
    <row r="99" spans="1:11" ht="16">
      <c r="A99" s="146">
        <v>42486</v>
      </c>
      <c r="B99" s="87">
        <v>4.72</v>
      </c>
      <c r="G99" s="89">
        <v>42487</v>
      </c>
      <c r="H99" s="90">
        <v>235.31</v>
      </c>
      <c r="I99" s="92">
        <f t="shared" si="1"/>
        <v>8.6155165023573677E-3</v>
      </c>
      <c r="J99" s="84"/>
      <c r="K99" s="84"/>
    </row>
    <row r="100" spans="1:11" ht="16">
      <c r="A100" s="146">
        <v>42487</v>
      </c>
      <c r="B100" s="87">
        <v>4.6900000000000004</v>
      </c>
      <c r="G100" s="89">
        <v>42488</v>
      </c>
      <c r="H100" s="90">
        <v>239.9</v>
      </c>
      <c r="I100" s="92">
        <f t="shared" si="1"/>
        <v>1.9506183332625104E-2</v>
      </c>
      <c r="J100" s="84"/>
      <c r="K100" s="84"/>
    </row>
    <row r="101" spans="1:11" ht="16">
      <c r="A101" s="146">
        <v>42488</v>
      </c>
      <c r="B101" s="87">
        <v>4.6100000000000003</v>
      </c>
      <c r="G101" s="89">
        <v>42489</v>
      </c>
      <c r="H101" s="90">
        <v>241.39</v>
      </c>
      <c r="I101" s="92">
        <f t="shared" si="1"/>
        <v>6.2109212171737038E-3</v>
      </c>
      <c r="J101" s="84"/>
      <c r="K101" s="84"/>
    </row>
    <row r="102" spans="1:11" ht="16">
      <c r="A102" s="146">
        <v>42489</v>
      </c>
      <c r="B102" s="87">
        <v>4.51</v>
      </c>
      <c r="G102" s="89">
        <v>42490</v>
      </c>
      <c r="H102" s="90">
        <v>239.2</v>
      </c>
      <c r="I102" s="92">
        <f t="shared" si="1"/>
        <v>-9.0724553626910787E-3</v>
      </c>
      <c r="J102" s="84"/>
      <c r="K102" s="84"/>
    </row>
    <row r="103" spans="1:11" ht="16">
      <c r="A103" s="146">
        <v>42490</v>
      </c>
      <c r="B103" s="87">
        <v>4.5</v>
      </c>
      <c r="G103" s="89">
        <v>42493</v>
      </c>
      <c r="H103" s="90">
        <v>232.15</v>
      </c>
      <c r="I103" s="92">
        <f t="shared" si="1"/>
        <v>-2.9473244147157129E-2</v>
      </c>
      <c r="J103" s="84"/>
      <c r="K103" s="84"/>
    </row>
    <row r="104" spans="1:11" ht="16">
      <c r="A104" s="146">
        <v>42493</v>
      </c>
      <c r="B104" s="87">
        <v>4.5</v>
      </c>
      <c r="G104" s="89">
        <v>42494</v>
      </c>
      <c r="H104" s="90">
        <v>234.39</v>
      </c>
      <c r="I104" s="92">
        <f t="shared" si="1"/>
        <v>9.6489338789573775E-3</v>
      </c>
      <c r="J104" s="84"/>
      <c r="K104" s="84"/>
    </row>
    <row r="105" spans="1:11" ht="16">
      <c r="A105" s="146">
        <v>42494</v>
      </c>
      <c r="B105" s="87">
        <v>4.47</v>
      </c>
      <c r="G105" s="89">
        <v>42495</v>
      </c>
      <c r="H105" s="90">
        <v>234.83</v>
      </c>
      <c r="I105" s="92">
        <f t="shared" si="1"/>
        <v>1.8772131916890977E-3</v>
      </c>
      <c r="J105" s="84"/>
      <c r="K105" s="84"/>
    </row>
    <row r="106" spans="1:11" ht="16">
      <c r="A106" s="146">
        <v>42495</v>
      </c>
      <c r="B106" s="87">
        <v>4.4800000000000004</v>
      </c>
      <c r="G106" s="89">
        <v>42496</v>
      </c>
      <c r="H106" s="90">
        <v>234.54</v>
      </c>
      <c r="I106" s="92">
        <f t="shared" si="1"/>
        <v>-1.2349359110847002E-3</v>
      </c>
      <c r="J106" s="84"/>
      <c r="K106" s="84"/>
    </row>
    <row r="107" spans="1:11" ht="16">
      <c r="A107" s="146">
        <v>42496</v>
      </c>
      <c r="B107" s="87">
        <v>4.45</v>
      </c>
      <c r="G107" s="89">
        <v>42497</v>
      </c>
      <c r="H107" s="90">
        <v>238.3</v>
      </c>
      <c r="I107" s="92">
        <f t="shared" si="1"/>
        <v>1.6031380574742071E-2</v>
      </c>
      <c r="J107" s="84"/>
      <c r="K107" s="84"/>
    </row>
    <row r="108" spans="1:11" ht="16">
      <c r="A108" s="146">
        <v>42497</v>
      </c>
      <c r="B108" s="87">
        <v>4.4000000000000004</v>
      </c>
      <c r="G108" s="89">
        <v>42500</v>
      </c>
      <c r="H108" s="90">
        <v>239.36</v>
      </c>
      <c r="I108" s="92">
        <f t="shared" si="1"/>
        <v>4.4481745698699005E-3</v>
      </c>
      <c r="J108" s="84"/>
      <c r="K108" s="84"/>
    </row>
    <row r="109" spans="1:11" ht="16">
      <c r="A109" s="146">
        <v>42500</v>
      </c>
      <c r="B109" s="87">
        <v>4.3899999999999997</v>
      </c>
      <c r="G109" s="89">
        <v>42501</v>
      </c>
      <c r="H109" s="90">
        <v>237.97</v>
      </c>
      <c r="I109" s="92">
        <f t="shared" si="1"/>
        <v>-5.8071524064171598E-3</v>
      </c>
      <c r="J109" s="84"/>
      <c r="K109" s="84"/>
    </row>
    <row r="110" spans="1:11" ht="16">
      <c r="A110" s="146">
        <v>42501</v>
      </c>
      <c r="B110" s="87">
        <v>4.3499999999999996</v>
      </c>
      <c r="G110" s="89">
        <v>42502</v>
      </c>
      <c r="H110" s="90">
        <v>237.79</v>
      </c>
      <c r="I110" s="92">
        <f t="shared" si="1"/>
        <v>-7.5639786527714747E-4</v>
      </c>
      <c r="J110" s="84"/>
      <c r="K110" s="84"/>
    </row>
    <row r="111" spans="1:11" ht="16">
      <c r="A111" s="146">
        <v>42502</v>
      </c>
      <c r="B111" s="87">
        <v>4.3499999999999996</v>
      </c>
      <c r="G111" s="89">
        <v>42503</v>
      </c>
      <c r="H111" s="90">
        <v>235.7</v>
      </c>
      <c r="I111" s="92">
        <f t="shared" si="1"/>
        <v>-8.7892678413726832E-3</v>
      </c>
      <c r="J111" s="84"/>
      <c r="K111" s="84"/>
    </row>
    <row r="112" spans="1:11" ht="16">
      <c r="A112" s="146">
        <v>42503</v>
      </c>
      <c r="B112" s="87">
        <v>4.3600000000000003</v>
      </c>
      <c r="G112" s="89">
        <v>42504</v>
      </c>
      <c r="H112" s="90">
        <v>235.82</v>
      </c>
      <c r="I112" s="92">
        <f t="shared" si="1"/>
        <v>5.0912176495554462E-4</v>
      </c>
      <c r="J112" s="84"/>
      <c r="K112" s="84"/>
    </row>
    <row r="113" spans="1:11" ht="16">
      <c r="A113" s="146">
        <v>42504</v>
      </c>
      <c r="B113" s="87">
        <v>4.3099999999999996</v>
      </c>
      <c r="G113" s="89">
        <v>42507</v>
      </c>
      <c r="H113" s="90">
        <v>238.72</v>
      </c>
      <c r="I113" s="92">
        <f t="shared" si="1"/>
        <v>1.229751505385468E-2</v>
      </c>
      <c r="J113" s="84"/>
      <c r="K113" s="84"/>
    </row>
    <row r="114" spans="1:11" ht="16">
      <c r="A114" s="146">
        <v>42507</v>
      </c>
      <c r="B114" s="87">
        <v>4.25</v>
      </c>
      <c r="G114" s="89">
        <v>42508</v>
      </c>
      <c r="H114" s="90">
        <v>241.44</v>
      </c>
      <c r="I114" s="92">
        <f t="shared" si="1"/>
        <v>1.1394101876675666E-2</v>
      </c>
      <c r="J114" s="84"/>
      <c r="K114" s="84"/>
    </row>
    <row r="115" spans="1:11" ht="16">
      <c r="A115" s="146">
        <v>42508</v>
      </c>
      <c r="B115" s="87">
        <v>4.22</v>
      </c>
      <c r="G115" s="89">
        <v>42509</v>
      </c>
      <c r="H115" s="90">
        <v>243.25</v>
      </c>
      <c r="I115" s="92">
        <f t="shared" si="1"/>
        <v>7.4966865473824473E-3</v>
      </c>
      <c r="J115" s="84"/>
      <c r="K115" s="84"/>
    </row>
    <row r="116" spans="1:11" ht="16">
      <c r="A116" s="146">
        <v>42509</v>
      </c>
      <c r="B116" s="87">
        <v>4.1399999999999997</v>
      </c>
      <c r="G116" s="89">
        <v>42510</v>
      </c>
      <c r="H116" s="90">
        <v>242.92</v>
      </c>
      <c r="I116" s="92">
        <f t="shared" si="1"/>
        <v>-1.3566289825283073E-3</v>
      </c>
      <c r="J116" s="84"/>
      <c r="K116" s="84"/>
    </row>
    <row r="117" spans="1:11" ht="16">
      <c r="A117" s="146">
        <v>42510</v>
      </c>
      <c r="B117" s="87">
        <v>4.05</v>
      </c>
      <c r="G117" s="89">
        <v>42511</v>
      </c>
      <c r="H117" s="90">
        <v>236.81</v>
      </c>
      <c r="I117" s="92">
        <f t="shared" si="1"/>
        <v>-2.515231351885383E-2</v>
      </c>
      <c r="J117" s="84"/>
      <c r="K117" s="84"/>
    </row>
    <row r="118" spans="1:11" ht="16">
      <c r="A118" s="146">
        <v>42511</v>
      </c>
      <c r="B118" s="87">
        <v>4.0599999999999996</v>
      </c>
      <c r="G118" s="89">
        <v>42514</v>
      </c>
      <c r="H118" s="90">
        <v>238.6</v>
      </c>
      <c r="I118" s="92">
        <f t="shared" si="1"/>
        <v>7.5588024154384925E-3</v>
      </c>
      <c r="J118" s="84"/>
      <c r="K118" s="84"/>
    </row>
    <row r="119" spans="1:11" ht="16">
      <c r="A119" s="146">
        <v>42514</v>
      </c>
      <c r="B119" s="87">
        <v>4.05</v>
      </c>
      <c r="G119" s="89">
        <v>42515</v>
      </c>
      <c r="H119" s="90">
        <v>242.35</v>
      </c>
      <c r="I119" s="92">
        <f t="shared" si="1"/>
        <v>1.5716680637049452E-2</v>
      </c>
      <c r="J119" s="84"/>
      <c r="K119" s="84"/>
    </row>
    <row r="120" spans="1:11" ht="16">
      <c r="A120" s="146">
        <v>42515</v>
      </c>
      <c r="B120" s="87">
        <v>4.01</v>
      </c>
      <c r="G120" s="89">
        <v>42516</v>
      </c>
      <c r="H120" s="90">
        <v>242.7</v>
      </c>
      <c r="I120" s="92">
        <f t="shared" si="1"/>
        <v>1.4441922838868138E-3</v>
      </c>
      <c r="J120" s="84"/>
      <c r="K120" s="84"/>
    </row>
    <row r="121" spans="1:11" ht="16">
      <c r="A121" s="146">
        <v>42516</v>
      </c>
      <c r="B121" s="87">
        <v>3.99</v>
      </c>
      <c r="G121" s="89">
        <v>42517</v>
      </c>
      <c r="H121" s="90">
        <v>242.42</v>
      </c>
      <c r="I121" s="92">
        <f t="shared" si="1"/>
        <v>-1.1536876802636931E-3</v>
      </c>
      <c r="J121" s="84"/>
      <c r="K121" s="84"/>
    </row>
    <row r="122" spans="1:11" ht="16">
      <c r="A122" s="146">
        <v>42517</v>
      </c>
      <c r="B122" s="87">
        <v>3.98</v>
      </c>
      <c r="G122" s="89">
        <v>42518</v>
      </c>
      <c r="H122" s="90">
        <v>243.9</v>
      </c>
      <c r="I122" s="92">
        <f t="shared" si="1"/>
        <v>6.1051068393698227E-3</v>
      </c>
      <c r="J122" s="84"/>
      <c r="K122" s="84"/>
    </row>
    <row r="123" spans="1:11" ht="16">
      <c r="A123" s="146">
        <v>42518</v>
      </c>
      <c r="B123" s="87">
        <v>3.98</v>
      </c>
      <c r="G123" s="89">
        <v>42521</v>
      </c>
      <c r="H123" s="90">
        <v>249.33</v>
      </c>
      <c r="I123" s="92">
        <f t="shared" si="1"/>
        <v>2.2263222632226354E-2</v>
      </c>
      <c r="J123" s="84"/>
      <c r="K123" s="84"/>
    </row>
    <row r="124" spans="1:11" ht="16">
      <c r="A124" s="146">
        <v>42520</v>
      </c>
      <c r="B124" s="87">
        <v>3.99</v>
      </c>
      <c r="G124" s="89">
        <v>42522</v>
      </c>
      <c r="H124" s="90">
        <v>253.66</v>
      </c>
      <c r="I124" s="92">
        <f t="shared" si="1"/>
        <v>1.7366542333453694E-2</v>
      </c>
      <c r="J124" s="84"/>
      <c r="K124" s="84"/>
    </row>
    <row r="125" spans="1:11" ht="16">
      <c r="A125" s="146">
        <v>42521</v>
      </c>
      <c r="B125" s="87">
        <v>3.96</v>
      </c>
      <c r="G125" s="89">
        <v>42523</v>
      </c>
      <c r="H125" s="90">
        <v>258.20999999999998</v>
      </c>
      <c r="I125" s="92">
        <f t="shared" si="1"/>
        <v>1.7937396515020021E-2</v>
      </c>
      <c r="J125" s="84"/>
      <c r="K125" s="84"/>
    </row>
    <row r="126" spans="1:11" ht="16">
      <c r="A126" s="146">
        <v>42522</v>
      </c>
      <c r="B126" s="87">
        <v>3.93</v>
      </c>
      <c r="G126" s="89">
        <v>42524</v>
      </c>
      <c r="H126" s="90">
        <v>258.38</v>
      </c>
      <c r="I126" s="92">
        <f t="shared" si="1"/>
        <v>6.5837883892960747E-4</v>
      </c>
      <c r="J126" s="84"/>
      <c r="K126" s="84"/>
    </row>
    <row r="127" spans="1:11" ht="16">
      <c r="A127" s="146">
        <v>42523</v>
      </c>
      <c r="B127" s="87">
        <v>3.88</v>
      </c>
      <c r="G127" s="89">
        <v>42525</v>
      </c>
      <c r="H127" s="90">
        <v>261.85000000000002</v>
      </c>
      <c r="I127" s="92">
        <f t="shared" si="1"/>
        <v>1.3429832030342981E-2</v>
      </c>
      <c r="J127" s="84"/>
      <c r="K127" s="84"/>
    </row>
    <row r="128" spans="1:11" ht="16">
      <c r="A128" s="146">
        <v>42524</v>
      </c>
      <c r="B128" s="87">
        <v>3.87</v>
      </c>
      <c r="G128" s="89">
        <v>42528</v>
      </c>
      <c r="H128" s="90">
        <v>263.39</v>
      </c>
      <c r="I128" s="92">
        <f t="shared" si="1"/>
        <v>5.8812297116668244E-3</v>
      </c>
      <c r="J128" s="84"/>
      <c r="K128" s="84"/>
    </row>
    <row r="129" spans="1:11" ht="16">
      <c r="A129" s="146">
        <v>42525</v>
      </c>
      <c r="B129" s="87">
        <v>3.82</v>
      </c>
      <c r="G129" s="89">
        <v>42529</v>
      </c>
      <c r="H129" s="90">
        <v>263.62</v>
      </c>
      <c r="I129" s="92">
        <f t="shared" ref="I129:I192" si="2">H129/H128-1</f>
        <v>8.7322981130655286E-4</v>
      </c>
      <c r="J129" s="84"/>
      <c r="K129" s="84"/>
    </row>
    <row r="130" spans="1:11" ht="16">
      <c r="A130" s="146">
        <v>42528</v>
      </c>
      <c r="B130" s="87">
        <v>3.76</v>
      </c>
      <c r="G130" s="89">
        <v>42530</v>
      </c>
      <c r="H130" s="90">
        <v>264.12</v>
      </c>
      <c r="I130" s="92">
        <f t="shared" si="2"/>
        <v>1.8966694484485735E-3</v>
      </c>
      <c r="J130" s="84"/>
      <c r="K130" s="84"/>
    </row>
    <row r="131" spans="1:11" ht="16">
      <c r="A131" s="146">
        <v>42529</v>
      </c>
      <c r="B131" s="87">
        <v>3.74</v>
      </c>
      <c r="G131" s="89">
        <v>42531</v>
      </c>
      <c r="H131" s="90">
        <v>259.01</v>
      </c>
      <c r="I131" s="92">
        <f t="shared" si="2"/>
        <v>-1.9347266394063367E-2</v>
      </c>
      <c r="J131" s="84"/>
      <c r="K131" s="84"/>
    </row>
    <row r="132" spans="1:11" ht="16">
      <c r="A132" s="146">
        <v>42530</v>
      </c>
      <c r="B132" s="87">
        <v>3.73</v>
      </c>
      <c r="G132" s="89">
        <v>42532</v>
      </c>
      <c r="H132" s="90">
        <v>258.13</v>
      </c>
      <c r="I132" s="92">
        <f t="shared" si="2"/>
        <v>-3.3975522180610396E-3</v>
      </c>
      <c r="J132" s="84"/>
      <c r="K132" s="84"/>
    </row>
    <row r="133" spans="1:11" ht="16">
      <c r="A133" s="146">
        <v>42531</v>
      </c>
      <c r="B133" s="87">
        <v>3.75</v>
      </c>
      <c r="G133" s="89">
        <v>42535</v>
      </c>
      <c r="H133" s="90">
        <v>254.1</v>
      </c>
      <c r="I133" s="92">
        <f t="shared" si="2"/>
        <v>-1.5612288381823158E-2</v>
      </c>
      <c r="J133" s="84"/>
      <c r="K133" s="84"/>
    </row>
    <row r="134" spans="1:11" ht="16">
      <c r="A134" s="146">
        <v>42532</v>
      </c>
      <c r="B134" s="87">
        <v>3.76</v>
      </c>
      <c r="G134" s="89">
        <v>42536</v>
      </c>
      <c r="H134" s="90">
        <v>259.01</v>
      </c>
      <c r="I134" s="92">
        <f t="shared" si="2"/>
        <v>1.9323101141282883E-2</v>
      </c>
      <c r="J134" s="84"/>
      <c r="K134" s="84"/>
    </row>
    <row r="135" spans="1:11" ht="16">
      <c r="A135" s="146">
        <v>42535</v>
      </c>
      <c r="B135" s="87">
        <v>3.79</v>
      </c>
      <c r="G135" s="89">
        <v>42537</v>
      </c>
      <c r="H135" s="90">
        <v>260.51</v>
      </c>
      <c r="I135" s="92">
        <f t="shared" si="2"/>
        <v>5.7912821898769007E-3</v>
      </c>
      <c r="J135" s="84"/>
      <c r="K135" s="84"/>
    </row>
    <row r="136" spans="1:11" ht="16">
      <c r="A136" s="146">
        <v>42536</v>
      </c>
      <c r="B136" s="87">
        <v>3.74</v>
      </c>
      <c r="G136" s="89">
        <v>42538</v>
      </c>
      <c r="H136" s="90">
        <v>260.85000000000002</v>
      </c>
      <c r="I136" s="92">
        <f t="shared" si="2"/>
        <v>1.3051322406050225E-3</v>
      </c>
      <c r="J136" s="84"/>
      <c r="K136" s="84"/>
    </row>
    <row r="137" spans="1:11" ht="16">
      <c r="A137" s="146">
        <v>42537</v>
      </c>
      <c r="B137" s="87">
        <v>3.75</v>
      </c>
      <c r="G137" s="89">
        <v>42539</v>
      </c>
      <c r="H137" s="90">
        <v>262.5</v>
      </c>
      <c r="I137" s="92">
        <f t="shared" si="2"/>
        <v>6.3254744105807337E-3</v>
      </c>
      <c r="J137" s="84"/>
      <c r="K137" s="84"/>
    </row>
    <row r="138" spans="1:11" ht="16">
      <c r="A138" s="146">
        <v>42538</v>
      </c>
      <c r="B138" s="87">
        <v>3.74</v>
      </c>
      <c r="G138" s="89">
        <v>42542</v>
      </c>
      <c r="H138" s="90">
        <v>262.77</v>
      </c>
      <c r="I138" s="92">
        <f t="shared" si="2"/>
        <v>1.0285714285713787E-3</v>
      </c>
      <c r="J138" s="84"/>
      <c r="K138" s="84"/>
    </row>
    <row r="139" spans="1:11" ht="16">
      <c r="A139" s="146">
        <v>42539</v>
      </c>
      <c r="B139" s="87">
        <v>3.72</v>
      </c>
      <c r="G139" s="89">
        <v>42543</v>
      </c>
      <c r="H139" s="90">
        <v>266.39999999999998</v>
      </c>
      <c r="I139" s="92">
        <f t="shared" si="2"/>
        <v>1.381436237013367E-2</v>
      </c>
      <c r="J139" s="84"/>
      <c r="K139" s="84"/>
    </row>
    <row r="140" spans="1:11" ht="16">
      <c r="A140" s="146">
        <v>42542</v>
      </c>
      <c r="B140" s="87">
        <v>3.72</v>
      </c>
      <c r="G140" s="89">
        <v>42544</v>
      </c>
      <c r="H140" s="90">
        <v>264.45999999999998</v>
      </c>
      <c r="I140" s="92">
        <f t="shared" si="2"/>
        <v>-7.2822822822822264E-3</v>
      </c>
      <c r="J140" s="84"/>
      <c r="K140" s="84"/>
    </row>
    <row r="141" spans="1:11" ht="16">
      <c r="A141" s="146">
        <v>42543</v>
      </c>
      <c r="B141" s="87">
        <v>3.71</v>
      </c>
      <c r="G141" s="89">
        <v>42545</v>
      </c>
      <c r="H141" s="90">
        <v>263.75</v>
      </c>
      <c r="I141" s="92">
        <f t="shared" si="2"/>
        <v>-2.6847160251076696E-3</v>
      </c>
      <c r="J141" s="84"/>
      <c r="K141" s="84"/>
    </row>
    <row r="142" spans="1:11" ht="16">
      <c r="A142" s="146">
        <v>42544</v>
      </c>
      <c r="B142" s="87">
        <v>3.72</v>
      </c>
      <c r="G142" s="89">
        <v>42546</v>
      </c>
      <c r="H142" s="90">
        <v>261.81</v>
      </c>
      <c r="I142" s="92">
        <f t="shared" si="2"/>
        <v>-7.3554502369668207E-3</v>
      </c>
      <c r="J142" s="84"/>
      <c r="K142" s="84"/>
    </row>
    <row r="143" spans="1:11" ht="16">
      <c r="A143" s="146">
        <v>42545</v>
      </c>
      <c r="B143" s="87">
        <v>3.72</v>
      </c>
      <c r="G143" s="89">
        <v>42549</v>
      </c>
      <c r="H143" s="90">
        <v>261.11</v>
      </c>
      <c r="I143" s="92">
        <f t="shared" si="2"/>
        <v>-2.6736946640693038E-3</v>
      </c>
      <c r="J143" s="84"/>
      <c r="K143" s="84"/>
    </row>
    <row r="144" spans="1:11" ht="16">
      <c r="A144" s="146">
        <v>42546</v>
      </c>
      <c r="B144" s="87">
        <v>3.71</v>
      </c>
      <c r="G144" s="89">
        <v>42550</v>
      </c>
      <c r="H144" s="90">
        <v>261.23</v>
      </c>
      <c r="I144" s="92">
        <f t="shared" si="2"/>
        <v>4.5957642372940199E-4</v>
      </c>
      <c r="J144" s="84"/>
      <c r="K144" s="84"/>
    </row>
    <row r="145" spans="1:11" ht="16">
      <c r="A145" s="146">
        <v>42549</v>
      </c>
      <c r="B145" s="87">
        <v>3.71</v>
      </c>
      <c r="G145" s="89">
        <v>42551</v>
      </c>
      <c r="H145" s="90">
        <v>262.85000000000002</v>
      </c>
      <c r="I145" s="92">
        <f t="shared" si="2"/>
        <v>6.2014316885503629E-3</v>
      </c>
      <c r="J145" s="84"/>
      <c r="K145" s="84"/>
    </row>
    <row r="146" spans="1:11" ht="16">
      <c r="A146" s="146">
        <v>42550</v>
      </c>
      <c r="B146" s="87">
        <v>3.62</v>
      </c>
      <c r="G146" s="89">
        <v>42552</v>
      </c>
      <c r="H146" s="90">
        <v>269.22000000000003</v>
      </c>
      <c r="I146" s="92">
        <f t="shared" si="2"/>
        <v>2.4234354194407448E-2</v>
      </c>
      <c r="J146" s="84"/>
      <c r="K146" s="84"/>
    </row>
    <row r="147" spans="1:11" ht="16">
      <c r="A147" s="146">
        <v>42551</v>
      </c>
      <c r="B147" s="87">
        <v>3.62</v>
      </c>
      <c r="G147" s="89">
        <v>42553</v>
      </c>
      <c r="H147" s="90">
        <v>271.7</v>
      </c>
      <c r="I147" s="92">
        <f t="shared" si="2"/>
        <v>9.2117970433100993E-3</v>
      </c>
      <c r="J147" s="84"/>
      <c r="K147" s="84"/>
    </row>
    <row r="148" spans="1:11" ht="16">
      <c r="A148" s="146">
        <v>42552</v>
      </c>
      <c r="B148" s="87">
        <v>3.6</v>
      </c>
      <c r="G148" s="89">
        <v>42556</v>
      </c>
      <c r="H148" s="90">
        <v>278.94</v>
      </c>
      <c r="I148" s="92">
        <f t="shared" si="2"/>
        <v>2.6647037173352928E-2</v>
      </c>
      <c r="J148" s="84"/>
      <c r="K148" s="84"/>
    </row>
    <row r="149" spans="1:11" ht="16">
      <c r="A149" s="146">
        <v>42553</v>
      </c>
      <c r="B149" s="87">
        <v>3.59</v>
      </c>
      <c r="G149" s="89">
        <v>42557</v>
      </c>
      <c r="H149" s="90">
        <v>277.2</v>
      </c>
      <c r="I149" s="92">
        <f t="shared" si="2"/>
        <v>-6.2379006237901491E-3</v>
      </c>
      <c r="J149" s="84"/>
      <c r="K149" s="84"/>
    </row>
    <row r="150" spans="1:11" ht="16">
      <c r="A150" s="146">
        <v>42556</v>
      </c>
      <c r="B150" s="87">
        <v>3.55</v>
      </c>
      <c r="G150" s="89">
        <v>42558</v>
      </c>
      <c r="H150" s="90">
        <v>281.73</v>
      </c>
      <c r="I150" s="92">
        <f t="shared" si="2"/>
        <v>1.6341991341991546E-2</v>
      </c>
      <c r="J150" s="84"/>
      <c r="K150" s="84"/>
    </row>
    <row r="151" spans="1:11" ht="16">
      <c r="A151" s="146">
        <v>42557</v>
      </c>
      <c r="B151" s="87">
        <v>3.55</v>
      </c>
      <c r="G151" s="89">
        <v>42559</v>
      </c>
      <c r="H151" s="90">
        <v>284.11</v>
      </c>
      <c r="I151" s="92">
        <f t="shared" si="2"/>
        <v>8.4478046356439851E-3</v>
      </c>
      <c r="J151" s="84"/>
      <c r="K151" s="84"/>
    </row>
    <row r="152" spans="1:11" ht="16">
      <c r="A152" s="146">
        <v>42558</v>
      </c>
      <c r="B152" s="87">
        <v>3.53</v>
      </c>
      <c r="G152" s="89">
        <v>42560</v>
      </c>
      <c r="H152" s="90">
        <v>281.41000000000003</v>
      </c>
      <c r="I152" s="92">
        <f t="shared" si="2"/>
        <v>-9.5033613741156708E-3</v>
      </c>
      <c r="J152" s="84"/>
      <c r="K152" s="84"/>
    </row>
    <row r="153" spans="1:11" ht="16">
      <c r="A153" s="146">
        <v>42559</v>
      </c>
      <c r="B153" s="87">
        <v>3.53</v>
      </c>
      <c r="G153" s="89">
        <v>42563</v>
      </c>
      <c r="H153" s="90">
        <v>281.77</v>
      </c>
      <c r="I153" s="92">
        <f t="shared" si="2"/>
        <v>1.2792722362386932E-3</v>
      </c>
      <c r="J153" s="84"/>
      <c r="K153" s="84"/>
    </row>
    <row r="154" spans="1:11" ht="16">
      <c r="A154" s="146">
        <v>42560</v>
      </c>
      <c r="B154" s="87">
        <v>3.53</v>
      </c>
      <c r="G154" s="89">
        <v>42564</v>
      </c>
      <c r="H154" s="90">
        <v>278.27</v>
      </c>
      <c r="I154" s="92">
        <f t="shared" si="2"/>
        <v>-1.2421478510842188E-2</v>
      </c>
      <c r="J154" s="84"/>
      <c r="K154" s="84"/>
    </row>
    <row r="155" spans="1:11" ht="16">
      <c r="A155" s="146">
        <v>42563</v>
      </c>
      <c r="B155" s="87">
        <v>3.52</v>
      </c>
      <c r="G155" s="89">
        <v>42565</v>
      </c>
      <c r="H155" s="90">
        <v>279.57</v>
      </c>
      <c r="I155" s="92">
        <f t="shared" si="2"/>
        <v>4.6717217091314378E-3</v>
      </c>
      <c r="J155" s="84"/>
      <c r="K155" s="84"/>
    </row>
    <row r="156" spans="1:11" ht="16">
      <c r="A156" s="146">
        <v>42564</v>
      </c>
      <c r="B156" s="87">
        <v>3.52</v>
      </c>
      <c r="G156" s="89">
        <v>42566</v>
      </c>
      <c r="H156" s="90">
        <v>274.64</v>
      </c>
      <c r="I156" s="92">
        <f t="shared" si="2"/>
        <v>-1.7634223986837005E-2</v>
      </c>
      <c r="J156" s="84"/>
      <c r="K156" s="84"/>
    </row>
    <row r="157" spans="1:11" ht="16">
      <c r="A157" s="146">
        <v>42565</v>
      </c>
      <c r="B157" s="87">
        <v>3.51</v>
      </c>
      <c r="G157" s="89">
        <v>42567</v>
      </c>
      <c r="H157" s="90">
        <v>276.79000000000002</v>
      </c>
      <c r="I157" s="92">
        <f t="shared" si="2"/>
        <v>7.8284299446549355E-3</v>
      </c>
      <c r="J157" s="84"/>
      <c r="K157" s="84"/>
    </row>
    <row r="158" spans="1:11" ht="16">
      <c r="A158" s="146">
        <v>42566</v>
      </c>
      <c r="B158" s="87">
        <v>3.5</v>
      </c>
      <c r="G158" s="89">
        <v>42570</v>
      </c>
      <c r="H158" s="90">
        <v>279.70999999999998</v>
      </c>
      <c r="I158" s="92">
        <f t="shared" si="2"/>
        <v>1.0549514072039967E-2</v>
      </c>
      <c r="J158" s="84"/>
      <c r="K158" s="84"/>
    </row>
    <row r="159" spans="1:11" ht="16">
      <c r="A159" s="146">
        <v>42567</v>
      </c>
      <c r="B159" s="87">
        <v>3.47</v>
      </c>
      <c r="G159" s="89">
        <v>42571</v>
      </c>
      <c r="H159" s="90">
        <v>284.60000000000002</v>
      </c>
      <c r="I159" s="92">
        <f t="shared" si="2"/>
        <v>1.7482392477923714E-2</v>
      </c>
      <c r="J159" s="84"/>
      <c r="K159" s="84"/>
    </row>
    <row r="160" spans="1:11" ht="16">
      <c r="A160" s="146">
        <v>42570</v>
      </c>
      <c r="B160" s="87">
        <v>3.45</v>
      </c>
      <c r="G160" s="89">
        <v>42572</v>
      </c>
      <c r="H160" s="90">
        <v>282.72000000000003</v>
      </c>
      <c r="I160" s="92">
        <f t="shared" si="2"/>
        <v>-6.605762473647192E-3</v>
      </c>
      <c r="J160" s="84"/>
      <c r="K160" s="84"/>
    </row>
    <row r="161" spans="1:11" ht="16">
      <c r="A161" s="146">
        <v>42571</v>
      </c>
      <c r="B161" s="87">
        <v>3.4</v>
      </c>
      <c r="G161" s="89">
        <v>42573</v>
      </c>
      <c r="H161" s="90">
        <v>282.89999999999998</v>
      </c>
      <c r="I161" s="92">
        <f t="shared" si="2"/>
        <v>6.3667232597608425E-4</v>
      </c>
      <c r="J161" s="84"/>
      <c r="K161" s="84"/>
    </row>
    <row r="162" spans="1:11" ht="16">
      <c r="A162" s="146">
        <v>42572</v>
      </c>
      <c r="B162" s="87">
        <v>3.35</v>
      </c>
      <c r="G162" s="89">
        <v>42574</v>
      </c>
      <c r="H162" s="90">
        <v>278.11</v>
      </c>
      <c r="I162" s="92">
        <f t="shared" si="2"/>
        <v>-1.6931778013432153E-2</v>
      </c>
      <c r="J162" s="84"/>
      <c r="K162" s="84"/>
    </row>
    <row r="163" spans="1:11" ht="16">
      <c r="A163" s="146">
        <v>42573</v>
      </c>
      <c r="B163" s="87">
        <v>3.34</v>
      </c>
      <c r="G163" s="89">
        <v>42577</v>
      </c>
      <c r="H163" s="90">
        <v>280.45999999999998</v>
      </c>
      <c r="I163" s="92">
        <f t="shared" si="2"/>
        <v>8.4498939268633499E-3</v>
      </c>
      <c r="J163" s="84"/>
      <c r="K163" s="84"/>
    </row>
    <row r="164" spans="1:11" ht="16">
      <c r="A164" s="146">
        <v>42574</v>
      </c>
      <c r="B164" s="87">
        <v>3.35</v>
      </c>
      <c r="G164" s="89">
        <v>42578</v>
      </c>
      <c r="H164" s="90">
        <v>282</v>
      </c>
      <c r="I164" s="92">
        <f t="shared" si="2"/>
        <v>5.4909791057549118E-3</v>
      </c>
      <c r="J164" s="84"/>
      <c r="K164" s="84"/>
    </row>
    <row r="165" spans="1:11" ht="16">
      <c r="A165" s="146">
        <v>42577</v>
      </c>
      <c r="B165" s="87">
        <v>3.33</v>
      </c>
      <c r="G165" s="89">
        <v>42579</v>
      </c>
      <c r="H165" s="90">
        <v>283.33</v>
      </c>
      <c r="I165" s="92">
        <f t="shared" si="2"/>
        <v>4.7163120567375039E-3</v>
      </c>
      <c r="J165" s="84"/>
      <c r="K165" s="84"/>
    </row>
    <row r="166" spans="1:11" ht="16">
      <c r="A166" s="146">
        <v>42578</v>
      </c>
      <c r="B166" s="87">
        <v>3.32</v>
      </c>
      <c r="G166" s="89">
        <v>42580</v>
      </c>
      <c r="H166" s="90">
        <v>281.89</v>
      </c>
      <c r="I166" s="92">
        <f t="shared" si="2"/>
        <v>-5.0824127342674608E-3</v>
      </c>
      <c r="J166" s="84"/>
      <c r="K166" s="84"/>
    </row>
    <row r="167" spans="1:11" ht="16">
      <c r="A167" s="146">
        <v>42579</v>
      </c>
      <c r="B167" s="87">
        <v>3.3</v>
      </c>
      <c r="G167" s="89">
        <v>42581</v>
      </c>
      <c r="H167" s="90">
        <v>281.56</v>
      </c>
      <c r="I167" s="92">
        <f t="shared" si="2"/>
        <v>-1.1706694100535042E-3</v>
      </c>
      <c r="J167" s="84"/>
      <c r="K167" s="84"/>
    </row>
    <row r="168" spans="1:11" ht="16">
      <c r="A168" s="146">
        <v>42580</v>
      </c>
      <c r="B168" s="87">
        <v>3.28</v>
      </c>
      <c r="G168" s="89">
        <v>42584</v>
      </c>
      <c r="H168" s="90">
        <v>281.20999999999998</v>
      </c>
      <c r="I168" s="92">
        <f t="shared" si="2"/>
        <v>-1.2430743003268852E-3</v>
      </c>
      <c r="J168" s="84"/>
      <c r="K168" s="84"/>
    </row>
    <row r="169" spans="1:11" ht="16">
      <c r="A169" s="146">
        <v>42581</v>
      </c>
      <c r="B169" s="87">
        <v>3.25</v>
      </c>
      <c r="G169" s="89">
        <v>42585</v>
      </c>
      <c r="H169" s="90">
        <v>284</v>
      </c>
      <c r="I169" s="92">
        <f t="shared" si="2"/>
        <v>9.9214110451264492E-3</v>
      </c>
      <c r="J169" s="84"/>
      <c r="K169" s="84"/>
    </row>
    <row r="170" spans="1:11" ht="16">
      <c r="A170" s="146">
        <v>42584</v>
      </c>
      <c r="B170" s="87">
        <v>3.24</v>
      </c>
      <c r="G170" s="89">
        <v>42586</v>
      </c>
      <c r="H170" s="90">
        <v>287.33999999999997</v>
      </c>
      <c r="I170" s="92">
        <f t="shared" si="2"/>
        <v>1.176056338028153E-2</v>
      </c>
      <c r="J170" s="84"/>
      <c r="K170" s="84"/>
    </row>
    <row r="171" spans="1:11" ht="16">
      <c r="A171" s="146">
        <v>42585</v>
      </c>
      <c r="B171" s="87">
        <v>3.2</v>
      </c>
      <c r="G171" s="89">
        <v>42587</v>
      </c>
      <c r="H171" s="90">
        <v>287.58999999999997</v>
      </c>
      <c r="I171" s="92">
        <f t="shared" si="2"/>
        <v>8.7004941880697295E-4</v>
      </c>
      <c r="J171" s="84"/>
      <c r="K171" s="84"/>
    </row>
    <row r="172" spans="1:11" ht="16">
      <c r="A172" s="146">
        <v>42586</v>
      </c>
      <c r="B172" s="87">
        <v>3.17</v>
      </c>
      <c r="G172" s="89">
        <v>42588</v>
      </c>
      <c r="H172" s="90">
        <v>283.29000000000002</v>
      </c>
      <c r="I172" s="92">
        <f t="shared" si="2"/>
        <v>-1.4951841162766266E-2</v>
      </c>
      <c r="J172" s="84"/>
      <c r="K172" s="84"/>
    </row>
    <row r="173" spans="1:11" ht="16">
      <c r="A173" s="146">
        <v>42587</v>
      </c>
      <c r="B173" s="87">
        <v>3.14</v>
      </c>
      <c r="G173" s="89">
        <v>42591</v>
      </c>
      <c r="H173" s="90">
        <v>282.39999999999998</v>
      </c>
      <c r="I173" s="92">
        <f t="shared" si="2"/>
        <v>-3.1416569592997989E-3</v>
      </c>
      <c r="J173" s="84"/>
      <c r="K173" s="84"/>
    </row>
    <row r="174" spans="1:11" ht="16">
      <c r="A174" s="146">
        <v>42588</v>
      </c>
      <c r="B174" s="87">
        <v>3.13</v>
      </c>
      <c r="G174" s="89">
        <v>42592</v>
      </c>
      <c r="H174" s="90">
        <v>283.31</v>
      </c>
      <c r="I174" s="92">
        <f t="shared" si="2"/>
        <v>3.222379603399439E-3</v>
      </c>
      <c r="J174" s="84"/>
      <c r="K174" s="84"/>
    </row>
    <row r="175" spans="1:11" ht="16">
      <c r="A175" s="146">
        <v>42591</v>
      </c>
      <c r="B175" s="87">
        <v>3.13</v>
      </c>
      <c r="G175" s="89">
        <v>42593</v>
      </c>
      <c r="H175" s="90">
        <v>283.63</v>
      </c>
      <c r="I175" s="92">
        <f t="shared" si="2"/>
        <v>1.1295047827468707E-3</v>
      </c>
      <c r="J175" s="84"/>
      <c r="K175" s="84"/>
    </row>
    <row r="176" spans="1:11" ht="16">
      <c r="A176" s="146">
        <v>42592</v>
      </c>
      <c r="B176" s="87">
        <v>3.12</v>
      </c>
      <c r="G176" s="89">
        <v>42594</v>
      </c>
      <c r="H176" s="90">
        <v>284.13</v>
      </c>
      <c r="I176" s="92">
        <f t="shared" si="2"/>
        <v>1.762860064168148E-3</v>
      </c>
      <c r="J176" s="84"/>
      <c r="K176" s="84"/>
    </row>
    <row r="177" spans="1:11" ht="16">
      <c r="A177" s="146">
        <v>42593</v>
      </c>
      <c r="B177" s="87">
        <v>3.13</v>
      </c>
      <c r="G177" s="89">
        <v>42595</v>
      </c>
      <c r="H177" s="90">
        <v>283.91000000000003</v>
      </c>
      <c r="I177" s="92">
        <f t="shared" si="2"/>
        <v>-7.742934572201321E-4</v>
      </c>
      <c r="J177" s="84"/>
      <c r="K177" s="84"/>
    </row>
    <row r="178" spans="1:11" ht="16">
      <c r="A178" s="146">
        <v>42594</v>
      </c>
      <c r="B178" s="87">
        <v>3.14</v>
      </c>
      <c r="G178" s="89">
        <v>42598</v>
      </c>
      <c r="H178" s="90">
        <v>285.83</v>
      </c>
      <c r="I178" s="92">
        <f t="shared" si="2"/>
        <v>6.7627064914936863E-3</v>
      </c>
      <c r="J178" s="84"/>
      <c r="K178" s="84"/>
    </row>
    <row r="179" spans="1:11" ht="16">
      <c r="A179" s="146">
        <v>42595</v>
      </c>
      <c r="B179" s="87">
        <v>3.16</v>
      </c>
      <c r="G179" s="89">
        <v>42599</v>
      </c>
      <c r="H179" s="90">
        <v>288.17</v>
      </c>
      <c r="I179" s="92">
        <f t="shared" si="2"/>
        <v>8.1866843928211086E-3</v>
      </c>
      <c r="J179" s="84"/>
      <c r="K179" s="84"/>
    </row>
    <row r="180" spans="1:11" ht="16">
      <c r="A180" s="146">
        <v>42598</v>
      </c>
      <c r="B180" s="87">
        <v>3.16</v>
      </c>
      <c r="G180" s="89">
        <v>42600</v>
      </c>
      <c r="H180" s="90">
        <v>286.83</v>
      </c>
      <c r="I180" s="92">
        <f t="shared" si="2"/>
        <v>-4.6500329666517848E-3</v>
      </c>
      <c r="J180" s="84"/>
      <c r="K180" s="84"/>
    </row>
    <row r="181" spans="1:11" ht="16">
      <c r="A181" s="146">
        <v>42599</v>
      </c>
      <c r="B181" s="87">
        <v>3.16</v>
      </c>
      <c r="G181" s="89">
        <v>42601</v>
      </c>
      <c r="H181" s="90">
        <v>282.97000000000003</v>
      </c>
      <c r="I181" s="92">
        <f t="shared" si="2"/>
        <v>-1.3457448662970939E-2</v>
      </c>
      <c r="J181" s="84"/>
      <c r="K181" s="84"/>
    </row>
    <row r="182" spans="1:11" ht="16">
      <c r="A182" s="146">
        <v>42600</v>
      </c>
      <c r="B182" s="87">
        <v>3.15</v>
      </c>
      <c r="G182" s="89">
        <v>42602</v>
      </c>
      <c r="H182" s="90">
        <v>285.62</v>
      </c>
      <c r="I182" s="92">
        <f t="shared" si="2"/>
        <v>9.3649503480932594E-3</v>
      </c>
      <c r="J182" s="84"/>
      <c r="K182" s="84"/>
    </row>
    <row r="183" spans="1:11" ht="16">
      <c r="A183" s="146">
        <v>42601</v>
      </c>
      <c r="B183" s="87">
        <v>3.16</v>
      </c>
      <c r="G183" s="89">
        <v>42605</v>
      </c>
      <c r="H183" s="90">
        <v>289.79000000000002</v>
      </c>
      <c r="I183" s="92">
        <f t="shared" si="2"/>
        <v>1.4599817939920268E-2</v>
      </c>
      <c r="J183" s="84"/>
      <c r="K183" s="84"/>
    </row>
    <row r="184" spans="1:11" ht="16">
      <c r="A184" s="146">
        <v>42602</v>
      </c>
      <c r="B184" s="87">
        <v>3.15</v>
      </c>
      <c r="G184" s="89">
        <v>42606</v>
      </c>
      <c r="H184" s="90">
        <v>290.89</v>
      </c>
      <c r="I184" s="92">
        <f t="shared" si="2"/>
        <v>3.7958521688117308E-3</v>
      </c>
      <c r="J184" s="84"/>
      <c r="K184" s="84"/>
    </row>
    <row r="185" spans="1:11" ht="16">
      <c r="A185" s="146">
        <v>42605</v>
      </c>
      <c r="B185" s="87">
        <v>3.14</v>
      </c>
      <c r="G185" s="89">
        <v>42607</v>
      </c>
      <c r="H185" s="90">
        <v>291.85000000000002</v>
      </c>
      <c r="I185" s="92">
        <f t="shared" si="2"/>
        <v>3.3002165767128666E-3</v>
      </c>
      <c r="J185" s="84"/>
      <c r="K185" s="84"/>
    </row>
    <row r="186" spans="1:11" ht="16">
      <c r="A186" s="146">
        <v>42606</v>
      </c>
      <c r="B186" s="87">
        <v>3.16</v>
      </c>
      <c r="G186" s="89">
        <v>42608</v>
      </c>
      <c r="H186" s="90">
        <v>291.77</v>
      </c>
      <c r="I186" s="92">
        <f t="shared" si="2"/>
        <v>-2.7411341442540316E-4</v>
      </c>
      <c r="J186" s="84"/>
      <c r="K186" s="84"/>
    </row>
    <row r="187" spans="1:11" ht="16">
      <c r="A187" s="146">
        <v>42607</v>
      </c>
      <c r="B187" s="87">
        <v>3.16</v>
      </c>
      <c r="G187" s="89">
        <v>42609</v>
      </c>
      <c r="H187" s="90">
        <v>293.3</v>
      </c>
      <c r="I187" s="92">
        <f t="shared" si="2"/>
        <v>5.2438564622820927E-3</v>
      </c>
      <c r="J187" s="84"/>
      <c r="K187" s="84"/>
    </row>
    <row r="188" spans="1:11" ht="16">
      <c r="A188" s="146">
        <v>42608</v>
      </c>
      <c r="B188" s="87">
        <v>3.16</v>
      </c>
      <c r="G188" s="89">
        <v>42612</v>
      </c>
      <c r="H188" s="90">
        <v>288.68</v>
      </c>
      <c r="I188" s="92">
        <f t="shared" si="2"/>
        <v>-1.575178997613369E-2</v>
      </c>
      <c r="J188" s="84"/>
      <c r="K188" s="84"/>
    </row>
    <row r="189" spans="1:11" ht="16">
      <c r="A189" s="146">
        <v>42609</v>
      </c>
      <c r="B189" s="87">
        <v>3.17</v>
      </c>
      <c r="G189" s="89">
        <v>42613</v>
      </c>
      <c r="H189" s="90">
        <v>293.31</v>
      </c>
      <c r="I189" s="92">
        <f t="shared" si="2"/>
        <v>1.6038520160731595E-2</v>
      </c>
      <c r="J189" s="84"/>
      <c r="K189" s="84"/>
    </row>
    <row r="190" spans="1:11" ht="16">
      <c r="A190" s="146">
        <v>42612</v>
      </c>
      <c r="B190" s="87">
        <v>3.13</v>
      </c>
      <c r="G190" s="89">
        <v>42614</v>
      </c>
      <c r="H190" s="90">
        <v>293.01</v>
      </c>
      <c r="I190" s="92">
        <f t="shared" si="2"/>
        <v>-1.0228086325049235E-3</v>
      </c>
      <c r="J190" s="84"/>
      <c r="K190" s="84"/>
    </row>
    <row r="191" spans="1:11" ht="16">
      <c r="A191" s="146">
        <v>42613</v>
      </c>
      <c r="B191" s="87">
        <v>3.11</v>
      </c>
      <c r="G191" s="89">
        <v>42615</v>
      </c>
      <c r="H191" s="90">
        <v>289.95</v>
      </c>
      <c r="I191" s="92">
        <f t="shared" si="2"/>
        <v>-1.0443329579195249E-2</v>
      </c>
      <c r="J191" s="84"/>
      <c r="K191" s="84"/>
    </row>
    <row r="192" spans="1:11" ht="16">
      <c r="A192" s="146">
        <v>42614</v>
      </c>
      <c r="B192" s="87">
        <v>3.07</v>
      </c>
      <c r="G192" s="89">
        <v>42616</v>
      </c>
      <c r="H192" s="90">
        <v>287.88</v>
      </c>
      <c r="I192" s="92">
        <f t="shared" si="2"/>
        <v>-7.139161924469728E-3</v>
      </c>
      <c r="J192" s="84"/>
      <c r="K192" s="84"/>
    </row>
    <row r="193" spans="1:11" ht="16">
      <c r="A193" s="146">
        <v>42615</v>
      </c>
      <c r="B193" s="87">
        <v>3.07</v>
      </c>
      <c r="G193" s="89">
        <v>42619</v>
      </c>
      <c r="H193" s="90">
        <v>286.14</v>
      </c>
      <c r="I193" s="92">
        <f t="shared" ref="I193:I256" si="3">H193/H192-1</f>
        <v>-6.0441850771154604E-3</v>
      </c>
      <c r="J193" s="84"/>
      <c r="K193" s="84"/>
    </row>
    <row r="194" spans="1:11" ht="16">
      <c r="A194" s="146">
        <v>42616</v>
      </c>
      <c r="B194" s="87">
        <v>3.09</v>
      </c>
      <c r="G194" s="89">
        <v>42620</v>
      </c>
      <c r="H194" s="90">
        <v>283.75</v>
      </c>
      <c r="I194" s="92">
        <f t="shared" si="3"/>
        <v>-8.3525546935065975E-3</v>
      </c>
      <c r="J194" s="84"/>
      <c r="K194" s="84"/>
    </row>
    <row r="195" spans="1:11" ht="16">
      <c r="A195" s="146">
        <v>42619</v>
      </c>
      <c r="B195" s="87">
        <v>3.09</v>
      </c>
      <c r="G195" s="89">
        <v>42621</v>
      </c>
      <c r="H195" s="90">
        <v>283.7</v>
      </c>
      <c r="I195" s="92">
        <f t="shared" si="3"/>
        <v>-1.7621145374457914E-4</v>
      </c>
      <c r="J195" s="84"/>
      <c r="K195" s="84"/>
    </row>
    <row r="196" spans="1:11" ht="16">
      <c r="A196" s="146">
        <v>42620</v>
      </c>
      <c r="B196" s="87">
        <v>3.11</v>
      </c>
      <c r="G196" s="89">
        <v>42622</v>
      </c>
      <c r="H196" s="90">
        <v>283.08</v>
      </c>
      <c r="I196" s="92">
        <f t="shared" si="3"/>
        <v>-2.1854071201974357E-3</v>
      </c>
      <c r="J196" s="84"/>
      <c r="K196" s="84"/>
    </row>
    <row r="197" spans="1:11" ht="16">
      <c r="A197" s="146">
        <v>42621</v>
      </c>
      <c r="B197" s="87">
        <v>3.1</v>
      </c>
      <c r="G197" s="89">
        <v>42623</v>
      </c>
      <c r="H197" s="90">
        <v>284.64999999999998</v>
      </c>
      <c r="I197" s="92">
        <f t="shared" si="3"/>
        <v>5.5461353680938963E-3</v>
      </c>
      <c r="J197" s="84"/>
      <c r="K197" s="84"/>
    </row>
    <row r="198" spans="1:11" ht="16">
      <c r="A198" s="146">
        <v>42622</v>
      </c>
      <c r="B198" s="87">
        <v>3.09</v>
      </c>
      <c r="G198" s="89">
        <v>42626</v>
      </c>
      <c r="H198" s="90">
        <v>287.67</v>
      </c>
      <c r="I198" s="92">
        <f t="shared" si="3"/>
        <v>1.060952046372754E-2</v>
      </c>
      <c r="J198" s="84"/>
      <c r="K198" s="84"/>
    </row>
    <row r="199" spans="1:11" ht="16">
      <c r="A199" s="146">
        <v>42623</v>
      </c>
      <c r="B199" s="87">
        <v>3.1</v>
      </c>
      <c r="G199" s="89">
        <v>42627</v>
      </c>
      <c r="H199" s="90">
        <v>289.66000000000003</v>
      </c>
      <c r="I199" s="92">
        <f t="shared" si="3"/>
        <v>6.9176486946849192E-3</v>
      </c>
      <c r="J199" s="84"/>
      <c r="K199" s="84"/>
    </row>
    <row r="200" spans="1:11" ht="16">
      <c r="A200" s="146">
        <v>42626</v>
      </c>
      <c r="B200" s="87">
        <v>3.09</v>
      </c>
      <c r="G200" s="89">
        <v>42628</v>
      </c>
      <c r="H200" s="90">
        <v>290.88</v>
      </c>
      <c r="I200" s="92">
        <f t="shared" si="3"/>
        <v>4.2118345646620092E-3</v>
      </c>
      <c r="J200" s="84"/>
      <c r="K200" s="84"/>
    </row>
    <row r="201" spans="1:11" ht="16">
      <c r="A201" s="146">
        <v>42627</v>
      </c>
      <c r="B201" s="87">
        <v>3.09</v>
      </c>
      <c r="G201" s="89">
        <v>42629</v>
      </c>
      <c r="H201" s="90">
        <v>288.68</v>
      </c>
      <c r="I201" s="92">
        <f t="shared" si="3"/>
        <v>-7.5632563256324836E-3</v>
      </c>
      <c r="J201" s="84"/>
      <c r="K201" s="84"/>
    </row>
    <row r="202" spans="1:11" ht="16">
      <c r="A202" s="146">
        <v>42628</v>
      </c>
      <c r="B202" s="87">
        <v>3.11</v>
      </c>
      <c r="G202" s="89">
        <v>42630</v>
      </c>
      <c r="H202" s="90">
        <v>288.88</v>
      </c>
      <c r="I202" s="92">
        <f t="shared" si="3"/>
        <v>6.9280864625187455E-4</v>
      </c>
      <c r="J202" s="84"/>
      <c r="K202" s="84"/>
    </row>
    <row r="203" spans="1:11" ht="16">
      <c r="A203" s="146">
        <v>42629</v>
      </c>
      <c r="B203" s="87">
        <v>3.13</v>
      </c>
      <c r="G203" s="89">
        <v>42633</v>
      </c>
      <c r="H203" s="90">
        <v>283.63</v>
      </c>
      <c r="I203" s="92">
        <f t="shared" si="3"/>
        <v>-1.8173636111880387E-2</v>
      </c>
      <c r="J203" s="84"/>
      <c r="K203" s="84"/>
    </row>
    <row r="204" spans="1:11" ht="16">
      <c r="A204" s="146">
        <v>42630</v>
      </c>
      <c r="B204" s="87">
        <v>3.13</v>
      </c>
      <c r="G204" s="89">
        <v>42634</v>
      </c>
      <c r="H204" s="90">
        <v>282.42</v>
      </c>
      <c r="I204" s="92">
        <f t="shared" si="3"/>
        <v>-4.2661213552867006E-3</v>
      </c>
      <c r="J204" s="84"/>
      <c r="K204" s="84"/>
    </row>
    <row r="205" spans="1:11" ht="16">
      <c r="A205" s="146">
        <v>42633</v>
      </c>
      <c r="B205" s="87">
        <v>3.18</v>
      </c>
      <c r="G205" s="89">
        <v>42635</v>
      </c>
      <c r="H205" s="90">
        <v>280.77999999999997</v>
      </c>
      <c r="I205" s="92">
        <f t="shared" si="3"/>
        <v>-5.8069541817152848E-3</v>
      </c>
      <c r="J205" s="84"/>
      <c r="K205" s="84"/>
    </row>
    <row r="206" spans="1:11" ht="16">
      <c r="A206" s="146">
        <v>42634</v>
      </c>
      <c r="B206" s="87">
        <v>3.19</v>
      </c>
      <c r="G206" s="89">
        <v>42636</v>
      </c>
      <c r="H206" s="90">
        <v>275.86</v>
      </c>
      <c r="I206" s="92">
        <f t="shared" si="3"/>
        <v>-1.7522615570909506E-2</v>
      </c>
      <c r="J206" s="84"/>
      <c r="K206" s="84"/>
    </row>
    <row r="207" spans="1:11" ht="16">
      <c r="A207" s="146">
        <v>42635</v>
      </c>
      <c r="B207" s="87">
        <v>3.23</v>
      </c>
      <c r="G207" s="89">
        <v>42637</v>
      </c>
      <c r="H207" s="90">
        <v>276.19</v>
      </c>
      <c r="I207" s="92">
        <f t="shared" si="3"/>
        <v>1.19625897194231E-3</v>
      </c>
      <c r="J207" s="84"/>
      <c r="K207" s="84"/>
    </row>
    <row r="208" spans="1:11" ht="16">
      <c r="A208" s="146">
        <v>42636</v>
      </c>
      <c r="B208" s="87">
        <v>3.25</v>
      </c>
      <c r="G208" s="89">
        <v>42640</v>
      </c>
      <c r="H208" s="90">
        <v>278.95999999999998</v>
      </c>
      <c r="I208" s="92">
        <f t="shared" si="3"/>
        <v>1.0029327636771779E-2</v>
      </c>
      <c r="J208" s="84"/>
      <c r="K208" s="84"/>
    </row>
    <row r="209" spans="1:11" ht="16">
      <c r="A209" s="146">
        <v>42637</v>
      </c>
      <c r="B209" s="87">
        <v>3.25</v>
      </c>
      <c r="G209" s="89">
        <v>42641</v>
      </c>
      <c r="H209" s="90">
        <v>278.41000000000003</v>
      </c>
      <c r="I209" s="92">
        <f t="shared" si="3"/>
        <v>-1.9716088328074477E-3</v>
      </c>
      <c r="J209" s="84"/>
      <c r="K209" s="84"/>
    </row>
    <row r="210" spans="1:11" ht="16">
      <c r="A210" s="146">
        <v>42640</v>
      </c>
      <c r="B210" s="87">
        <v>3.25</v>
      </c>
      <c r="G210" s="89">
        <v>42642</v>
      </c>
      <c r="H210" s="90">
        <v>281.88</v>
      </c>
      <c r="I210" s="92">
        <f t="shared" si="3"/>
        <v>1.2463632771811284E-2</v>
      </c>
      <c r="J210" s="84"/>
      <c r="K210" s="84"/>
    </row>
    <row r="211" spans="1:11" ht="16">
      <c r="A211" s="146">
        <v>42641</v>
      </c>
      <c r="B211" s="87">
        <v>3.26</v>
      </c>
      <c r="G211" s="89">
        <v>42643</v>
      </c>
      <c r="H211" s="90">
        <v>283.05</v>
      </c>
      <c r="I211" s="92">
        <f t="shared" si="3"/>
        <v>4.1507024265645676E-3</v>
      </c>
      <c r="J211" s="84"/>
      <c r="K211" s="84"/>
    </row>
    <row r="212" spans="1:11" ht="16">
      <c r="A212" s="146">
        <v>42642</v>
      </c>
      <c r="B212" s="87">
        <v>3.19</v>
      </c>
      <c r="G212" s="89">
        <v>42644</v>
      </c>
      <c r="H212" s="90">
        <v>282.19</v>
      </c>
      <c r="I212" s="92">
        <f t="shared" si="3"/>
        <v>-3.0383324500972142E-3</v>
      </c>
      <c r="J212" s="84"/>
      <c r="K212" s="84"/>
    </row>
    <row r="213" spans="1:11" ht="16">
      <c r="A213" s="146">
        <v>42643</v>
      </c>
      <c r="B213" s="87">
        <v>3.2</v>
      </c>
      <c r="G213" s="89">
        <v>42647</v>
      </c>
      <c r="H213" s="90">
        <v>284.37</v>
      </c>
      <c r="I213" s="92">
        <f t="shared" si="3"/>
        <v>7.7252914702861109E-3</v>
      </c>
      <c r="J213" s="84"/>
      <c r="K213" s="84"/>
    </row>
    <row r="214" spans="1:11" ht="16">
      <c r="A214" s="146">
        <v>42644</v>
      </c>
      <c r="B214" s="87">
        <v>3.2</v>
      </c>
      <c r="G214" s="89">
        <v>42648</v>
      </c>
      <c r="H214" s="90">
        <v>287.22000000000003</v>
      </c>
      <c r="I214" s="92">
        <f t="shared" si="3"/>
        <v>1.0022154235678871E-2</v>
      </c>
      <c r="J214" s="84"/>
      <c r="K214" s="84"/>
    </row>
    <row r="215" spans="1:11" ht="16">
      <c r="A215" s="146">
        <v>42647</v>
      </c>
      <c r="B215" s="87">
        <v>3.19</v>
      </c>
      <c r="G215" s="89">
        <v>42649</v>
      </c>
      <c r="H215" s="90">
        <v>288.2</v>
      </c>
      <c r="I215" s="92">
        <f t="shared" si="3"/>
        <v>3.4120186616528603E-3</v>
      </c>
      <c r="J215" s="84"/>
      <c r="K215" s="84"/>
    </row>
    <row r="216" spans="1:11" ht="16">
      <c r="A216" s="146">
        <v>42648</v>
      </c>
      <c r="B216" s="87">
        <v>3.17</v>
      </c>
      <c r="G216" s="89">
        <v>42650</v>
      </c>
      <c r="H216" s="90">
        <v>290.51</v>
      </c>
      <c r="I216" s="92">
        <f t="shared" si="3"/>
        <v>8.0152671755724381E-3</v>
      </c>
      <c r="J216" s="84"/>
      <c r="K216" s="84"/>
    </row>
    <row r="217" spans="1:11" ht="16">
      <c r="A217" s="146">
        <v>42649</v>
      </c>
      <c r="B217" s="87">
        <v>3.16</v>
      </c>
      <c r="G217" s="89">
        <v>42651</v>
      </c>
      <c r="H217" s="90">
        <v>292.33</v>
      </c>
      <c r="I217" s="92">
        <f t="shared" si="3"/>
        <v>6.264844583663276E-3</v>
      </c>
      <c r="J217" s="84"/>
      <c r="K217" s="84"/>
    </row>
    <row r="218" spans="1:11" ht="16">
      <c r="A218" s="146">
        <v>42650</v>
      </c>
      <c r="B218" s="87">
        <v>3.14</v>
      </c>
      <c r="G218" s="89">
        <v>42654</v>
      </c>
      <c r="H218" s="90">
        <v>295.73</v>
      </c>
      <c r="I218" s="92">
        <f t="shared" si="3"/>
        <v>1.1630691341976584E-2</v>
      </c>
      <c r="J218" s="84"/>
      <c r="K218" s="84"/>
    </row>
    <row r="219" spans="1:11" ht="16">
      <c r="A219" s="146">
        <v>42651</v>
      </c>
      <c r="B219" s="87">
        <v>3.11</v>
      </c>
      <c r="G219" s="89">
        <v>42655</v>
      </c>
      <c r="H219" s="90">
        <v>295.32</v>
      </c>
      <c r="I219" s="92">
        <f t="shared" si="3"/>
        <v>-1.3863997565347619E-3</v>
      </c>
      <c r="J219" s="84"/>
      <c r="K219" s="84"/>
    </row>
    <row r="220" spans="1:11" ht="16">
      <c r="A220" s="146">
        <v>42654</v>
      </c>
      <c r="B220" s="87">
        <v>3.11</v>
      </c>
      <c r="G220" s="89">
        <v>42656</v>
      </c>
      <c r="H220" s="90">
        <v>295.60000000000002</v>
      </c>
      <c r="I220" s="92">
        <f t="shared" si="3"/>
        <v>9.4812406880673272E-4</v>
      </c>
      <c r="J220" s="84"/>
      <c r="K220" s="84"/>
    </row>
    <row r="221" spans="1:11" ht="16">
      <c r="A221" s="146">
        <v>42655</v>
      </c>
      <c r="B221" s="87">
        <v>3.09</v>
      </c>
      <c r="G221" s="89">
        <v>42657</v>
      </c>
      <c r="H221" s="90">
        <v>291.56</v>
      </c>
      <c r="I221" s="92">
        <f t="shared" si="3"/>
        <v>-1.366711772665774E-2</v>
      </c>
      <c r="J221" s="84"/>
      <c r="K221" s="84"/>
    </row>
    <row r="222" spans="1:11" ht="16">
      <c r="A222" s="146">
        <v>42656</v>
      </c>
      <c r="B222" s="87">
        <v>3.09</v>
      </c>
      <c r="G222" s="89">
        <v>42658</v>
      </c>
      <c r="H222" s="90">
        <v>292.97000000000003</v>
      </c>
      <c r="I222" s="92">
        <f t="shared" si="3"/>
        <v>4.8360543284402535E-3</v>
      </c>
      <c r="J222" s="84"/>
      <c r="K222" s="84"/>
    </row>
    <row r="223" spans="1:11" ht="16">
      <c r="A223" s="146">
        <v>42657</v>
      </c>
      <c r="B223" s="87">
        <v>3.1</v>
      </c>
      <c r="G223" s="89">
        <v>42661</v>
      </c>
      <c r="H223" s="90">
        <v>293.43</v>
      </c>
      <c r="I223" s="92">
        <f t="shared" si="3"/>
        <v>1.5701266341263675E-3</v>
      </c>
      <c r="J223" s="84"/>
      <c r="K223" s="84"/>
    </row>
    <row r="224" spans="1:11" ht="16">
      <c r="A224" s="146">
        <v>42658</v>
      </c>
      <c r="B224" s="87">
        <v>3.09</v>
      </c>
      <c r="G224" s="89">
        <v>42662</v>
      </c>
      <c r="H224" s="90">
        <v>295.18</v>
      </c>
      <c r="I224" s="92">
        <f t="shared" si="3"/>
        <v>5.9639437003715656E-3</v>
      </c>
      <c r="J224" s="84"/>
      <c r="K224" s="84"/>
    </row>
    <row r="225" spans="1:11" ht="16">
      <c r="A225" s="146">
        <v>42661</v>
      </c>
      <c r="B225" s="87">
        <v>3.1</v>
      </c>
      <c r="G225" s="89">
        <v>42663</v>
      </c>
      <c r="H225" s="90">
        <v>295.88</v>
      </c>
      <c r="I225" s="92">
        <f t="shared" si="3"/>
        <v>2.3714343790228742E-3</v>
      </c>
      <c r="J225" s="84"/>
      <c r="K225" s="84"/>
    </row>
    <row r="226" spans="1:11" ht="16">
      <c r="A226" s="146">
        <v>42662</v>
      </c>
      <c r="B226" s="87">
        <v>3.11</v>
      </c>
      <c r="G226" s="89">
        <v>42664</v>
      </c>
      <c r="H226" s="90">
        <v>295.66000000000003</v>
      </c>
      <c r="I226" s="92">
        <f t="shared" si="3"/>
        <v>-7.4354468027570952E-4</v>
      </c>
      <c r="J226" s="84"/>
      <c r="K226" s="84"/>
    </row>
    <row r="227" spans="1:11" ht="16">
      <c r="A227" s="146">
        <v>42663</v>
      </c>
      <c r="B227" s="87">
        <v>3.13</v>
      </c>
      <c r="G227" s="89">
        <v>42665</v>
      </c>
      <c r="H227" s="90">
        <v>295.77</v>
      </c>
      <c r="I227" s="92">
        <f t="shared" si="3"/>
        <v>3.720489751739553E-4</v>
      </c>
      <c r="J227" s="84"/>
      <c r="K227" s="84"/>
    </row>
    <row r="228" spans="1:11" ht="16">
      <c r="A228" s="146">
        <v>42664</v>
      </c>
      <c r="B228" s="87">
        <v>3.14</v>
      </c>
      <c r="G228" s="89">
        <v>42668</v>
      </c>
      <c r="H228" s="90">
        <v>293.83</v>
      </c>
      <c r="I228" s="92">
        <f t="shared" si="3"/>
        <v>-6.5591506914156605E-3</v>
      </c>
      <c r="J228" s="84"/>
      <c r="K228" s="84"/>
    </row>
    <row r="229" spans="1:11" ht="16">
      <c r="A229" s="146">
        <v>42665</v>
      </c>
      <c r="B229" s="87">
        <v>3.14</v>
      </c>
      <c r="G229" s="89">
        <v>42669</v>
      </c>
      <c r="H229" s="90">
        <v>294.45</v>
      </c>
      <c r="I229" s="92">
        <f t="shared" si="3"/>
        <v>2.1100636422421992E-3</v>
      </c>
      <c r="J229" s="84"/>
      <c r="K229" s="84"/>
    </row>
    <row r="230" spans="1:11" ht="16">
      <c r="A230" s="146">
        <v>42668</v>
      </c>
      <c r="B230" s="87">
        <v>3.13</v>
      </c>
      <c r="G230" s="89">
        <v>42670</v>
      </c>
      <c r="H230" s="90">
        <v>290.74</v>
      </c>
      <c r="I230" s="92">
        <f t="shared" si="3"/>
        <v>-1.259976226863635E-2</v>
      </c>
      <c r="J230" s="84"/>
      <c r="K230" s="84"/>
    </row>
    <row r="231" spans="1:11" ht="16">
      <c r="A231" s="146">
        <v>42669</v>
      </c>
      <c r="B231" s="87">
        <v>3.12</v>
      </c>
      <c r="G231" s="89">
        <v>42671</v>
      </c>
      <c r="H231" s="90">
        <v>290.89999999999998</v>
      </c>
      <c r="I231" s="92">
        <f t="shared" si="3"/>
        <v>5.5031987342624156E-4</v>
      </c>
      <c r="J231" s="84"/>
      <c r="K231" s="84"/>
    </row>
    <row r="232" spans="1:11" ht="16">
      <c r="A232" s="146">
        <v>42670</v>
      </c>
      <c r="B232" s="87">
        <v>3.13</v>
      </c>
      <c r="G232" s="89">
        <v>42672</v>
      </c>
      <c r="H232" s="90">
        <v>287.35000000000002</v>
      </c>
      <c r="I232" s="92">
        <f t="shared" si="3"/>
        <v>-1.2203506359573568E-2</v>
      </c>
      <c r="J232" s="84"/>
      <c r="K232" s="84"/>
    </row>
    <row r="233" spans="1:11" ht="16">
      <c r="A233" s="146">
        <v>42671</v>
      </c>
      <c r="B233" s="87">
        <v>3.16</v>
      </c>
      <c r="G233" s="89">
        <v>42675</v>
      </c>
      <c r="H233" s="90">
        <v>289.58999999999997</v>
      </c>
      <c r="I233" s="92">
        <f t="shared" si="3"/>
        <v>7.7953714981728872E-3</v>
      </c>
      <c r="J233" s="84"/>
      <c r="K233" s="84"/>
    </row>
    <row r="234" spans="1:11" ht="16">
      <c r="A234" s="146">
        <v>42672</v>
      </c>
      <c r="B234" s="87">
        <v>3.19</v>
      </c>
      <c r="G234" s="89">
        <v>42676</v>
      </c>
      <c r="H234" s="90">
        <v>291.27</v>
      </c>
      <c r="I234" s="92">
        <f t="shared" si="3"/>
        <v>5.8013052936911613E-3</v>
      </c>
      <c r="J234" s="84"/>
      <c r="K234" s="84"/>
    </row>
    <row r="235" spans="1:11" ht="16">
      <c r="A235" s="146">
        <v>42673</v>
      </c>
      <c r="B235" s="87">
        <v>3.2</v>
      </c>
      <c r="G235" s="89">
        <v>42677</v>
      </c>
      <c r="H235" s="90">
        <v>295.14999999999998</v>
      </c>
      <c r="I235" s="92">
        <f t="shared" si="3"/>
        <v>1.3320973667044322E-2</v>
      </c>
      <c r="J235" s="84"/>
      <c r="K235" s="84"/>
    </row>
    <row r="236" spans="1:11" ht="16">
      <c r="A236" s="146">
        <v>42675</v>
      </c>
      <c r="B236" s="87">
        <v>3.2</v>
      </c>
      <c r="G236" s="89">
        <v>42678</v>
      </c>
      <c r="H236" s="90">
        <v>302.67</v>
      </c>
      <c r="I236" s="92">
        <f t="shared" si="3"/>
        <v>2.547857021853317E-2</v>
      </c>
      <c r="J236" s="84"/>
      <c r="K236" s="84"/>
    </row>
    <row r="237" spans="1:11" ht="16">
      <c r="A237" s="146">
        <v>42676</v>
      </c>
      <c r="B237" s="87">
        <v>3.19</v>
      </c>
      <c r="G237" s="89">
        <v>42679</v>
      </c>
      <c r="H237" s="90">
        <v>305.08999999999997</v>
      </c>
      <c r="I237" s="92">
        <f t="shared" si="3"/>
        <v>7.995506657415552E-3</v>
      </c>
      <c r="J237" s="84"/>
      <c r="K237" s="84"/>
    </row>
    <row r="238" spans="1:11" ht="16">
      <c r="A238" s="146">
        <v>42677</v>
      </c>
      <c r="B238" s="87">
        <v>3.12</v>
      </c>
      <c r="G238" s="89">
        <v>42682</v>
      </c>
      <c r="H238" s="90">
        <v>309.39</v>
      </c>
      <c r="I238" s="92">
        <f t="shared" si="3"/>
        <v>1.4094201710970644E-2</v>
      </c>
      <c r="J238" s="84"/>
      <c r="K238" s="84"/>
    </row>
    <row r="239" spans="1:11" ht="16">
      <c r="A239" s="146">
        <v>42678</v>
      </c>
      <c r="B239" s="87">
        <v>3.06</v>
      </c>
      <c r="G239" s="89">
        <v>42683</v>
      </c>
      <c r="H239" s="90">
        <v>306.37</v>
      </c>
      <c r="I239" s="92">
        <f t="shared" si="3"/>
        <v>-9.761142894081809E-3</v>
      </c>
      <c r="J239" s="84"/>
      <c r="K239" s="84"/>
    </row>
    <row r="240" spans="1:11" ht="16">
      <c r="A240" s="146">
        <v>42679</v>
      </c>
      <c r="B240" s="87">
        <v>3.07</v>
      </c>
      <c r="G240" s="89">
        <v>42684</v>
      </c>
      <c r="H240" s="90">
        <v>305.26</v>
      </c>
      <c r="I240" s="92">
        <f t="shared" si="3"/>
        <v>-3.6230701439436963E-3</v>
      </c>
      <c r="J240" s="84"/>
      <c r="K240" s="84"/>
    </row>
    <row r="241" spans="1:11" ht="16">
      <c r="A241" s="146">
        <v>42682</v>
      </c>
      <c r="B241" s="87">
        <v>3.03</v>
      </c>
      <c r="G241" s="89">
        <v>42685</v>
      </c>
      <c r="H241" s="90">
        <v>306.38</v>
      </c>
      <c r="I241" s="92">
        <f t="shared" si="3"/>
        <v>3.6690034724498055E-3</v>
      </c>
      <c r="J241" s="84"/>
      <c r="K241" s="84"/>
    </row>
    <row r="242" spans="1:11" ht="16">
      <c r="A242" s="146">
        <v>42683</v>
      </c>
      <c r="B242" s="87">
        <v>3.05</v>
      </c>
      <c r="G242" s="89">
        <v>42686</v>
      </c>
      <c r="H242" s="90">
        <v>307.75</v>
      </c>
      <c r="I242" s="92">
        <f t="shared" si="3"/>
        <v>4.4715712513871964E-3</v>
      </c>
      <c r="J242" s="84"/>
      <c r="K242" s="84"/>
    </row>
    <row r="243" spans="1:11" ht="16">
      <c r="A243" s="146">
        <v>42684</v>
      </c>
      <c r="B243" s="87">
        <v>3.04</v>
      </c>
      <c r="G243" s="89">
        <v>42689</v>
      </c>
      <c r="H243" s="90">
        <v>310.62</v>
      </c>
      <c r="I243" s="92">
        <f t="shared" si="3"/>
        <v>9.3257514216085191E-3</v>
      </c>
      <c r="J243" s="84"/>
      <c r="K243" s="84"/>
    </row>
    <row r="244" spans="1:11" ht="16">
      <c r="A244" s="146">
        <v>42685</v>
      </c>
      <c r="B244" s="87">
        <v>3.03</v>
      </c>
      <c r="G244" s="89">
        <v>42690</v>
      </c>
      <c r="H244" s="90">
        <v>310.72000000000003</v>
      </c>
      <c r="I244" s="92">
        <f t="shared" si="3"/>
        <v>3.2193677161806988E-4</v>
      </c>
      <c r="J244" s="84"/>
      <c r="K244" s="84"/>
    </row>
    <row r="245" spans="1:11" ht="16">
      <c r="A245" s="146">
        <v>42686</v>
      </c>
      <c r="B245" s="87">
        <v>3.02</v>
      </c>
      <c r="G245" s="89">
        <v>42691</v>
      </c>
      <c r="H245" s="90">
        <v>312.36</v>
      </c>
      <c r="I245" s="92">
        <f t="shared" si="3"/>
        <v>5.2780638516991552E-3</v>
      </c>
      <c r="J245" s="84"/>
      <c r="K245" s="84"/>
    </row>
    <row r="246" spans="1:11" ht="16">
      <c r="A246" s="146">
        <v>42689</v>
      </c>
      <c r="B246" s="87">
        <v>3.01</v>
      </c>
      <c r="G246" s="89">
        <v>42692</v>
      </c>
      <c r="H246" s="90">
        <v>311.08</v>
      </c>
      <c r="I246" s="92">
        <f t="shared" si="3"/>
        <v>-4.0978358304520901E-3</v>
      </c>
      <c r="J246" s="84"/>
      <c r="K246" s="84"/>
    </row>
    <row r="247" spans="1:11" ht="16">
      <c r="A247" s="146">
        <v>42690</v>
      </c>
      <c r="B247" s="87">
        <v>3.02</v>
      </c>
      <c r="G247" s="89">
        <v>42693</v>
      </c>
      <c r="H247" s="90">
        <v>313.57</v>
      </c>
      <c r="I247" s="92">
        <f t="shared" si="3"/>
        <v>8.0043718657580865E-3</v>
      </c>
      <c r="J247" s="84"/>
      <c r="K247" s="84"/>
    </row>
    <row r="248" spans="1:11" ht="16">
      <c r="A248" s="146">
        <v>42691</v>
      </c>
      <c r="B248" s="87">
        <v>3.01</v>
      </c>
      <c r="G248" s="89">
        <v>42696</v>
      </c>
      <c r="H248" s="90">
        <v>315.64999999999998</v>
      </c>
      <c r="I248" s="92">
        <f t="shared" si="3"/>
        <v>6.6332876231782745E-3</v>
      </c>
      <c r="J248" s="84"/>
      <c r="K248" s="84"/>
    </row>
    <row r="249" spans="1:11" ht="16">
      <c r="A249" s="146">
        <v>42692</v>
      </c>
      <c r="B249" s="87">
        <v>3.01</v>
      </c>
      <c r="G249" s="89">
        <v>42697</v>
      </c>
      <c r="H249" s="90">
        <v>317.08</v>
      </c>
      <c r="I249" s="92">
        <f t="shared" si="3"/>
        <v>4.530334230951949E-3</v>
      </c>
      <c r="J249" s="84"/>
      <c r="K249" s="84"/>
    </row>
    <row r="250" spans="1:11" ht="16">
      <c r="A250" s="146">
        <v>42693</v>
      </c>
      <c r="B250" s="87">
        <v>3</v>
      </c>
      <c r="G250" s="89">
        <v>42698</v>
      </c>
      <c r="H250" s="90">
        <v>314.89999999999998</v>
      </c>
      <c r="I250" s="92">
        <f t="shared" si="3"/>
        <v>-6.8752365333669685E-3</v>
      </c>
      <c r="J250" s="84"/>
      <c r="K250" s="84"/>
    </row>
    <row r="251" spans="1:11" ht="16">
      <c r="A251" s="146">
        <v>42696</v>
      </c>
      <c r="B251" s="87">
        <v>2.99</v>
      </c>
      <c r="G251" s="89">
        <v>42699</v>
      </c>
      <c r="H251" s="90">
        <v>317.52999999999997</v>
      </c>
      <c r="I251" s="92">
        <f t="shared" si="3"/>
        <v>8.351857732613599E-3</v>
      </c>
      <c r="J251" s="84"/>
      <c r="K251" s="84"/>
    </row>
    <row r="252" spans="1:11" ht="16">
      <c r="A252" s="146">
        <v>42697</v>
      </c>
      <c r="B252" s="87">
        <v>2.99</v>
      </c>
      <c r="G252" s="89">
        <v>42700</v>
      </c>
      <c r="H252" s="90">
        <v>318.27999999999997</v>
      </c>
      <c r="I252" s="92">
        <f t="shared" si="3"/>
        <v>2.3619815450508508E-3</v>
      </c>
      <c r="J252" s="84"/>
      <c r="K252" s="84"/>
    </row>
    <row r="253" spans="1:11" ht="16">
      <c r="A253" s="146">
        <v>42698</v>
      </c>
      <c r="B253" s="87">
        <v>2.98</v>
      </c>
      <c r="G253" s="89">
        <v>42703</v>
      </c>
      <c r="H253" s="90">
        <v>312.62</v>
      </c>
      <c r="I253" s="92">
        <f t="shared" si="3"/>
        <v>-1.7783084076913314E-2</v>
      </c>
      <c r="J253" s="84"/>
      <c r="K253" s="84"/>
    </row>
    <row r="254" spans="1:11" ht="16">
      <c r="A254" s="146">
        <v>42699</v>
      </c>
      <c r="B254" s="87">
        <v>2.98</v>
      </c>
      <c r="G254" s="89">
        <v>42704</v>
      </c>
      <c r="H254" s="90">
        <v>317.3</v>
      </c>
      <c r="I254" s="92">
        <f t="shared" si="3"/>
        <v>1.4970251423453318E-2</v>
      </c>
      <c r="J254" s="84"/>
      <c r="K254" s="84"/>
    </row>
    <row r="255" spans="1:11" ht="16">
      <c r="A255" s="146">
        <v>42700</v>
      </c>
      <c r="B255" s="87">
        <v>2.96</v>
      </c>
      <c r="G255" s="89">
        <v>42705</v>
      </c>
      <c r="H255" s="90">
        <v>317.47000000000003</v>
      </c>
      <c r="I255" s="92">
        <f t="shared" si="3"/>
        <v>5.3577056413489643E-4</v>
      </c>
      <c r="J255" s="84"/>
      <c r="K255" s="84"/>
    </row>
    <row r="256" spans="1:11" ht="16">
      <c r="A256" s="146">
        <v>42703</v>
      </c>
      <c r="B256" s="87">
        <v>2.92</v>
      </c>
      <c r="G256" s="89">
        <v>42706</v>
      </c>
      <c r="H256" s="90">
        <v>319.77999999999997</v>
      </c>
      <c r="I256" s="92">
        <f t="shared" si="3"/>
        <v>7.276278073518494E-3</v>
      </c>
      <c r="J256" s="84"/>
      <c r="K256" s="84"/>
    </row>
    <row r="257" spans="1:11" ht="16">
      <c r="A257" s="146">
        <v>42704</v>
      </c>
      <c r="B257" s="87">
        <v>2.92</v>
      </c>
      <c r="G257" s="89">
        <v>42707</v>
      </c>
      <c r="H257" s="90">
        <v>321.8</v>
      </c>
      <c r="I257" s="92">
        <f t="shared" ref="I257:I320" si="4">H257/H256-1</f>
        <v>6.3168428294453349E-3</v>
      </c>
      <c r="J257" s="84"/>
      <c r="K257" s="84"/>
    </row>
    <row r="258" spans="1:11" ht="16">
      <c r="A258" s="146">
        <v>42705</v>
      </c>
      <c r="B258" s="87">
        <v>2.92</v>
      </c>
      <c r="G258" s="89">
        <v>42710</v>
      </c>
      <c r="H258" s="90">
        <v>322.02</v>
      </c>
      <c r="I258" s="92">
        <f t="shared" si="4"/>
        <v>6.8365444375384499E-4</v>
      </c>
      <c r="J258" s="84"/>
      <c r="K258" s="84"/>
    </row>
    <row r="259" spans="1:11" ht="16">
      <c r="A259" s="146">
        <v>42706</v>
      </c>
      <c r="B259" s="87">
        <v>2.9</v>
      </c>
      <c r="G259" s="89">
        <v>42711</v>
      </c>
      <c r="H259" s="90">
        <v>323.22000000000003</v>
      </c>
      <c r="I259" s="92">
        <f t="shared" si="4"/>
        <v>3.7264766163593865E-3</v>
      </c>
      <c r="J259" s="84"/>
      <c r="K259" s="84"/>
    </row>
    <row r="260" spans="1:11" ht="16">
      <c r="A260" s="146">
        <v>42707</v>
      </c>
      <c r="B260" s="87">
        <v>2.89</v>
      </c>
      <c r="G260" s="89">
        <v>42712</v>
      </c>
      <c r="H260" s="90">
        <v>322.69</v>
      </c>
      <c r="I260" s="92">
        <f t="shared" si="4"/>
        <v>-1.6397500154694544E-3</v>
      </c>
      <c r="J260" s="84"/>
      <c r="K260" s="84"/>
    </row>
    <row r="261" spans="1:11" ht="16">
      <c r="A261" s="146">
        <v>42710</v>
      </c>
      <c r="B261" s="87">
        <v>2.88</v>
      </c>
      <c r="G261" s="89">
        <v>42713</v>
      </c>
      <c r="H261" s="90">
        <v>322.68</v>
      </c>
      <c r="I261" s="92">
        <f t="shared" si="4"/>
        <v>-3.0989494561262099E-5</v>
      </c>
      <c r="J261" s="84"/>
      <c r="K261" s="84"/>
    </row>
    <row r="262" spans="1:11" ht="16">
      <c r="A262" s="146">
        <v>42711</v>
      </c>
      <c r="B262" s="87">
        <v>2.87</v>
      </c>
      <c r="G262" s="89">
        <v>42714</v>
      </c>
      <c r="H262" s="90">
        <v>323.02</v>
      </c>
      <c r="I262" s="92">
        <f t="shared" si="4"/>
        <v>1.0536754679557614E-3</v>
      </c>
      <c r="J262" s="84"/>
      <c r="K262" s="84"/>
    </row>
    <row r="263" spans="1:11" ht="16">
      <c r="A263" s="146">
        <v>42712</v>
      </c>
      <c r="B263" s="87">
        <v>2.88</v>
      </c>
      <c r="G263" s="89">
        <v>42717</v>
      </c>
      <c r="H263" s="90">
        <v>321.62</v>
      </c>
      <c r="I263" s="92">
        <f t="shared" si="4"/>
        <v>-4.33409695994047E-3</v>
      </c>
      <c r="J263" s="84"/>
      <c r="K263" s="84"/>
    </row>
    <row r="264" spans="1:11" ht="16">
      <c r="A264" s="146">
        <v>42713</v>
      </c>
      <c r="B264" s="87">
        <v>2.86</v>
      </c>
      <c r="G264" s="89">
        <v>42718</v>
      </c>
      <c r="H264" s="90">
        <v>321.77</v>
      </c>
      <c r="I264" s="92">
        <f t="shared" si="4"/>
        <v>4.6638890616246265E-4</v>
      </c>
      <c r="J264" s="84"/>
      <c r="K264" s="84"/>
    </row>
    <row r="265" spans="1:11" ht="16">
      <c r="A265" s="146">
        <v>42714</v>
      </c>
      <c r="B265" s="87">
        <v>2.84</v>
      </c>
      <c r="G265" s="89">
        <v>42719</v>
      </c>
      <c r="H265" s="90">
        <v>325.44</v>
      </c>
      <c r="I265" s="92">
        <f t="shared" si="4"/>
        <v>1.1405662429685881E-2</v>
      </c>
      <c r="J265" s="84"/>
      <c r="K265" s="84"/>
    </row>
    <row r="266" spans="1:11" ht="16">
      <c r="A266" s="146">
        <v>42717</v>
      </c>
      <c r="B266" s="87">
        <v>2.82</v>
      </c>
      <c r="G266" s="89">
        <v>42720</v>
      </c>
      <c r="H266" s="90">
        <v>328.17</v>
      </c>
      <c r="I266" s="92">
        <f t="shared" si="4"/>
        <v>8.3886430678465906E-3</v>
      </c>
      <c r="J266" s="84"/>
      <c r="K266" s="84"/>
    </row>
    <row r="267" spans="1:11" ht="16">
      <c r="A267" s="146">
        <v>42718</v>
      </c>
      <c r="B267" s="87">
        <v>2.81</v>
      </c>
      <c r="G267" s="89">
        <v>42721</v>
      </c>
      <c r="H267" s="90">
        <v>327.2</v>
      </c>
      <c r="I267" s="92">
        <f t="shared" si="4"/>
        <v>-2.9557851113752864E-3</v>
      </c>
      <c r="J267" s="84"/>
      <c r="K267" s="84"/>
    </row>
    <row r="268" spans="1:11" ht="16">
      <c r="A268" s="146">
        <v>42719</v>
      </c>
      <c r="B268" s="87">
        <v>2.8</v>
      </c>
      <c r="G268" s="89">
        <v>42724</v>
      </c>
      <c r="H268" s="90">
        <v>323.8</v>
      </c>
      <c r="I268" s="92">
        <f t="shared" si="4"/>
        <v>-1.0391198044009675E-2</v>
      </c>
      <c r="J268" s="84"/>
      <c r="K268" s="84"/>
    </row>
    <row r="269" spans="1:11" ht="16">
      <c r="A269" s="146">
        <v>42720</v>
      </c>
      <c r="B269" s="87">
        <v>2.79</v>
      </c>
      <c r="G269" s="89">
        <v>42725</v>
      </c>
      <c r="H269" s="90">
        <v>322.20999999999998</v>
      </c>
      <c r="I269" s="92">
        <f t="shared" si="4"/>
        <v>-4.9104385423102137E-3</v>
      </c>
      <c r="J269" s="84"/>
      <c r="K269" s="84"/>
    </row>
    <row r="270" spans="1:11" ht="16">
      <c r="A270" s="146">
        <v>42721</v>
      </c>
      <c r="B270" s="87">
        <v>2.79</v>
      </c>
      <c r="G270" s="89">
        <v>42726</v>
      </c>
      <c r="H270" s="90">
        <v>324.62</v>
      </c>
      <c r="I270" s="92">
        <f t="shared" si="4"/>
        <v>7.4795940535676841E-3</v>
      </c>
      <c r="J270" s="84"/>
      <c r="K270" s="84"/>
    </row>
    <row r="271" spans="1:11" ht="16">
      <c r="A271" s="146">
        <v>42724</v>
      </c>
      <c r="B271" s="87">
        <v>2.8</v>
      </c>
      <c r="G271" s="89">
        <v>42727</v>
      </c>
      <c r="H271" s="90">
        <v>322.79000000000002</v>
      </c>
      <c r="I271" s="92">
        <f t="shared" si="4"/>
        <v>-5.6373606062473103E-3</v>
      </c>
      <c r="J271" s="84"/>
      <c r="K271" s="84"/>
    </row>
    <row r="272" spans="1:11" ht="16">
      <c r="A272" s="146">
        <v>42725</v>
      </c>
      <c r="B272" s="87">
        <v>2.79</v>
      </c>
      <c r="G272" s="89">
        <v>42728</v>
      </c>
      <c r="H272" s="90">
        <v>323.16000000000003</v>
      </c>
      <c r="I272" s="92">
        <f t="shared" si="4"/>
        <v>1.1462560798041199E-3</v>
      </c>
      <c r="J272" s="84"/>
      <c r="K272" s="84"/>
    </row>
    <row r="273" spans="1:11" ht="16">
      <c r="A273" s="146">
        <v>42726</v>
      </c>
      <c r="B273" s="87">
        <v>2.8</v>
      </c>
      <c r="G273" s="89">
        <v>42731</v>
      </c>
      <c r="H273" s="90">
        <v>322.52999999999997</v>
      </c>
      <c r="I273" s="92">
        <f t="shared" si="4"/>
        <v>-1.94949870033434E-3</v>
      </c>
      <c r="J273" s="84"/>
      <c r="K273" s="84"/>
    </row>
    <row r="274" spans="1:11" ht="16">
      <c r="A274" s="146">
        <v>42727</v>
      </c>
      <c r="B274" s="87">
        <v>2.8</v>
      </c>
      <c r="G274" s="89">
        <v>42732</v>
      </c>
      <c r="H274" s="90">
        <v>325.83999999999997</v>
      </c>
      <c r="I274" s="92">
        <f t="shared" si="4"/>
        <v>1.0262611229963081E-2</v>
      </c>
      <c r="J274" s="84"/>
      <c r="K274" s="84"/>
    </row>
    <row r="275" spans="1:11" ht="16">
      <c r="A275" s="146">
        <v>42728</v>
      </c>
      <c r="B275" s="240">
        <f>B274</f>
        <v>2.8</v>
      </c>
      <c r="G275" s="89">
        <v>42733</v>
      </c>
      <c r="H275" s="90">
        <v>330.6</v>
      </c>
      <c r="I275" s="92">
        <f t="shared" si="4"/>
        <v>1.4608396759145714E-2</v>
      </c>
      <c r="J275" s="84"/>
      <c r="K275" s="84"/>
    </row>
    <row r="276" spans="1:11" ht="16">
      <c r="A276" s="146">
        <v>42731</v>
      </c>
      <c r="B276" s="87">
        <v>2.79</v>
      </c>
      <c r="G276" s="89">
        <v>42734</v>
      </c>
      <c r="H276" s="90">
        <v>331.34</v>
      </c>
      <c r="I276" s="92">
        <f t="shared" si="4"/>
        <v>2.2383545069568633E-3</v>
      </c>
      <c r="J276" s="84"/>
      <c r="K276" s="84"/>
    </row>
    <row r="277" spans="1:11" ht="16">
      <c r="A277" s="146">
        <v>42732</v>
      </c>
      <c r="B277" s="87">
        <v>2.77</v>
      </c>
      <c r="G277" s="89">
        <v>42735</v>
      </c>
      <c r="H277" s="90">
        <v>331.57</v>
      </c>
      <c r="I277" s="92">
        <f t="shared" si="4"/>
        <v>6.9415102311820576E-4</v>
      </c>
      <c r="J277" s="84"/>
      <c r="K277" s="84"/>
    </row>
    <row r="278" spans="1:11" ht="16">
      <c r="A278" s="146">
        <v>42733</v>
      </c>
      <c r="B278" s="87">
        <v>2.77</v>
      </c>
      <c r="G278" s="89">
        <v>42738</v>
      </c>
      <c r="H278" s="90">
        <v>334.34</v>
      </c>
      <c r="I278" s="92">
        <f t="shared" si="4"/>
        <v>8.3541936845914488E-3</v>
      </c>
      <c r="J278" s="84"/>
      <c r="K278" s="84"/>
    </row>
    <row r="279" spans="1:11" ht="16">
      <c r="A279" s="146">
        <v>42734</v>
      </c>
      <c r="B279" s="87">
        <v>2.79</v>
      </c>
      <c r="G279" s="89">
        <v>42739</v>
      </c>
      <c r="H279" s="90">
        <v>337.8</v>
      </c>
      <c r="I279" s="92">
        <f t="shared" si="4"/>
        <v>1.0348746784710317E-2</v>
      </c>
      <c r="J279" s="84"/>
      <c r="K279" s="84"/>
    </row>
    <row r="280" spans="1:11" ht="16">
      <c r="A280" s="146">
        <v>42735</v>
      </c>
      <c r="B280" s="240">
        <f>B279</f>
        <v>2.79</v>
      </c>
      <c r="G280" s="89">
        <v>42740</v>
      </c>
      <c r="H280" s="90">
        <v>336.87</v>
      </c>
      <c r="I280" s="92">
        <f t="shared" si="4"/>
        <v>-2.7531083481350249E-3</v>
      </c>
      <c r="J280" s="84"/>
      <c r="K280" s="84"/>
    </row>
    <row r="281" spans="1:11" ht="16">
      <c r="A281" s="146">
        <v>42738</v>
      </c>
      <c r="B281" s="87">
        <v>2.78</v>
      </c>
      <c r="G281" s="89">
        <v>42741</v>
      </c>
      <c r="H281" s="90">
        <v>337.98</v>
      </c>
      <c r="I281" s="92">
        <f t="shared" si="4"/>
        <v>3.295039629530816E-3</v>
      </c>
      <c r="J281" s="84"/>
      <c r="K281" s="84"/>
    </row>
    <row r="282" spans="1:11" ht="16">
      <c r="A282" s="146">
        <v>42739</v>
      </c>
      <c r="B282" s="87">
        <v>2.79</v>
      </c>
      <c r="G282" s="89">
        <v>42742</v>
      </c>
      <c r="H282" s="90">
        <v>343.78</v>
      </c>
      <c r="I282" s="92">
        <f t="shared" si="4"/>
        <v>1.7160778744304217E-2</v>
      </c>
      <c r="J282" s="84"/>
      <c r="K282" s="84"/>
    </row>
    <row r="283" spans="1:11" ht="16">
      <c r="A283" s="146">
        <v>42740</v>
      </c>
      <c r="B283" s="87">
        <v>2.83</v>
      </c>
      <c r="G283" s="89">
        <v>42745</v>
      </c>
      <c r="H283" s="90">
        <v>342.48</v>
      </c>
      <c r="I283" s="92">
        <f t="shared" si="4"/>
        <v>-3.7814881610330753E-3</v>
      </c>
      <c r="J283" s="84"/>
      <c r="K283" s="84"/>
    </row>
    <row r="284" spans="1:11" ht="16">
      <c r="A284" s="146">
        <v>42741</v>
      </c>
      <c r="B284" s="87">
        <v>2.85</v>
      </c>
      <c r="G284" s="89">
        <v>42746</v>
      </c>
      <c r="H284" s="90">
        <v>344.33</v>
      </c>
      <c r="I284" s="92">
        <f t="shared" si="4"/>
        <v>5.4017752861479362E-3</v>
      </c>
      <c r="J284" s="84"/>
      <c r="K284" s="84"/>
    </row>
    <row r="285" spans="1:11" ht="16">
      <c r="A285" s="146">
        <v>42742</v>
      </c>
      <c r="B285" s="87">
        <v>2.87</v>
      </c>
      <c r="G285" s="89">
        <v>42747</v>
      </c>
      <c r="H285" s="90">
        <v>346.61</v>
      </c>
      <c r="I285" s="92">
        <f t="shared" si="4"/>
        <v>6.6215549037260679E-3</v>
      </c>
      <c r="J285" s="84"/>
      <c r="K285" s="84"/>
    </row>
    <row r="286" spans="1:11" ht="16">
      <c r="A286" s="146">
        <v>42745</v>
      </c>
      <c r="B286" s="87">
        <v>2.89</v>
      </c>
      <c r="G286" s="89">
        <v>42748</v>
      </c>
      <c r="H286" s="90">
        <v>348.89</v>
      </c>
      <c r="I286" s="92">
        <f t="shared" si="4"/>
        <v>6.5779983266494035E-3</v>
      </c>
      <c r="J286" s="84"/>
      <c r="K286" s="84"/>
    </row>
    <row r="287" spans="1:11" ht="16">
      <c r="A287" s="146">
        <v>42746</v>
      </c>
      <c r="B287" s="87">
        <v>2.94</v>
      </c>
      <c r="G287" s="89">
        <v>42749</v>
      </c>
      <c r="H287" s="90">
        <v>346.19</v>
      </c>
      <c r="I287" s="92">
        <f t="shared" si="4"/>
        <v>-7.7388288572328712E-3</v>
      </c>
      <c r="J287" s="84"/>
      <c r="K287" s="84"/>
    </row>
    <row r="288" spans="1:11" ht="16">
      <c r="A288" s="146">
        <v>42747</v>
      </c>
      <c r="B288" s="87">
        <v>2.93</v>
      </c>
      <c r="G288" s="89">
        <v>42752</v>
      </c>
      <c r="H288" s="90">
        <v>347.78</v>
      </c>
      <c r="I288" s="92">
        <f t="shared" si="4"/>
        <v>4.592853635286831E-3</v>
      </c>
      <c r="J288" s="84"/>
      <c r="K288" s="84"/>
    </row>
    <row r="289" spans="1:11" ht="16">
      <c r="A289" s="146">
        <v>42748</v>
      </c>
      <c r="B289" s="87">
        <v>2.92</v>
      </c>
      <c r="G289" s="89">
        <v>42753</v>
      </c>
      <c r="H289" s="90">
        <v>352.56</v>
      </c>
      <c r="I289" s="92">
        <f t="shared" si="4"/>
        <v>1.3744321122548753E-2</v>
      </c>
      <c r="J289" s="84"/>
      <c r="K289" s="84"/>
    </row>
    <row r="290" spans="1:11" ht="16">
      <c r="A290" s="146">
        <v>42749</v>
      </c>
      <c r="B290" s="87">
        <v>2.93</v>
      </c>
      <c r="G290" s="89">
        <v>42754</v>
      </c>
      <c r="H290" s="90">
        <v>357.12</v>
      </c>
      <c r="I290" s="92">
        <f t="shared" si="4"/>
        <v>1.293396868618113E-2</v>
      </c>
      <c r="J290" s="84"/>
      <c r="K290" s="84"/>
    </row>
    <row r="291" spans="1:11" ht="16">
      <c r="A291" s="146">
        <v>42752</v>
      </c>
      <c r="B291" s="87">
        <v>2.92</v>
      </c>
      <c r="G291" s="89">
        <v>42755</v>
      </c>
      <c r="H291" s="90">
        <v>357.52</v>
      </c>
      <c r="I291" s="92">
        <f t="shared" si="4"/>
        <v>1.1200716845878311E-3</v>
      </c>
      <c r="J291" s="84"/>
      <c r="K291" s="84"/>
    </row>
    <row r="292" spans="1:11" ht="16">
      <c r="A292" s="146">
        <v>42753</v>
      </c>
      <c r="B292" s="87">
        <v>2.91</v>
      </c>
      <c r="G292" s="89">
        <v>42756</v>
      </c>
      <c r="H292" s="90">
        <v>354.69</v>
      </c>
      <c r="I292" s="92">
        <f t="shared" si="4"/>
        <v>-7.9156410830163448E-3</v>
      </c>
      <c r="J292" s="84"/>
      <c r="K292" s="84"/>
    </row>
    <row r="293" spans="1:11" ht="16">
      <c r="A293" s="146">
        <v>42754</v>
      </c>
      <c r="B293" s="87">
        <v>2.89</v>
      </c>
      <c r="G293" s="89">
        <v>42759</v>
      </c>
      <c r="H293" s="90">
        <v>357.84</v>
      </c>
      <c r="I293" s="92">
        <f t="shared" si="4"/>
        <v>8.8809946714032417E-3</v>
      </c>
      <c r="J293" s="84"/>
      <c r="K293" s="84"/>
    </row>
    <row r="294" spans="1:11" ht="16">
      <c r="A294" s="146">
        <v>42755</v>
      </c>
      <c r="B294" s="87">
        <v>2.87</v>
      </c>
      <c r="G294" s="89">
        <v>42760</v>
      </c>
      <c r="H294" s="90">
        <v>353.68</v>
      </c>
      <c r="I294" s="92">
        <f t="shared" si="4"/>
        <v>-1.1625307399955154E-2</v>
      </c>
      <c r="J294" s="84"/>
      <c r="K294" s="84"/>
    </row>
    <row r="295" spans="1:11" ht="16">
      <c r="A295" s="146">
        <v>42756</v>
      </c>
      <c r="B295" s="87">
        <v>2.86</v>
      </c>
      <c r="G295" s="89">
        <v>42761</v>
      </c>
      <c r="H295" s="90">
        <v>349.28</v>
      </c>
      <c r="I295" s="92">
        <f t="shared" si="4"/>
        <v>-1.2440624293146407E-2</v>
      </c>
      <c r="J295" s="84"/>
      <c r="K295" s="84"/>
    </row>
    <row r="296" spans="1:11" ht="16">
      <c r="A296" s="146">
        <v>42759</v>
      </c>
      <c r="B296" s="87">
        <v>2.84</v>
      </c>
      <c r="G296" s="89">
        <v>42762</v>
      </c>
      <c r="H296" s="90">
        <v>344.95</v>
      </c>
      <c r="I296" s="92">
        <f t="shared" si="4"/>
        <v>-1.2396930829134178E-2</v>
      </c>
      <c r="J296" s="84"/>
      <c r="K296" s="84"/>
    </row>
    <row r="297" spans="1:11" ht="16">
      <c r="A297" s="146">
        <v>42760</v>
      </c>
      <c r="B297" s="87">
        <v>2.82</v>
      </c>
      <c r="G297" s="89">
        <v>42763</v>
      </c>
      <c r="H297" s="90">
        <v>340.73</v>
      </c>
      <c r="I297" s="92">
        <f t="shared" si="4"/>
        <v>-1.2233657051746505E-2</v>
      </c>
      <c r="J297" s="84"/>
      <c r="K297" s="84"/>
    </row>
    <row r="298" spans="1:11" ht="16">
      <c r="A298" s="146">
        <v>42761</v>
      </c>
      <c r="B298" s="87">
        <v>2.83</v>
      </c>
      <c r="G298" s="89">
        <v>42766</v>
      </c>
      <c r="H298" s="90">
        <v>347.93</v>
      </c>
      <c r="I298" s="92">
        <f t="shared" si="4"/>
        <v>2.1131100871657926E-2</v>
      </c>
      <c r="J298" s="84"/>
      <c r="K298" s="84"/>
    </row>
    <row r="299" spans="1:11" ht="16">
      <c r="A299" s="146">
        <v>42762</v>
      </c>
      <c r="B299" s="87">
        <v>2.83</v>
      </c>
      <c r="G299" s="89">
        <v>42767</v>
      </c>
      <c r="H299" s="90">
        <v>353.35</v>
      </c>
      <c r="I299" s="92">
        <f t="shared" si="4"/>
        <v>1.5577846118472127E-2</v>
      </c>
      <c r="J299" s="84"/>
      <c r="K299" s="84"/>
    </row>
    <row r="300" spans="1:11" ht="16">
      <c r="A300" s="146">
        <v>42763</v>
      </c>
      <c r="B300" s="87">
        <v>2.84</v>
      </c>
      <c r="G300" s="89">
        <v>42768</v>
      </c>
      <c r="H300" s="90">
        <v>355.98</v>
      </c>
      <c r="I300" s="92">
        <f t="shared" si="4"/>
        <v>7.4430451393801E-3</v>
      </c>
      <c r="J300" s="84"/>
      <c r="K300" s="84"/>
    </row>
    <row r="301" spans="1:11" ht="16">
      <c r="A301" s="146">
        <v>42765</v>
      </c>
      <c r="B301" s="87">
        <v>2.85</v>
      </c>
      <c r="G301" s="89">
        <v>42769</v>
      </c>
      <c r="H301" s="90">
        <v>355.5</v>
      </c>
      <c r="I301" s="92">
        <f t="shared" si="4"/>
        <v>-1.3483903590090218E-3</v>
      </c>
      <c r="J301" s="84"/>
      <c r="K301" s="84"/>
    </row>
    <row r="302" spans="1:11" ht="16">
      <c r="A302" s="146">
        <v>42766</v>
      </c>
      <c r="B302" s="87">
        <v>2.83</v>
      </c>
      <c r="G302" s="89">
        <v>42770</v>
      </c>
      <c r="H302" s="90">
        <v>357.29</v>
      </c>
      <c r="I302" s="92">
        <f t="shared" si="4"/>
        <v>5.0351617440225205E-3</v>
      </c>
      <c r="J302" s="84"/>
      <c r="K302" s="84"/>
    </row>
    <row r="303" spans="1:11" ht="16">
      <c r="A303" s="146">
        <v>42767</v>
      </c>
      <c r="B303" s="87">
        <v>2.82</v>
      </c>
      <c r="G303" s="89">
        <v>42773</v>
      </c>
      <c r="H303" s="90">
        <v>359.51</v>
      </c>
      <c r="I303" s="92">
        <f t="shared" si="4"/>
        <v>6.2134400626940867E-3</v>
      </c>
      <c r="J303" s="84"/>
      <c r="K303" s="84"/>
    </row>
    <row r="304" spans="1:11" ht="16">
      <c r="A304" s="146">
        <v>42768</v>
      </c>
      <c r="B304" s="87">
        <v>2.82</v>
      </c>
      <c r="G304" s="89">
        <v>42774</v>
      </c>
      <c r="H304" s="90">
        <v>362.25</v>
      </c>
      <c r="I304" s="92">
        <f t="shared" si="4"/>
        <v>7.6214847987539081E-3</v>
      </c>
      <c r="J304" s="84"/>
      <c r="K304" s="84"/>
    </row>
    <row r="305" spans="1:11" ht="16">
      <c r="A305" s="146">
        <v>42769</v>
      </c>
      <c r="B305" s="87">
        <v>2.81</v>
      </c>
      <c r="G305" s="89">
        <v>42775</v>
      </c>
      <c r="H305" s="90">
        <v>365.49</v>
      </c>
      <c r="I305" s="92">
        <f t="shared" si="4"/>
        <v>8.9440993788820755E-3</v>
      </c>
      <c r="J305" s="84"/>
      <c r="K305" s="84"/>
    </row>
    <row r="306" spans="1:11" ht="16">
      <c r="A306" s="146">
        <v>42770</v>
      </c>
      <c r="B306" s="87">
        <v>2.8</v>
      </c>
      <c r="G306" s="89">
        <v>42776</v>
      </c>
      <c r="H306" s="90">
        <v>367.04</v>
      </c>
      <c r="I306" s="92">
        <f t="shared" si="4"/>
        <v>4.2408821034776167E-3</v>
      </c>
      <c r="J306" s="84"/>
      <c r="K306" s="84"/>
    </row>
    <row r="307" spans="1:11" ht="16">
      <c r="A307" s="146">
        <v>42773</v>
      </c>
      <c r="B307" s="87">
        <v>2.83</v>
      </c>
      <c r="G307" s="89">
        <v>42777</v>
      </c>
      <c r="H307" s="90">
        <v>367.4</v>
      </c>
      <c r="I307" s="92">
        <f t="shared" si="4"/>
        <v>9.8081952920647808E-4</v>
      </c>
      <c r="J307" s="84"/>
      <c r="K307" s="84"/>
    </row>
    <row r="308" spans="1:11" ht="16">
      <c r="A308" s="146">
        <v>42774</v>
      </c>
      <c r="B308" s="87">
        <v>2.82</v>
      </c>
      <c r="G308" s="89">
        <v>42780</v>
      </c>
      <c r="H308" s="90">
        <v>368.84</v>
      </c>
      <c r="I308" s="92">
        <f t="shared" si="4"/>
        <v>3.9194338595536227E-3</v>
      </c>
      <c r="J308" s="84"/>
      <c r="K308" s="84"/>
    </row>
    <row r="309" spans="1:11" ht="16">
      <c r="A309" s="146">
        <v>42775</v>
      </c>
      <c r="B309" s="87">
        <v>2.81</v>
      </c>
      <c r="G309" s="89">
        <v>42781</v>
      </c>
      <c r="H309" s="90">
        <v>369.97</v>
      </c>
      <c r="I309" s="92">
        <f t="shared" si="4"/>
        <v>3.0636590391499574E-3</v>
      </c>
      <c r="J309" s="84"/>
      <c r="K309" s="84"/>
    </row>
    <row r="310" spans="1:11" ht="16">
      <c r="A310" s="146">
        <v>42776</v>
      </c>
      <c r="B310" s="87">
        <v>2.79</v>
      </c>
      <c r="G310" s="89">
        <v>42782</v>
      </c>
      <c r="H310" s="90">
        <v>371.45</v>
      </c>
      <c r="I310" s="92">
        <f t="shared" si="4"/>
        <v>4.0003243506228081E-3</v>
      </c>
      <c r="J310" s="84"/>
      <c r="K310" s="84"/>
    </row>
    <row r="311" spans="1:11" ht="16">
      <c r="A311" s="146">
        <v>42777</v>
      </c>
      <c r="B311" s="87">
        <v>2.8</v>
      </c>
      <c r="G311" s="89">
        <v>42783</v>
      </c>
      <c r="H311" s="90">
        <v>367.1</v>
      </c>
      <c r="I311" s="92">
        <f t="shared" si="4"/>
        <v>-1.1710862834836355E-2</v>
      </c>
      <c r="J311" s="84"/>
      <c r="K311" s="84"/>
    </row>
    <row r="312" spans="1:11" ht="16">
      <c r="A312" s="146">
        <v>42780</v>
      </c>
      <c r="B312" s="87">
        <v>2.79</v>
      </c>
      <c r="G312" s="89">
        <v>42784</v>
      </c>
      <c r="H312" s="90">
        <v>368.17</v>
      </c>
      <c r="I312" s="92">
        <f t="shared" si="4"/>
        <v>2.9147371288475998E-3</v>
      </c>
      <c r="J312" s="84"/>
      <c r="K312" s="84"/>
    </row>
    <row r="313" spans="1:11" ht="16">
      <c r="A313" s="146">
        <v>42781</v>
      </c>
      <c r="B313" s="87">
        <v>2.83</v>
      </c>
      <c r="G313" s="89">
        <v>42787</v>
      </c>
      <c r="H313" s="90">
        <v>360.27</v>
      </c>
      <c r="I313" s="92">
        <f t="shared" si="4"/>
        <v>-2.1457478882038306E-2</v>
      </c>
      <c r="J313" s="84"/>
      <c r="K313" s="84"/>
    </row>
    <row r="314" spans="1:11" ht="16">
      <c r="A314" s="146">
        <v>42782</v>
      </c>
      <c r="B314" s="87">
        <v>2.85</v>
      </c>
      <c r="G314" s="89">
        <v>42788</v>
      </c>
      <c r="H314" s="90">
        <v>360.55</v>
      </c>
      <c r="I314" s="92">
        <f t="shared" si="4"/>
        <v>7.7719488161664962E-4</v>
      </c>
      <c r="J314" s="84"/>
      <c r="K314" s="84"/>
    </row>
    <row r="315" spans="1:11" ht="16">
      <c r="A315" s="146">
        <v>42783</v>
      </c>
      <c r="B315" s="87">
        <v>2.82</v>
      </c>
      <c r="G315" s="89">
        <v>42789</v>
      </c>
      <c r="H315" s="90">
        <v>355.64</v>
      </c>
      <c r="I315" s="92">
        <f t="shared" si="4"/>
        <v>-1.3618083483566856E-2</v>
      </c>
      <c r="J315" s="84"/>
      <c r="K315" s="84"/>
    </row>
    <row r="316" spans="1:11" ht="16">
      <c r="A316" s="146">
        <v>42784</v>
      </c>
      <c r="B316" s="87">
        <v>2.83</v>
      </c>
      <c r="G316" s="89">
        <v>42790</v>
      </c>
      <c r="H316" s="90">
        <v>355.86</v>
      </c>
      <c r="I316" s="92">
        <f t="shared" si="4"/>
        <v>6.1860308176808765E-4</v>
      </c>
      <c r="J316" s="84"/>
      <c r="K316" s="84"/>
    </row>
    <row r="317" spans="1:11" ht="16">
      <c r="A317" s="146">
        <v>42787</v>
      </c>
      <c r="B317" s="87">
        <v>2.88</v>
      </c>
      <c r="G317" s="89">
        <v>42791</v>
      </c>
      <c r="H317" s="90">
        <v>345.68</v>
      </c>
      <c r="I317" s="92">
        <f t="shared" si="4"/>
        <v>-2.8606755465632516E-2</v>
      </c>
      <c r="J317" s="84"/>
      <c r="K317" s="84"/>
    </row>
    <row r="318" spans="1:11" ht="16">
      <c r="A318" s="146">
        <v>42788</v>
      </c>
      <c r="B318" s="87">
        <v>2.87</v>
      </c>
      <c r="G318" s="89">
        <v>42794</v>
      </c>
      <c r="H318" s="90">
        <v>352.43</v>
      </c>
      <c r="I318" s="92">
        <f t="shared" si="4"/>
        <v>1.9526729923628805E-2</v>
      </c>
      <c r="J318" s="84"/>
      <c r="K318" s="84"/>
    </row>
    <row r="319" spans="1:11" ht="16">
      <c r="A319" s="146">
        <v>42789</v>
      </c>
      <c r="B319" s="87">
        <v>2.88</v>
      </c>
      <c r="G319" s="89">
        <v>42795</v>
      </c>
      <c r="H319" s="90">
        <v>350.92</v>
      </c>
      <c r="I319" s="92">
        <f t="shared" si="4"/>
        <v>-4.2845387736571983E-3</v>
      </c>
      <c r="J319" s="84"/>
      <c r="K319" s="84"/>
    </row>
    <row r="320" spans="1:11" ht="16">
      <c r="A320" s="146">
        <v>42790</v>
      </c>
      <c r="B320" s="87">
        <v>2.93</v>
      </c>
      <c r="G320" s="89">
        <v>42796</v>
      </c>
      <c r="H320" s="90">
        <v>355.27</v>
      </c>
      <c r="I320" s="92">
        <f t="shared" si="4"/>
        <v>1.2395987689501675E-2</v>
      </c>
      <c r="J320" s="84"/>
      <c r="K320" s="84"/>
    </row>
    <row r="321" spans="1:11" ht="16">
      <c r="A321" s="146">
        <v>42791</v>
      </c>
      <c r="B321" s="87">
        <v>2.96</v>
      </c>
      <c r="G321" s="89">
        <v>42797</v>
      </c>
      <c r="H321" s="90">
        <v>347.71</v>
      </c>
      <c r="I321" s="92">
        <f t="shared" ref="I321:I384" si="5">H321/H320-1</f>
        <v>-2.1279590170856011E-2</v>
      </c>
      <c r="J321" s="84"/>
      <c r="K321" s="84"/>
    </row>
    <row r="322" spans="1:11" ht="16">
      <c r="A322" s="146">
        <v>42793</v>
      </c>
      <c r="B322" s="87">
        <v>2.94</v>
      </c>
      <c r="G322" s="89">
        <v>42798</v>
      </c>
      <c r="H322" s="90">
        <v>345.69</v>
      </c>
      <c r="I322" s="92">
        <f t="shared" si="5"/>
        <v>-5.8094389002328883E-3</v>
      </c>
      <c r="J322" s="84"/>
      <c r="K322" s="84"/>
    </row>
    <row r="323" spans="1:11" ht="16">
      <c r="A323" s="146">
        <v>42794</v>
      </c>
      <c r="B323" s="87">
        <v>2.92</v>
      </c>
      <c r="G323" s="89">
        <v>42801</v>
      </c>
      <c r="H323" s="90">
        <v>337.39</v>
      </c>
      <c r="I323" s="92">
        <f t="shared" si="5"/>
        <v>-2.4009951112268224E-2</v>
      </c>
      <c r="J323" s="84"/>
      <c r="K323" s="84"/>
    </row>
    <row r="324" spans="1:11" ht="16">
      <c r="A324" s="146">
        <v>42795</v>
      </c>
      <c r="B324" s="87">
        <v>2.92</v>
      </c>
      <c r="G324" s="89">
        <v>42802</v>
      </c>
      <c r="H324" s="90">
        <v>340.26</v>
      </c>
      <c r="I324" s="92">
        <f t="shared" si="5"/>
        <v>8.5064761848305803E-3</v>
      </c>
      <c r="J324" s="84"/>
      <c r="K324" s="84"/>
    </row>
    <row r="325" spans="1:11" ht="16">
      <c r="A325" s="146">
        <v>42796</v>
      </c>
      <c r="B325" s="87">
        <v>2.94</v>
      </c>
      <c r="G325" s="89">
        <v>42803</v>
      </c>
      <c r="H325" s="90">
        <v>342.84</v>
      </c>
      <c r="I325" s="92">
        <f t="shared" si="5"/>
        <v>7.5824369599717389E-3</v>
      </c>
      <c r="J325" s="84"/>
      <c r="K325" s="84"/>
    </row>
    <row r="326" spans="1:11" ht="16">
      <c r="A326" s="146">
        <v>42797</v>
      </c>
      <c r="B326" s="87">
        <v>2.96</v>
      </c>
      <c r="G326" s="89">
        <v>42804</v>
      </c>
      <c r="H326" s="90">
        <v>351.1</v>
      </c>
      <c r="I326" s="92">
        <f t="shared" si="5"/>
        <v>2.4092871310232411E-2</v>
      </c>
      <c r="J326" s="84"/>
      <c r="K326" s="84"/>
    </row>
    <row r="327" spans="1:11" ht="16">
      <c r="A327" s="146">
        <v>42798</v>
      </c>
      <c r="B327" s="87">
        <v>3.02</v>
      </c>
      <c r="G327" s="89">
        <v>42805</v>
      </c>
      <c r="H327" s="90">
        <v>348.12</v>
      </c>
      <c r="I327" s="92">
        <f t="shared" si="5"/>
        <v>-8.4876103674167425E-3</v>
      </c>
      <c r="J327" s="84"/>
      <c r="K327" s="84"/>
    </row>
    <row r="328" spans="1:11" ht="16">
      <c r="A328" s="146">
        <v>42801</v>
      </c>
      <c r="B328" s="87">
        <v>3.08</v>
      </c>
      <c r="G328" s="89">
        <v>42808</v>
      </c>
      <c r="H328" s="90">
        <v>346.23</v>
      </c>
      <c r="I328" s="92">
        <f t="shared" si="5"/>
        <v>-5.4291623578076598E-3</v>
      </c>
      <c r="J328" s="84"/>
      <c r="K328" s="84"/>
    </row>
    <row r="329" spans="1:11" ht="16">
      <c r="A329" s="146">
        <v>42802</v>
      </c>
      <c r="B329" s="87">
        <v>3.09</v>
      </c>
      <c r="G329" s="89">
        <v>42809</v>
      </c>
      <c r="H329" s="90">
        <v>348.11</v>
      </c>
      <c r="I329" s="92">
        <f t="shared" si="5"/>
        <v>5.4299165294746654E-3</v>
      </c>
      <c r="J329" s="84"/>
      <c r="K329" s="84"/>
    </row>
    <row r="330" spans="1:11" ht="16">
      <c r="A330" s="146">
        <v>42803</v>
      </c>
      <c r="B330" s="87">
        <v>3.07</v>
      </c>
      <c r="G330" s="89">
        <v>42810</v>
      </c>
      <c r="H330" s="90">
        <v>346.81</v>
      </c>
      <c r="I330" s="92">
        <f t="shared" si="5"/>
        <v>-3.734451753755974E-3</v>
      </c>
      <c r="J330" s="84"/>
      <c r="K330" s="84"/>
    </row>
    <row r="331" spans="1:11" ht="16">
      <c r="A331" s="146">
        <v>42804</v>
      </c>
      <c r="B331" s="87">
        <v>3.03</v>
      </c>
      <c r="G331" s="89">
        <v>42811</v>
      </c>
      <c r="H331" s="90">
        <v>347.35</v>
      </c>
      <c r="I331" s="92">
        <f t="shared" si="5"/>
        <v>1.5570485280125279E-3</v>
      </c>
      <c r="J331" s="84"/>
      <c r="K331" s="84"/>
    </row>
    <row r="332" spans="1:11" ht="16">
      <c r="A332" s="146">
        <v>42805</v>
      </c>
      <c r="B332" s="87">
        <v>3.07</v>
      </c>
      <c r="G332" s="89">
        <v>42812</v>
      </c>
      <c r="H332" s="90">
        <v>345.31</v>
      </c>
      <c r="I332" s="92">
        <f t="shared" si="5"/>
        <v>-5.8730387217504898E-3</v>
      </c>
      <c r="J332" s="84"/>
      <c r="K332" s="84"/>
    </row>
    <row r="333" spans="1:11" ht="16">
      <c r="A333" s="146">
        <v>42808</v>
      </c>
      <c r="B333" s="87">
        <v>3.07</v>
      </c>
      <c r="G333" s="89">
        <v>42815</v>
      </c>
      <c r="H333" s="90">
        <v>345.15</v>
      </c>
      <c r="I333" s="92">
        <f t="shared" si="5"/>
        <v>-4.6335177087264423E-4</v>
      </c>
      <c r="J333" s="84"/>
      <c r="K333" s="84"/>
    </row>
    <row r="334" spans="1:11" ht="16">
      <c r="A334" s="146">
        <v>42809</v>
      </c>
      <c r="B334" s="87">
        <v>3.05</v>
      </c>
      <c r="G334" s="89">
        <v>42816</v>
      </c>
      <c r="H334" s="90">
        <v>341.91</v>
      </c>
      <c r="I334" s="92">
        <f t="shared" si="5"/>
        <v>-9.3872229465448154E-3</v>
      </c>
      <c r="J334" s="84"/>
      <c r="K334" s="84"/>
    </row>
    <row r="335" spans="1:11" ht="16">
      <c r="A335" s="146">
        <v>42810</v>
      </c>
      <c r="B335" s="87">
        <v>3.06</v>
      </c>
      <c r="G335" s="89">
        <v>42817</v>
      </c>
      <c r="H335" s="90">
        <v>335.12</v>
      </c>
      <c r="I335" s="92">
        <f t="shared" si="5"/>
        <v>-1.9859027229387927E-2</v>
      </c>
      <c r="J335" s="84"/>
      <c r="K335" s="84"/>
    </row>
    <row r="336" spans="1:11" ht="16">
      <c r="A336" s="146">
        <v>42811</v>
      </c>
      <c r="B336" s="87">
        <v>3.08</v>
      </c>
      <c r="G336" s="89">
        <v>42818</v>
      </c>
      <c r="H336" s="90">
        <v>332.33</v>
      </c>
      <c r="I336" s="92">
        <f t="shared" si="5"/>
        <v>-8.3253759847219388E-3</v>
      </c>
      <c r="J336" s="84"/>
      <c r="K336" s="84"/>
    </row>
    <row r="337" spans="1:11" ht="16">
      <c r="A337" s="146">
        <v>42812</v>
      </c>
      <c r="B337" s="87">
        <v>3.06</v>
      </c>
      <c r="G337" s="89">
        <v>42819</v>
      </c>
      <c r="H337" s="90">
        <v>337</v>
      </c>
      <c r="I337" s="92">
        <f t="shared" si="5"/>
        <v>1.4052297415219961E-2</v>
      </c>
      <c r="J337" s="84"/>
      <c r="K337" s="84"/>
    </row>
    <row r="338" spans="1:11" ht="16">
      <c r="A338" s="146">
        <v>42815</v>
      </c>
      <c r="B338" s="87">
        <v>3.05</v>
      </c>
      <c r="G338" s="89">
        <v>42822</v>
      </c>
      <c r="H338" s="90">
        <v>337.71</v>
      </c>
      <c r="I338" s="92">
        <f t="shared" si="5"/>
        <v>2.1068249258160421E-3</v>
      </c>
      <c r="J338" s="84"/>
      <c r="K338" s="84"/>
    </row>
    <row r="339" spans="1:11" ht="16">
      <c r="A339" s="146">
        <v>42816</v>
      </c>
      <c r="B339" s="87">
        <v>3.04</v>
      </c>
      <c r="G339" s="89">
        <v>42823</v>
      </c>
      <c r="H339" s="90">
        <v>340.1</v>
      </c>
      <c r="I339" s="92">
        <f t="shared" si="5"/>
        <v>7.0770779663025252E-3</v>
      </c>
      <c r="J339" s="84"/>
      <c r="K339" s="84"/>
    </row>
    <row r="340" spans="1:11" ht="16">
      <c r="A340" s="146">
        <v>42817</v>
      </c>
      <c r="B340" s="87">
        <v>3.04</v>
      </c>
      <c r="G340" s="89">
        <v>42824</v>
      </c>
      <c r="H340" s="90">
        <v>339.62</v>
      </c>
      <c r="I340" s="92">
        <f t="shared" si="5"/>
        <v>-1.4113496030579986E-3</v>
      </c>
      <c r="J340" s="84"/>
      <c r="K340" s="84"/>
    </row>
    <row r="341" spans="1:11" ht="16">
      <c r="A341" s="146">
        <v>42818</v>
      </c>
      <c r="B341" s="87">
        <v>3.06</v>
      </c>
      <c r="G341" s="89">
        <v>42825</v>
      </c>
      <c r="H341" s="90">
        <v>344.11</v>
      </c>
      <c r="I341" s="92">
        <f t="shared" si="5"/>
        <v>1.3220658382898653E-2</v>
      </c>
      <c r="J341" s="84"/>
      <c r="K341" s="84"/>
    </row>
    <row r="342" spans="1:11" ht="16">
      <c r="A342" s="146">
        <v>42819</v>
      </c>
      <c r="B342" s="87">
        <v>3.07</v>
      </c>
      <c r="G342" s="89">
        <v>42826</v>
      </c>
      <c r="H342" s="90">
        <v>344.2</v>
      </c>
      <c r="I342" s="92">
        <f t="shared" si="5"/>
        <v>2.6154427363334065E-4</v>
      </c>
      <c r="J342" s="84"/>
      <c r="K342" s="84"/>
    </row>
    <row r="343" spans="1:11" ht="16">
      <c r="A343" s="146">
        <v>42822</v>
      </c>
      <c r="B343" s="87">
        <v>3.07</v>
      </c>
      <c r="G343" s="89">
        <v>42829</v>
      </c>
      <c r="H343" s="90">
        <v>343.95</v>
      </c>
      <c r="I343" s="92">
        <f t="shared" si="5"/>
        <v>-7.263219058686321E-4</v>
      </c>
      <c r="J343" s="84"/>
      <c r="K343" s="84"/>
    </row>
    <row r="344" spans="1:11" ht="16">
      <c r="A344" s="146">
        <v>42823</v>
      </c>
      <c r="B344" s="87">
        <v>3.11</v>
      </c>
      <c r="G344" s="89">
        <v>42830</v>
      </c>
      <c r="H344" s="90">
        <v>345.97</v>
      </c>
      <c r="I344" s="92">
        <f t="shared" si="5"/>
        <v>5.8729466492224436E-3</v>
      </c>
      <c r="J344" s="84"/>
      <c r="K344" s="84"/>
    </row>
    <row r="345" spans="1:11" ht="16">
      <c r="A345" s="146">
        <v>42824</v>
      </c>
      <c r="B345" s="87">
        <v>3.09</v>
      </c>
      <c r="G345" s="89">
        <v>42831</v>
      </c>
      <c r="H345" s="90">
        <v>344.33</v>
      </c>
      <c r="I345" s="92">
        <f t="shared" si="5"/>
        <v>-4.7402954013354703E-3</v>
      </c>
      <c r="J345" s="84"/>
      <c r="K345" s="84"/>
    </row>
    <row r="346" spans="1:11" ht="16">
      <c r="A346" s="146">
        <v>42825</v>
      </c>
      <c r="B346" s="87">
        <v>3.07</v>
      </c>
      <c r="G346" s="89">
        <v>42832</v>
      </c>
      <c r="H346" s="90">
        <v>345.8</v>
      </c>
      <c r="I346" s="92">
        <f t="shared" si="5"/>
        <v>4.2691603984550408E-3</v>
      </c>
      <c r="J346" s="84"/>
      <c r="K346" s="84"/>
    </row>
    <row r="347" spans="1:11" ht="16">
      <c r="A347" s="146">
        <v>42826</v>
      </c>
      <c r="B347" s="240">
        <f>B346</f>
        <v>3.07</v>
      </c>
      <c r="G347" s="89">
        <v>42833</v>
      </c>
      <c r="H347" s="90">
        <v>342.87</v>
      </c>
      <c r="I347" s="92">
        <f t="shared" si="5"/>
        <v>-8.47310584152694E-3</v>
      </c>
      <c r="J347" s="84"/>
      <c r="K347" s="84"/>
    </row>
    <row r="348" spans="1:11" ht="16">
      <c r="A348" s="146">
        <v>42829</v>
      </c>
      <c r="B348" s="87">
        <v>3.08</v>
      </c>
      <c r="G348" s="89">
        <v>42836</v>
      </c>
      <c r="H348" s="90">
        <v>340.05</v>
      </c>
      <c r="I348" s="92">
        <f t="shared" si="5"/>
        <v>-8.2246915740659121E-3</v>
      </c>
      <c r="J348" s="84"/>
      <c r="K348" s="84"/>
    </row>
    <row r="349" spans="1:11" ht="16">
      <c r="A349" s="146">
        <v>42830</v>
      </c>
      <c r="B349" s="87">
        <v>3.05</v>
      </c>
      <c r="G349" s="89">
        <v>42837</v>
      </c>
      <c r="H349" s="90">
        <v>339.76</v>
      </c>
      <c r="I349" s="92">
        <f t="shared" si="5"/>
        <v>-8.5281576238793733E-4</v>
      </c>
      <c r="J349" s="84"/>
      <c r="K349" s="84"/>
    </row>
    <row r="350" spans="1:11" ht="16">
      <c r="A350" s="146">
        <v>42831</v>
      </c>
      <c r="B350" s="87">
        <v>3.03</v>
      </c>
      <c r="G350" s="89">
        <v>42838</v>
      </c>
      <c r="H350" s="90">
        <v>342.53</v>
      </c>
      <c r="I350" s="92">
        <f t="shared" si="5"/>
        <v>8.1528137508828369E-3</v>
      </c>
      <c r="J350" s="84"/>
      <c r="K350" s="84"/>
    </row>
    <row r="351" spans="1:11" ht="16">
      <c r="A351" s="146">
        <v>42832</v>
      </c>
      <c r="B351" s="87">
        <v>3.03</v>
      </c>
      <c r="G351" s="89">
        <v>42839</v>
      </c>
      <c r="H351" s="90">
        <v>343.64</v>
      </c>
      <c r="I351" s="92">
        <f t="shared" si="5"/>
        <v>3.2405920649285491E-3</v>
      </c>
      <c r="J351" s="84"/>
      <c r="K351" s="84"/>
    </row>
    <row r="352" spans="1:11" ht="16">
      <c r="A352" s="146">
        <v>42833</v>
      </c>
      <c r="B352" s="87">
        <v>3.04</v>
      </c>
      <c r="G352" s="89">
        <v>42840</v>
      </c>
      <c r="H352" s="90">
        <v>346.25</v>
      </c>
      <c r="I352" s="92">
        <f t="shared" si="5"/>
        <v>7.5951577231987422E-3</v>
      </c>
      <c r="J352" s="84"/>
      <c r="K352" s="84"/>
    </row>
    <row r="353" spans="1:11" ht="16">
      <c r="A353" s="146">
        <v>42836</v>
      </c>
      <c r="B353" s="87">
        <v>3.04</v>
      </c>
      <c r="G353" s="89">
        <v>42843</v>
      </c>
      <c r="H353" s="90">
        <v>346.6</v>
      </c>
      <c r="I353" s="92">
        <f t="shared" si="5"/>
        <v>1.0108303249098949E-3</v>
      </c>
      <c r="J353" s="84"/>
      <c r="K353" s="84"/>
    </row>
    <row r="354" spans="1:11" ht="16">
      <c r="A354" s="146">
        <v>42837</v>
      </c>
      <c r="B354" s="87">
        <v>3.06</v>
      </c>
      <c r="G354" s="89">
        <v>42844</v>
      </c>
      <c r="H354" s="90">
        <v>346.06</v>
      </c>
      <c r="I354" s="92">
        <f t="shared" si="5"/>
        <v>-1.5579919215233939E-3</v>
      </c>
      <c r="J354" s="84"/>
      <c r="K354" s="84"/>
    </row>
    <row r="355" spans="1:11" ht="16">
      <c r="A355" s="146">
        <v>42838</v>
      </c>
      <c r="B355" s="87">
        <v>3.06</v>
      </c>
      <c r="G355" s="89">
        <v>42845</v>
      </c>
      <c r="H355" s="90">
        <v>344.58</v>
      </c>
      <c r="I355" s="92">
        <f t="shared" si="5"/>
        <v>-4.2767150205167415E-3</v>
      </c>
      <c r="J355" s="84"/>
      <c r="K355" s="84"/>
    </row>
    <row r="356" spans="1:11" ht="16">
      <c r="A356" s="146">
        <v>42839</v>
      </c>
      <c r="B356" s="87">
        <v>3.05</v>
      </c>
      <c r="G356" s="89">
        <v>42846</v>
      </c>
      <c r="H356" s="90">
        <v>345.69</v>
      </c>
      <c r="I356" s="92">
        <f t="shared" si="5"/>
        <v>3.2213129026641418E-3</v>
      </c>
      <c r="J356" s="84"/>
      <c r="K356" s="84"/>
    </row>
    <row r="357" spans="1:11" ht="16">
      <c r="A357" s="146">
        <v>42840</v>
      </c>
      <c r="B357" s="87">
        <v>3.04</v>
      </c>
      <c r="G357" s="89">
        <v>42847</v>
      </c>
      <c r="H357" s="90">
        <v>348.69</v>
      </c>
      <c r="I357" s="92">
        <f t="shared" si="5"/>
        <v>8.678295582747575E-3</v>
      </c>
      <c r="J357" s="84"/>
      <c r="K357" s="84"/>
    </row>
    <row r="358" spans="1:11" ht="16">
      <c r="A358" s="146">
        <v>42843</v>
      </c>
      <c r="B358" s="87">
        <v>3.03</v>
      </c>
      <c r="G358" s="89">
        <v>42850</v>
      </c>
      <c r="H358" s="90">
        <v>350.67</v>
      </c>
      <c r="I358" s="92">
        <f t="shared" si="5"/>
        <v>5.6783962832316348E-3</v>
      </c>
      <c r="J358" s="84"/>
      <c r="K358" s="84"/>
    </row>
    <row r="359" spans="1:11" ht="16">
      <c r="A359" s="146">
        <v>42844</v>
      </c>
      <c r="B359" s="87">
        <v>3.04</v>
      </c>
      <c r="G359" s="89">
        <v>42851</v>
      </c>
      <c r="H359" s="90">
        <v>351.2</v>
      </c>
      <c r="I359" s="92">
        <f t="shared" si="5"/>
        <v>1.5113924772578446E-3</v>
      </c>
      <c r="J359" s="84"/>
      <c r="K359" s="84"/>
    </row>
    <row r="360" spans="1:11" ht="16">
      <c r="A360" s="146">
        <v>42845</v>
      </c>
      <c r="B360" s="87">
        <v>3.03</v>
      </c>
      <c r="G360" s="89">
        <v>42852</v>
      </c>
      <c r="H360" s="90">
        <v>353.08</v>
      </c>
      <c r="I360" s="92">
        <f t="shared" si="5"/>
        <v>5.3530751708428248E-3</v>
      </c>
      <c r="J360" s="84"/>
      <c r="K360" s="84"/>
    </row>
    <row r="361" spans="1:11" ht="16">
      <c r="A361" s="146">
        <v>42846</v>
      </c>
      <c r="B361" s="87">
        <v>3.02</v>
      </c>
      <c r="G361" s="89">
        <v>42853</v>
      </c>
      <c r="H361" s="90">
        <v>353.02</v>
      </c>
      <c r="I361" s="92">
        <f t="shared" si="5"/>
        <v>-1.6993315962388067E-4</v>
      </c>
      <c r="J361" s="84"/>
      <c r="K361" s="84"/>
    </row>
    <row r="362" spans="1:11" ht="16">
      <c r="A362" s="146">
        <v>42847</v>
      </c>
      <c r="B362" s="87">
        <v>3.02</v>
      </c>
      <c r="G362" s="89">
        <v>42854</v>
      </c>
      <c r="H362" s="90">
        <v>349</v>
      </c>
      <c r="I362" s="92">
        <f t="shared" si="5"/>
        <v>-1.1387456801314366E-2</v>
      </c>
      <c r="J362" s="84"/>
      <c r="K362" s="84"/>
    </row>
    <row r="363" spans="1:11" ht="16">
      <c r="A363" s="146">
        <v>42850</v>
      </c>
      <c r="B363" s="87">
        <v>3.03</v>
      </c>
      <c r="G363" s="89">
        <v>42857</v>
      </c>
      <c r="H363" s="90">
        <v>347.17</v>
      </c>
      <c r="I363" s="92">
        <f t="shared" si="5"/>
        <v>-5.2435530085959137E-3</v>
      </c>
      <c r="J363" s="84"/>
      <c r="K363" s="84"/>
    </row>
    <row r="364" spans="1:11" ht="16">
      <c r="A364" s="146">
        <v>42851</v>
      </c>
      <c r="B364" s="87">
        <v>3.04</v>
      </c>
      <c r="G364" s="89">
        <v>42858</v>
      </c>
      <c r="H364" s="90">
        <v>344.99</v>
      </c>
      <c r="I364" s="92">
        <f t="shared" si="5"/>
        <v>-6.2793444133998344E-3</v>
      </c>
      <c r="J364" s="84"/>
      <c r="K364" s="84"/>
    </row>
    <row r="365" spans="1:11" ht="16">
      <c r="A365" s="146">
        <v>42852</v>
      </c>
      <c r="B365" s="87">
        <v>3.05</v>
      </c>
      <c r="G365" s="89">
        <v>42859</v>
      </c>
      <c r="H365" s="90">
        <v>344.66</v>
      </c>
      <c r="I365" s="92">
        <f t="shared" si="5"/>
        <v>-9.5654946520185025E-4</v>
      </c>
      <c r="J365" s="84"/>
      <c r="K365" s="84"/>
    </row>
    <row r="366" spans="1:11" ht="16">
      <c r="A366" s="146">
        <v>42853</v>
      </c>
      <c r="B366" s="87">
        <v>3.05</v>
      </c>
      <c r="G366" s="89">
        <v>42860</v>
      </c>
      <c r="H366" s="90">
        <v>346.65</v>
      </c>
      <c r="I366" s="92">
        <f t="shared" si="5"/>
        <v>5.773806069749865E-3</v>
      </c>
      <c r="J366" s="84"/>
      <c r="K366" s="84"/>
    </row>
    <row r="367" spans="1:11" ht="16">
      <c r="A367" s="146">
        <v>42854</v>
      </c>
      <c r="B367" s="87">
        <v>3.06</v>
      </c>
      <c r="G367" s="89">
        <v>42861</v>
      </c>
      <c r="H367" s="90">
        <v>348.66</v>
      </c>
      <c r="I367" s="92">
        <f t="shared" si="5"/>
        <v>5.7983556901775035E-3</v>
      </c>
      <c r="J367" s="84"/>
      <c r="K367" s="84"/>
    </row>
    <row r="368" spans="1:11" ht="16">
      <c r="A368" s="146">
        <v>42857</v>
      </c>
      <c r="B368" s="87">
        <v>3.05</v>
      </c>
      <c r="G368" s="89">
        <v>42864</v>
      </c>
      <c r="H368" s="90">
        <v>347.55</v>
      </c>
      <c r="I368" s="92">
        <f t="shared" si="5"/>
        <v>-3.1836172775770999E-3</v>
      </c>
      <c r="J368" s="84"/>
      <c r="K368" s="84"/>
    </row>
    <row r="369" spans="1:11" ht="16">
      <c r="A369" s="146">
        <v>42858</v>
      </c>
      <c r="B369" s="87">
        <v>3.04</v>
      </c>
      <c r="G369" s="89">
        <v>42865</v>
      </c>
      <c r="H369" s="90">
        <v>343.59</v>
      </c>
      <c r="I369" s="92">
        <f t="shared" si="5"/>
        <v>-1.1394044022442928E-2</v>
      </c>
      <c r="J369" s="84"/>
      <c r="K369" s="84"/>
    </row>
    <row r="370" spans="1:11" ht="16">
      <c r="A370" s="146">
        <v>42859</v>
      </c>
      <c r="B370" s="87">
        <v>3.03</v>
      </c>
      <c r="G370" s="89">
        <v>42866</v>
      </c>
      <c r="H370" s="90">
        <v>340.16</v>
      </c>
      <c r="I370" s="92">
        <f t="shared" si="5"/>
        <v>-9.9828283710234889E-3</v>
      </c>
      <c r="J370" s="84"/>
      <c r="K370" s="84"/>
    </row>
    <row r="371" spans="1:11" ht="16">
      <c r="A371" s="146">
        <v>42860</v>
      </c>
      <c r="B371" s="87">
        <v>3.01</v>
      </c>
      <c r="G371" s="89">
        <v>42867</v>
      </c>
      <c r="H371" s="90">
        <v>335.04</v>
      </c>
      <c r="I371" s="92">
        <f t="shared" si="5"/>
        <v>-1.5051740357478804E-2</v>
      </c>
      <c r="J371" s="84"/>
      <c r="K371" s="84"/>
    </row>
    <row r="372" spans="1:11" ht="16">
      <c r="A372" s="146">
        <v>42861</v>
      </c>
      <c r="B372" s="87">
        <v>2.99</v>
      </c>
      <c r="G372" s="89">
        <v>42868</v>
      </c>
      <c r="H372" s="90">
        <v>338.29</v>
      </c>
      <c r="I372" s="92">
        <f t="shared" si="5"/>
        <v>9.7003342884431909E-3</v>
      </c>
      <c r="J372" s="84"/>
      <c r="K372" s="84"/>
    </row>
    <row r="373" spans="1:11" ht="16">
      <c r="A373" s="146">
        <v>42864</v>
      </c>
      <c r="B373" s="87">
        <v>2.98</v>
      </c>
      <c r="G373" s="89">
        <v>42871</v>
      </c>
      <c r="H373" s="90">
        <v>339.63</v>
      </c>
      <c r="I373" s="92">
        <f t="shared" si="5"/>
        <v>3.9610984658133841E-3</v>
      </c>
      <c r="J373" s="84"/>
      <c r="K373" s="84"/>
    </row>
    <row r="374" spans="1:11" ht="16">
      <c r="A374" s="146">
        <v>42865</v>
      </c>
      <c r="B374" s="87">
        <v>3</v>
      </c>
      <c r="G374" s="89">
        <v>42872</v>
      </c>
      <c r="H374" s="90">
        <v>345.37</v>
      </c>
      <c r="I374" s="92">
        <f t="shared" si="5"/>
        <v>1.690074492830429E-2</v>
      </c>
      <c r="J374" s="84"/>
      <c r="K374" s="84"/>
    </row>
    <row r="375" spans="1:11" ht="16">
      <c r="A375" s="146">
        <v>42866</v>
      </c>
      <c r="B375" s="87">
        <v>3.02</v>
      </c>
      <c r="G375" s="89">
        <v>42873</v>
      </c>
      <c r="H375" s="90">
        <v>343.94</v>
      </c>
      <c r="I375" s="92">
        <f t="shared" si="5"/>
        <v>-4.1404870139271077E-3</v>
      </c>
      <c r="J375" s="84"/>
      <c r="K375" s="84"/>
    </row>
    <row r="376" spans="1:11" ht="16">
      <c r="A376" s="146">
        <v>42867</v>
      </c>
      <c r="B376" s="87">
        <v>3.04</v>
      </c>
      <c r="G376" s="89">
        <v>42874</v>
      </c>
      <c r="H376" s="90">
        <v>344.45</v>
      </c>
      <c r="I376" s="92">
        <f t="shared" si="5"/>
        <v>1.4828167703668793E-3</v>
      </c>
      <c r="J376" s="84"/>
      <c r="K376" s="84"/>
    </row>
    <row r="377" spans="1:11" ht="16">
      <c r="A377" s="146">
        <v>42868</v>
      </c>
      <c r="B377" s="87">
        <v>3.01</v>
      </c>
      <c r="G377" s="89">
        <v>42875</v>
      </c>
      <c r="H377" s="90">
        <v>344.78</v>
      </c>
      <c r="I377" s="92">
        <f t="shared" si="5"/>
        <v>9.5804906372465304E-4</v>
      </c>
      <c r="J377" s="84"/>
      <c r="K377" s="84"/>
    </row>
    <row r="378" spans="1:11" ht="16">
      <c r="A378" s="146">
        <v>42871</v>
      </c>
      <c r="B378" s="87">
        <v>3</v>
      </c>
      <c r="G378" s="89">
        <v>42878</v>
      </c>
      <c r="H378" s="90">
        <v>344.65</v>
      </c>
      <c r="I378" s="92">
        <f t="shared" si="5"/>
        <v>-3.7705203318061375E-4</v>
      </c>
      <c r="J378" s="84"/>
      <c r="K378" s="84"/>
    </row>
    <row r="379" spans="1:11" ht="16">
      <c r="A379" s="146">
        <v>42872</v>
      </c>
      <c r="B379" s="87">
        <v>3</v>
      </c>
      <c r="G379" s="89">
        <v>42879</v>
      </c>
      <c r="H379" s="90">
        <v>348.92</v>
      </c>
      <c r="I379" s="92">
        <f t="shared" si="5"/>
        <v>1.2389380530973604E-2</v>
      </c>
      <c r="J379" s="84"/>
      <c r="K379" s="84"/>
    </row>
    <row r="380" spans="1:11" ht="16">
      <c r="A380" s="146">
        <v>42873</v>
      </c>
      <c r="B380" s="87">
        <v>3.02</v>
      </c>
      <c r="G380" s="89">
        <v>42880</v>
      </c>
      <c r="H380" s="90">
        <v>350.79</v>
      </c>
      <c r="I380" s="92">
        <f t="shared" si="5"/>
        <v>5.3593947036569833E-3</v>
      </c>
      <c r="J380" s="84"/>
      <c r="K380" s="84"/>
    </row>
    <row r="381" spans="1:11" ht="16">
      <c r="A381" s="146">
        <v>42874</v>
      </c>
      <c r="B381" s="87">
        <v>3.01</v>
      </c>
      <c r="G381" s="89">
        <v>42881</v>
      </c>
      <c r="H381" s="90">
        <v>352.03</v>
      </c>
      <c r="I381" s="92">
        <f t="shared" si="5"/>
        <v>3.5348784172866132E-3</v>
      </c>
      <c r="J381" s="84"/>
      <c r="K381" s="84"/>
    </row>
    <row r="382" spans="1:11" ht="16">
      <c r="A382" s="146">
        <v>42875</v>
      </c>
      <c r="B382" s="87">
        <v>3</v>
      </c>
      <c r="G382" s="89">
        <v>42882</v>
      </c>
      <c r="H382" s="90">
        <v>353.55</v>
      </c>
      <c r="I382" s="92">
        <f t="shared" si="5"/>
        <v>4.31781382268559E-3</v>
      </c>
      <c r="J382" s="84"/>
      <c r="K382" s="84"/>
    </row>
    <row r="383" spans="1:11" ht="16">
      <c r="A383" s="146">
        <v>42878</v>
      </c>
      <c r="B383" s="87">
        <v>2.99</v>
      </c>
      <c r="G383" s="89">
        <v>42885</v>
      </c>
      <c r="H383" s="90">
        <v>357.07</v>
      </c>
      <c r="I383" s="92">
        <f t="shared" si="5"/>
        <v>9.9561589591288246E-3</v>
      </c>
      <c r="J383" s="84"/>
      <c r="K383" s="84"/>
    </row>
    <row r="384" spans="1:11" ht="16">
      <c r="A384" s="146">
        <v>42879</v>
      </c>
      <c r="B384" s="87">
        <v>2.96</v>
      </c>
      <c r="G384" s="89">
        <v>42886</v>
      </c>
      <c r="H384" s="90">
        <v>360.55</v>
      </c>
      <c r="I384" s="92">
        <f t="shared" si="5"/>
        <v>9.7459881815891158E-3</v>
      </c>
      <c r="J384" s="84"/>
      <c r="K384" s="84"/>
    </row>
    <row r="385" spans="1:11" ht="16">
      <c r="A385" s="146">
        <v>42880</v>
      </c>
      <c r="B385" s="87">
        <v>2.94</v>
      </c>
      <c r="G385" s="89">
        <v>42887</v>
      </c>
      <c r="H385" s="90">
        <v>360.82</v>
      </c>
      <c r="I385" s="92">
        <f t="shared" ref="I385:I448" si="6">H385/H384-1</f>
        <v>7.4885591457496403E-4</v>
      </c>
      <c r="J385" s="84"/>
      <c r="K385" s="84"/>
    </row>
    <row r="386" spans="1:11" ht="16">
      <c r="A386" s="146">
        <v>42881</v>
      </c>
      <c r="B386" s="87">
        <v>2.95</v>
      </c>
      <c r="G386" s="89">
        <v>42888</v>
      </c>
      <c r="H386" s="90">
        <v>359.36</v>
      </c>
      <c r="I386" s="92">
        <f t="shared" si="6"/>
        <v>-4.0463388947397094E-3</v>
      </c>
      <c r="J386" s="84"/>
      <c r="K386" s="84"/>
    </row>
    <row r="387" spans="1:11" ht="16">
      <c r="A387" s="146">
        <v>42882</v>
      </c>
      <c r="B387" s="87">
        <v>2.94</v>
      </c>
      <c r="G387" s="89">
        <v>42889</v>
      </c>
      <c r="H387" s="90">
        <v>359.35</v>
      </c>
      <c r="I387" s="92">
        <f t="shared" si="6"/>
        <v>-2.7827248441636421E-5</v>
      </c>
      <c r="J387" s="84"/>
      <c r="K387" s="84"/>
    </row>
    <row r="388" spans="1:11" ht="16">
      <c r="A388" s="146">
        <v>42885</v>
      </c>
      <c r="B388" s="87">
        <v>2.97</v>
      </c>
      <c r="G388" s="89">
        <v>42892</v>
      </c>
      <c r="H388" s="90">
        <v>359</v>
      </c>
      <c r="I388" s="92">
        <f t="shared" si="6"/>
        <v>-9.7398079866428677E-4</v>
      </c>
      <c r="J388" s="84"/>
      <c r="K388" s="84"/>
    </row>
    <row r="389" spans="1:11" ht="16">
      <c r="A389" s="146">
        <v>42886</v>
      </c>
      <c r="B389" s="87">
        <v>2.97</v>
      </c>
      <c r="G389" s="89">
        <v>42893</v>
      </c>
      <c r="H389" s="90">
        <v>358.41</v>
      </c>
      <c r="I389" s="92">
        <f t="shared" si="6"/>
        <v>-1.6434540389971275E-3</v>
      </c>
      <c r="J389" s="84"/>
      <c r="K389" s="84"/>
    </row>
    <row r="390" spans="1:11" ht="16">
      <c r="A390" s="146">
        <v>42887</v>
      </c>
      <c r="B390" s="87">
        <v>2.96</v>
      </c>
      <c r="G390" s="89">
        <v>42894</v>
      </c>
      <c r="H390" s="90">
        <v>357.69</v>
      </c>
      <c r="I390" s="92">
        <f t="shared" si="6"/>
        <v>-2.0088725202980218E-3</v>
      </c>
      <c r="J390" s="84"/>
      <c r="K390" s="84"/>
    </row>
    <row r="391" spans="1:11" ht="16">
      <c r="A391" s="146">
        <v>42888</v>
      </c>
      <c r="B391" s="87">
        <v>2.97</v>
      </c>
      <c r="G391" s="89">
        <v>42895</v>
      </c>
      <c r="H391" s="90">
        <v>359.54</v>
      </c>
      <c r="I391" s="92">
        <f t="shared" si="6"/>
        <v>5.1720763789875335E-3</v>
      </c>
      <c r="J391" s="84"/>
      <c r="K391" s="84"/>
    </row>
    <row r="392" spans="1:11" ht="16">
      <c r="A392" s="146">
        <v>42889</v>
      </c>
      <c r="B392" s="87">
        <v>2.97</v>
      </c>
      <c r="G392" s="89">
        <v>42896</v>
      </c>
      <c r="H392" s="90">
        <v>359.7</v>
      </c>
      <c r="I392" s="92">
        <f t="shared" si="6"/>
        <v>4.4501307225885967E-4</v>
      </c>
      <c r="J392" s="84"/>
      <c r="K392" s="84"/>
    </row>
    <row r="393" spans="1:11" ht="16">
      <c r="A393" s="146">
        <v>42892</v>
      </c>
      <c r="B393" s="87">
        <v>2.95</v>
      </c>
      <c r="G393" s="89">
        <v>42899</v>
      </c>
      <c r="H393" s="90">
        <v>360.42</v>
      </c>
      <c r="I393" s="92">
        <f t="shared" si="6"/>
        <v>2.0016680567140899E-3</v>
      </c>
      <c r="J393" s="84"/>
      <c r="K393" s="84"/>
    </row>
    <row r="394" spans="1:11" ht="16">
      <c r="A394" s="146">
        <v>42893</v>
      </c>
      <c r="B394" s="87">
        <v>2.92</v>
      </c>
      <c r="G394" s="89">
        <v>42900</v>
      </c>
      <c r="H394" s="90">
        <v>358.56</v>
      </c>
      <c r="I394" s="92">
        <f t="shared" si="6"/>
        <v>-5.1606459131013915E-3</v>
      </c>
      <c r="J394" s="84"/>
      <c r="K394" s="84"/>
    </row>
    <row r="395" spans="1:11" ht="16">
      <c r="A395" s="146">
        <v>42894</v>
      </c>
      <c r="B395" s="87">
        <v>2.9</v>
      </c>
      <c r="G395" s="89">
        <v>42901</v>
      </c>
      <c r="H395" s="90">
        <v>355.87</v>
      </c>
      <c r="I395" s="92">
        <f t="shared" si="6"/>
        <v>-7.5022311468094793E-3</v>
      </c>
      <c r="J395" s="84"/>
      <c r="K395" s="84"/>
    </row>
    <row r="396" spans="1:11" ht="16">
      <c r="A396" s="146">
        <v>42895</v>
      </c>
      <c r="B396" s="87">
        <v>2.89</v>
      </c>
      <c r="G396" s="89">
        <v>42902</v>
      </c>
      <c r="H396" s="90">
        <v>354.57</v>
      </c>
      <c r="I396" s="92">
        <f t="shared" si="6"/>
        <v>-3.6530193610025963E-3</v>
      </c>
      <c r="J396" s="84"/>
      <c r="K396" s="84"/>
    </row>
    <row r="397" spans="1:11" ht="16">
      <c r="A397" s="146">
        <v>42896</v>
      </c>
      <c r="B397" s="87">
        <v>2.87</v>
      </c>
      <c r="G397" s="89">
        <v>42903</v>
      </c>
      <c r="H397" s="90">
        <v>354.09</v>
      </c>
      <c r="I397" s="92">
        <f t="shared" si="6"/>
        <v>-1.3537524325240025E-3</v>
      </c>
      <c r="J397" s="84"/>
      <c r="K397" s="84"/>
    </row>
    <row r="398" spans="1:11" ht="16">
      <c r="A398" s="146">
        <v>42899</v>
      </c>
      <c r="B398" s="87">
        <v>2.88</v>
      </c>
      <c r="G398" s="89">
        <v>42906</v>
      </c>
      <c r="H398" s="90">
        <v>351.85</v>
      </c>
      <c r="I398" s="92">
        <f t="shared" si="6"/>
        <v>-6.3260752915923479E-3</v>
      </c>
      <c r="J398" s="84"/>
      <c r="K398" s="84"/>
    </row>
    <row r="399" spans="1:11" ht="16">
      <c r="A399" s="146">
        <v>42900</v>
      </c>
      <c r="B399" s="87">
        <v>2.89</v>
      </c>
      <c r="G399" s="89">
        <v>42907</v>
      </c>
      <c r="H399" s="90">
        <v>350.98</v>
      </c>
      <c r="I399" s="92">
        <f t="shared" si="6"/>
        <v>-2.4726445928663354E-3</v>
      </c>
      <c r="J399" s="84"/>
      <c r="K399" s="84"/>
    </row>
    <row r="400" spans="1:11" ht="16">
      <c r="A400" s="146">
        <v>42901</v>
      </c>
      <c r="B400" s="87">
        <v>2.9</v>
      </c>
      <c r="G400" s="89">
        <v>42908</v>
      </c>
      <c r="H400" s="90">
        <v>354.53</v>
      </c>
      <c r="I400" s="92">
        <f t="shared" si="6"/>
        <v>1.0114536440822608E-2</v>
      </c>
      <c r="J400" s="84"/>
      <c r="K400" s="84"/>
    </row>
    <row r="401" spans="1:11" ht="16">
      <c r="A401" s="146">
        <v>42902</v>
      </c>
      <c r="B401" s="87">
        <v>2.91</v>
      </c>
      <c r="G401" s="89">
        <v>42909</v>
      </c>
      <c r="H401" s="90">
        <v>356.13</v>
      </c>
      <c r="I401" s="92">
        <f t="shared" si="6"/>
        <v>4.5130172340845931E-3</v>
      </c>
      <c r="J401" s="84"/>
      <c r="K401" s="84"/>
    </row>
    <row r="402" spans="1:11" ht="16">
      <c r="A402" s="146">
        <v>42903</v>
      </c>
      <c r="B402" s="87">
        <v>2.89</v>
      </c>
      <c r="G402" s="89">
        <v>42910</v>
      </c>
      <c r="H402" s="90">
        <v>359.35</v>
      </c>
      <c r="I402" s="92">
        <f t="shared" si="6"/>
        <v>9.0416420969872124E-3</v>
      </c>
      <c r="J402" s="84"/>
      <c r="K402" s="84"/>
    </row>
    <row r="403" spans="1:11" ht="16">
      <c r="A403" s="146">
        <v>42906</v>
      </c>
      <c r="B403" s="87">
        <v>2.89</v>
      </c>
      <c r="G403" s="89">
        <v>42913</v>
      </c>
      <c r="H403" s="90">
        <v>359.43</v>
      </c>
      <c r="I403" s="92">
        <f t="shared" si="6"/>
        <v>2.226241825518116E-4</v>
      </c>
      <c r="J403" s="84"/>
      <c r="K403" s="84"/>
    </row>
    <row r="404" spans="1:11" ht="16">
      <c r="A404" s="146">
        <v>42907</v>
      </c>
      <c r="B404" s="87">
        <v>2.91</v>
      </c>
      <c r="G404" s="89">
        <v>42914</v>
      </c>
      <c r="H404" s="90">
        <v>358.53</v>
      </c>
      <c r="I404" s="92">
        <f t="shared" si="6"/>
        <v>-2.5039646106336244E-3</v>
      </c>
      <c r="J404" s="84"/>
      <c r="K404" s="84"/>
    </row>
    <row r="405" spans="1:11" ht="16">
      <c r="A405" s="146">
        <v>42908</v>
      </c>
      <c r="B405" s="87">
        <v>2.9</v>
      </c>
      <c r="G405" s="89">
        <v>42915</v>
      </c>
      <c r="H405" s="90">
        <v>357.51</v>
      </c>
      <c r="I405" s="92">
        <f t="shared" si="6"/>
        <v>-2.8449502133711668E-3</v>
      </c>
      <c r="J405" s="84"/>
      <c r="K405" s="84"/>
    </row>
    <row r="406" spans="1:11" ht="16">
      <c r="A406" s="146">
        <v>42909</v>
      </c>
      <c r="B406" s="87">
        <v>2.9</v>
      </c>
      <c r="G406" s="89">
        <v>42916</v>
      </c>
      <c r="H406" s="90">
        <v>355.92</v>
      </c>
      <c r="I406" s="92">
        <f t="shared" si="6"/>
        <v>-4.4474280439706915E-3</v>
      </c>
      <c r="J406" s="84"/>
      <c r="K406" s="84"/>
    </row>
    <row r="407" spans="1:11" ht="16">
      <c r="A407" s="146">
        <v>42910</v>
      </c>
      <c r="B407" s="87">
        <v>2.9</v>
      </c>
      <c r="G407" s="89">
        <v>42917</v>
      </c>
      <c r="H407" s="90">
        <v>353.12</v>
      </c>
      <c r="I407" s="92">
        <f t="shared" si="6"/>
        <v>-7.8669363902000855E-3</v>
      </c>
      <c r="J407" s="84"/>
      <c r="K407" s="84"/>
    </row>
    <row r="408" spans="1:11" ht="16">
      <c r="A408" s="146">
        <v>42913</v>
      </c>
      <c r="B408" s="87">
        <v>2.9</v>
      </c>
      <c r="G408" s="89">
        <v>42920</v>
      </c>
      <c r="H408" s="90">
        <v>353.41</v>
      </c>
      <c r="I408" s="92">
        <f t="shared" si="6"/>
        <v>8.2125056637982752E-4</v>
      </c>
      <c r="J408" s="84"/>
      <c r="K408" s="84"/>
    </row>
    <row r="409" spans="1:11" ht="16">
      <c r="A409" s="146">
        <v>42914</v>
      </c>
      <c r="B409" s="87">
        <v>2.9</v>
      </c>
      <c r="G409" s="89">
        <v>42921</v>
      </c>
      <c r="H409" s="90">
        <v>350.16</v>
      </c>
      <c r="I409" s="92">
        <f t="shared" si="6"/>
        <v>-9.1961178234911678E-3</v>
      </c>
      <c r="J409" s="84"/>
      <c r="K409" s="84"/>
    </row>
    <row r="410" spans="1:11" ht="16">
      <c r="A410" s="146">
        <v>42915</v>
      </c>
      <c r="B410" s="87">
        <v>2.89</v>
      </c>
      <c r="G410" s="89">
        <v>42922</v>
      </c>
      <c r="H410" s="90">
        <v>349.27</v>
      </c>
      <c r="I410" s="92">
        <f t="shared" si="6"/>
        <v>-2.5416952250401081E-3</v>
      </c>
      <c r="J410" s="84"/>
      <c r="K410" s="84"/>
    </row>
    <row r="411" spans="1:11" ht="16">
      <c r="A411" s="146">
        <v>42916</v>
      </c>
      <c r="B411" s="87">
        <v>2.9</v>
      </c>
      <c r="G411" s="89">
        <v>42923</v>
      </c>
      <c r="H411" s="90">
        <v>343.35</v>
      </c>
      <c r="I411" s="92">
        <f t="shared" si="6"/>
        <v>-1.6949637816016105E-2</v>
      </c>
      <c r="J411" s="84"/>
      <c r="K411" s="84"/>
    </row>
    <row r="412" spans="1:11" ht="16">
      <c r="A412" s="146">
        <v>42917</v>
      </c>
      <c r="B412" s="87">
        <v>2.89</v>
      </c>
      <c r="G412" s="89">
        <v>42924</v>
      </c>
      <c r="H412" s="90">
        <v>345.29</v>
      </c>
      <c r="I412" s="92">
        <f t="shared" si="6"/>
        <v>5.6502111547982459E-3</v>
      </c>
      <c r="J412" s="84"/>
      <c r="K412" s="84"/>
    </row>
    <row r="413" spans="1:11" ht="16">
      <c r="A413" s="146">
        <v>42920</v>
      </c>
      <c r="B413" s="87">
        <v>2.89</v>
      </c>
      <c r="G413" s="89">
        <v>42927</v>
      </c>
      <c r="H413" s="90">
        <v>347.23</v>
      </c>
      <c r="I413" s="92">
        <f t="shared" si="6"/>
        <v>5.6184656375799502E-3</v>
      </c>
      <c r="J413" s="84"/>
      <c r="K413" s="84"/>
    </row>
    <row r="414" spans="1:11" ht="16">
      <c r="A414" s="146">
        <v>42921</v>
      </c>
      <c r="B414" s="87">
        <v>2.87</v>
      </c>
      <c r="G414" s="89">
        <v>42928</v>
      </c>
      <c r="H414" s="90">
        <v>349.69</v>
      </c>
      <c r="I414" s="92">
        <f t="shared" si="6"/>
        <v>7.0846413040346334E-3</v>
      </c>
      <c r="J414" s="84"/>
      <c r="K414" s="84"/>
    </row>
    <row r="415" spans="1:11" ht="16">
      <c r="A415" s="146">
        <v>42922</v>
      </c>
      <c r="B415" s="87">
        <v>2.85</v>
      </c>
      <c r="G415" s="89">
        <v>42929</v>
      </c>
      <c r="H415" s="90">
        <v>349.57</v>
      </c>
      <c r="I415" s="92">
        <f t="shared" si="6"/>
        <v>-3.4316108553289482E-4</v>
      </c>
      <c r="J415" s="84"/>
      <c r="K415" s="84"/>
    </row>
    <row r="416" spans="1:11" ht="16">
      <c r="A416" s="146">
        <v>42923</v>
      </c>
      <c r="B416" s="87">
        <v>2.84</v>
      </c>
      <c r="G416" s="89">
        <v>42930</v>
      </c>
      <c r="H416" s="90">
        <v>351.76</v>
      </c>
      <c r="I416" s="92">
        <f t="shared" si="6"/>
        <v>6.264839660153898E-3</v>
      </c>
      <c r="J416" s="84"/>
      <c r="K416" s="84"/>
    </row>
    <row r="417" spans="1:11" ht="16">
      <c r="A417" s="146">
        <v>42924</v>
      </c>
      <c r="B417" s="87">
        <v>2.86</v>
      </c>
      <c r="G417" s="89">
        <v>42931</v>
      </c>
      <c r="H417" s="90">
        <v>349.79</v>
      </c>
      <c r="I417" s="92">
        <f t="shared" si="6"/>
        <v>-5.600409370024928E-3</v>
      </c>
      <c r="J417" s="84"/>
      <c r="K417" s="84"/>
    </row>
    <row r="418" spans="1:11" ht="16">
      <c r="A418" s="146">
        <v>42927</v>
      </c>
      <c r="B418" s="87">
        <v>2.86</v>
      </c>
      <c r="G418" s="89">
        <v>42934</v>
      </c>
      <c r="H418" s="90">
        <v>344.53</v>
      </c>
      <c r="I418" s="92">
        <f t="shared" si="6"/>
        <v>-1.5037593984962516E-2</v>
      </c>
      <c r="J418" s="84"/>
      <c r="K418" s="84"/>
    </row>
    <row r="419" spans="1:11" ht="16">
      <c r="A419" s="146">
        <v>42928</v>
      </c>
      <c r="B419" s="87">
        <v>2.88</v>
      </c>
      <c r="G419" s="89">
        <v>42935</v>
      </c>
      <c r="H419" s="90">
        <v>342.95</v>
      </c>
      <c r="I419" s="92">
        <f t="shared" si="6"/>
        <v>-4.5859576814790692E-3</v>
      </c>
      <c r="J419" s="84"/>
      <c r="K419" s="84"/>
    </row>
    <row r="420" spans="1:11" ht="16">
      <c r="A420" s="146">
        <v>42929</v>
      </c>
      <c r="B420" s="87">
        <v>2.87</v>
      </c>
      <c r="G420" s="89">
        <v>42936</v>
      </c>
      <c r="H420" s="90">
        <v>343.74</v>
      </c>
      <c r="I420" s="92">
        <f t="shared" si="6"/>
        <v>2.3035427904942729E-3</v>
      </c>
      <c r="J420" s="84"/>
      <c r="K420" s="84"/>
    </row>
    <row r="421" spans="1:11" ht="16">
      <c r="A421" s="146">
        <v>42930</v>
      </c>
      <c r="B421" s="87">
        <v>2.84</v>
      </c>
      <c r="G421" s="89">
        <v>42937</v>
      </c>
      <c r="H421" s="90">
        <v>347.03</v>
      </c>
      <c r="I421" s="92">
        <f t="shared" si="6"/>
        <v>9.5711875254551604E-3</v>
      </c>
      <c r="J421" s="84"/>
      <c r="K421" s="84"/>
    </row>
    <row r="422" spans="1:11" ht="16">
      <c r="A422" s="146">
        <v>42931</v>
      </c>
      <c r="B422" s="87">
        <v>2.85</v>
      </c>
      <c r="G422" s="89">
        <v>42938</v>
      </c>
      <c r="H422" s="90">
        <v>342.79</v>
      </c>
      <c r="I422" s="92">
        <f t="shared" si="6"/>
        <v>-1.2217963864795456E-2</v>
      </c>
      <c r="J422" s="84"/>
      <c r="K422" s="84"/>
    </row>
    <row r="423" spans="1:11" ht="16">
      <c r="A423" s="146">
        <v>42934</v>
      </c>
      <c r="B423" s="87">
        <v>2.83</v>
      </c>
      <c r="G423" s="89">
        <v>42941</v>
      </c>
      <c r="H423" s="90">
        <v>334.85</v>
      </c>
      <c r="I423" s="92">
        <f t="shared" si="6"/>
        <v>-2.316286939525658E-2</v>
      </c>
      <c r="J423" s="84"/>
      <c r="K423" s="84"/>
    </row>
    <row r="424" spans="1:11" ht="16">
      <c r="A424" s="146">
        <v>42935</v>
      </c>
      <c r="B424" s="87">
        <v>2.82</v>
      </c>
      <c r="G424" s="89">
        <v>42942</v>
      </c>
      <c r="H424" s="90">
        <v>327.16000000000003</v>
      </c>
      <c r="I424" s="92">
        <f t="shared" si="6"/>
        <v>-2.2965506943407488E-2</v>
      </c>
      <c r="J424" s="84"/>
      <c r="K424" s="84"/>
    </row>
    <row r="425" spans="1:11" ht="16">
      <c r="A425" s="146">
        <v>42936</v>
      </c>
      <c r="B425" s="87">
        <v>2.82</v>
      </c>
      <c r="G425" s="89">
        <v>42943</v>
      </c>
      <c r="H425" s="90">
        <v>331.47</v>
      </c>
      <c r="I425" s="92">
        <f t="shared" si="6"/>
        <v>1.3173982149407015E-2</v>
      </c>
      <c r="J425" s="84"/>
      <c r="K425" s="84"/>
    </row>
    <row r="426" spans="1:11" ht="16">
      <c r="A426" s="146">
        <v>42937</v>
      </c>
      <c r="B426" s="87">
        <v>2.82</v>
      </c>
      <c r="G426" s="89">
        <v>42944</v>
      </c>
      <c r="H426" s="90">
        <v>338.17</v>
      </c>
      <c r="I426" s="92">
        <f t="shared" si="6"/>
        <v>2.0212990617552107E-2</v>
      </c>
      <c r="J426" s="84"/>
      <c r="K426" s="84"/>
    </row>
    <row r="427" spans="1:11" ht="16">
      <c r="A427" s="146">
        <v>42938</v>
      </c>
      <c r="B427" s="87">
        <v>2.82</v>
      </c>
      <c r="G427" s="89">
        <v>42945</v>
      </c>
      <c r="H427" s="90">
        <v>334.62</v>
      </c>
      <c r="I427" s="92">
        <f t="shared" si="6"/>
        <v>-1.0497678682319544E-2</v>
      </c>
      <c r="J427" s="84"/>
      <c r="K427" s="84"/>
    </row>
    <row r="428" spans="1:11" ht="16">
      <c r="A428" s="146">
        <v>42941</v>
      </c>
      <c r="B428" s="87">
        <v>2.81</v>
      </c>
      <c r="G428" s="89">
        <v>42948</v>
      </c>
      <c r="H428" s="90">
        <v>338.84</v>
      </c>
      <c r="I428" s="92">
        <f t="shared" si="6"/>
        <v>1.2611320303627993E-2</v>
      </c>
      <c r="J428" s="84"/>
      <c r="K428" s="84"/>
    </row>
    <row r="429" spans="1:11" ht="16">
      <c r="A429" s="146">
        <v>42942</v>
      </c>
      <c r="B429" s="87">
        <v>2.82</v>
      </c>
      <c r="G429" s="89">
        <v>42949</v>
      </c>
      <c r="H429" s="90">
        <v>338.05</v>
      </c>
      <c r="I429" s="92">
        <f t="shared" si="6"/>
        <v>-2.3314838861998588E-3</v>
      </c>
      <c r="J429" s="84"/>
      <c r="K429" s="84"/>
    </row>
    <row r="430" spans="1:11" ht="16">
      <c r="A430" s="146">
        <v>42943</v>
      </c>
      <c r="B430" s="87">
        <v>2.83</v>
      </c>
      <c r="G430" s="89">
        <v>42950</v>
      </c>
      <c r="H430" s="90">
        <v>340.17</v>
      </c>
      <c r="I430" s="92">
        <f t="shared" si="6"/>
        <v>6.2712616476852112E-3</v>
      </c>
      <c r="J430" s="84"/>
      <c r="K430" s="84"/>
    </row>
    <row r="431" spans="1:11" ht="16">
      <c r="A431" s="146">
        <v>42944</v>
      </c>
      <c r="B431" s="87">
        <v>2.82</v>
      </c>
      <c r="G431" s="89">
        <v>42951</v>
      </c>
      <c r="H431" s="90">
        <v>339.06</v>
      </c>
      <c r="I431" s="92">
        <f t="shared" si="6"/>
        <v>-3.2630743451803612E-3</v>
      </c>
      <c r="J431" s="84"/>
      <c r="K431" s="84"/>
    </row>
    <row r="432" spans="1:11" ht="16">
      <c r="A432" s="146">
        <v>42945</v>
      </c>
      <c r="B432" s="87">
        <v>2.82</v>
      </c>
      <c r="G432" s="89">
        <v>42952</v>
      </c>
      <c r="H432" s="90">
        <v>336.9</v>
      </c>
      <c r="I432" s="92">
        <f t="shared" si="6"/>
        <v>-6.3705538842683263E-3</v>
      </c>
      <c r="J432" s="84"/>
      <c r="K432" s="84"/>
    </row>
    <row r="433" spans="1:11" ht="16">
      <c r="A433" s="146">
        <v>42946</v>
      </c>
      <c r="B433" s="87">
        <v>2.84</v>
      </c>
      <c r="G433" s="89">
        <v>42955</v>
      </c>
      <c r="H433" s="90">
        <v>337.54</v>
      </c>
      <c r="I433" s="92">
        <f t="shared" si="6"/>
        <v>1.8996734936183035E-3</v>
      </c>
      <c r="J433" s="84"/>
      <c r="K433" s="84"/>
    </row>
    <row r="434" spans="1:11" ht="16">
      <c r="A434" s="146">
        <v>42948</v>
      </c>
      <c r="B434" s="87">
        <v>2.82</v>
      </c>
      <c r="G434" s="89">
        <v>42956</v>
      </c>
      <c r="H434" s="90">
        <v>339.36</v>
      </c>
      <c r="I434" s="92">
        <f t="shared" si="6"/>
        <v>5.3919535462463308E-3</v>
      </c>
      <c r="J434" s="84"/>
      <c r="K434" s="84"/>
    </row>
    <row r="435" spans="1:11" ht="16">
      <c r="A435" s="146">
        <v>42949</v>
      </c>
      <c r="B435" s="87">
        <v>2.82</v>
      </c>
      <c r="G435" s="89">
        <v>42957</v>
      </c>
      <c r="H435" s="90">
        <v>339.28</v>
      </c>
      <c r="I435" s="92">
        <f t="shared" si="6"/>
        <v>-2.357378595003734E-4</v>
      </c>
      <c r="J435" s="84"/>
      <c r="K435" s="84"/>
    </row>
    <row r="436" spans="1:11" ht="16">
      <c r="A436" s="146">
        <v>42950</v>
      </c>
      <c r="B436" s="87">
        <v>2.81</v>
      </c>
      <c r="G436" s="89">
        <v>42958</v>
      </c>
      <c r="H436" s="90">
        <v>338.21</v>
      </c>
      <c r="I436" s="92">
        <f t="shared" si="6"/>
        <v>-3.1537373261023571E-3</v>
      </c>
      <c r="J436" s="84"/>
      <c r="K436" s="84"/>
    </row>
    <row r="437" spans="1:11" ht="16">
      <c r="A437" s="146">
        <v>42951</v>
      </c>
      <c r="B437" s="87">
        <v>2.82</v>
      </c>
      <c r="G437" s="89">
        <v>42959</v>
      </c>
      <c r="H437" s="90">
        <v>336.45</v>
      </c>
      <c r="I437" s="92">
        <f t="shared" si="6"/>
        <v>-5.2038674196505097E-3</v>
      </c>
      <c r="J437" s="84"/>
      <c r="K437" s="84"/>
    </row>
    <row r="438" spans="1:11" ht="16">
      <c r="A438" s="146">
        <v>42952</v>
      </c>
      <c r="B438" s="87">
        <v>2.84</v>
      </c>
      <c r="G438" s="89">
        <v>42962</v>
      </c>
      <c r="H438" s="90">
        <v>333.54</v>
      </c>
      <c r="I438" s="92">
        <f t="shared" si="6"/>
        <v>-8.6491306286222702E-3</v>
      </c>
      <c r="J438" s="84"/>
      <c r="K438" s="84"/>
    </row>
    <row r="439" spans="1:11" ht="16">
      <c r="A439" s="146">
        <v>42955</v>
      </c>
      <c r="B439" s="87">
        <v>2.86</v>
      </c>
      <c r="G439" s="89">
        <v>42963</v>
      </c>
      <c r="H439" s="90">
        <v>329.49</v>
      </c>
      <c r="I439" s="92">
        <f t="shared" si="6"/>
        <v>-1.2142471667566102E-2</v>
      </c>
      <c r="J439" s="84"/>
      <c r="K439" s="84"/>
    </row>
    <row r="440" spans="1:11" ht="16">
      <c r="A440" s="146">
        <v>42956</v>
      </c>
      <c r="B440" s="87">
        <v>2.87</v>
      </c>
      <c r="G440" s="89">
        <v>42964</v>
      </c>
      <c r="H440" s="90">
        <v>330.87</v>
      </c>
      <c r="I440" s="92">
        <f t="shared" si="6"/>
        <v>4.1882909951742597E-3</v>
      </c>
      <c r="J440" s="84"/>
      <c r="K440" s="84"/>
    </row>
    <row r="441" spans="1:11" ht="16">
      <c r="A441" s="146">
        <v>42957</v>
      </c>
      <c r="B441" s="87">
        <v>2.87</v>
      </c>
      <c r="G441" s="89">
        <v>42965</v>
      </c>
      <c r="H441" s="90">
        <v>323.88</v>
      </c>
      <c r="I441" s="92">
        <f t="shared" si="6"/>
        <v>-2.1126122041889572E-2</v>
      </c>
      <c r="J441" s="84"/>
      <c r="K441" s="84"/>
    </row>
    <row r="442" spans="1:11" ht="16">
      <c r="A442" s="146">
        <v>42958</v>
      </c>
      <c r="B442" s="87">
        <v>2.86</v>
      </c>
      <c r="G442" s="89">
        <v>42966</v>
      </c>
      <c r="H442" s="90">
        <v>321.23</v>
      </c>
      <c r="I442" s="92">
        <f t="shared" si="6"/>
        <v>-8.1820427318759492E-3</v>
      </c>
      <c r="J442" s="84"/>
      <c r="K442" s="84"/>
    </row>
    <row r="443" spans="1:11" ht="16">
      <c r="A443" s="146">
        <v>42959</v>
      </c>
      <c r="B443" s="87">
        <v>2.86</v>
      </c>
      <c r="G443" s="89">
        <v>42969</v>
      </c>
      <c r="H443" s="90">
        <v>326.25</v>
      </c>
      <c r="I443" s="92">
        <f t="shared" si="6"/>
        <v>1.5627432058026969E-2</v>
      </c>
      <c r="J443" s="84"/>
      <c r="K443" s="84"/>
    </row>
    <row r="444" spans="1:11" ht="16">
      <c r="A444" s="146">
        <v>42962</v>
      </c>
      <c r="B444" s="87">
        <v>2.84</v>
      </c>
      <c r="G444" s="89">
        <v>42970</v>
      </c>
      <c r="H444" s="90">
        <v>333.81</v>
      </c>
      <c r="I444" s="92">
        <f t="shared" si="6"/>
        <v>2.317241379310353E-2</v>
      </c>
      <c r="J444" s="84"/>
      <c r="K444" s="84"/>
    </row>
    <row r="445" spans="1:11" ht="16">
      <c r="A445" s="146">
        <v>42963</v>
      </c>
      <c r="B445" s="87">
        <v>2.83</v>
      </c>
      <c r="G445" s="89">
        <v>42971</v>
      </c>
      <c r="H445" s="90">
        <v>335.47</v>
      </c>
      <c r="I445" s="92">
        <f t="shared" si="6"/>
        <v>4.9728887690603241E-3</v>
      </c>
      <c r="J445" s="84"/>
      <c r="K445" s="84"/>
    </row>
    <row r="446" spans="1:11" ht="16">
      <c r="A446" s="146">
        <v>42964</v>
      </c>
      <c r="B446" s="87">
        <v>2.83</v>
      </c>
      <c r="G446" s="89">
        <v>42972</v>
      </c>
      <c r="H446" s="90">
        <v>333.09</v>
      </c>
      <c r="I446" s="92">
        <f t="shared" si="6"/>
        <v>-7.0945241005158088E-3</v>
      </c>
      <c r="J446" s="84"/>
      <c r="K446" s="84"/>
    </row>
    <row r="447" spans="1:11" ht="16">
      <c r="A447" s="146">
        <v>42965</v>
      </c>
      <c r="B447" s="87">
        <v>2.82</v>
      </c>
      <c r="G447" s="89">
        <v>42973</v>
      </c>
      <c r="H447" s="90">
        <v>335.25</v>
      </c>
      <c r="I447" s="92">
        <f t="shared" si="6"/>
        <v>6.4847338557147971E-3</v>
      </c>
      <c r="J447" s="84"/>
      <c r="K447" s="84"/>
    </row>
    <row r="448" spans="1:11" ht="16">
      <c r="A448" s="146">
        <v>42966</v>
      </c>
      <c r="B448" s="87">
        <v>2.82</v>
      </c>
      <c r="G448" s="89">
        <v>42976</v>
      </c>
      <c r="H448" s="90">
        <v>338.88</v>
      </c>
      <c r="I448" s="92">
        <f t="shared" si="6"/>
        <v>1.0827740492169946E-2</v>
      </c>
      <c r="J448" s="84"/>
      <c r="K448" s="84"/>
    </row>
    <row r="449" spans="1:11" ht="16">
      <c r="A449" s="146">
        <v>42969</v>
      </c>
      <c r="B449" s="87">
        <v>2.82</v>
      </c>
      <c r="G449" s="89">
        <v>42977</v>
      </c>
      <c r="H449" s="90">
        <v>343.62</v>
      </c>
      <c r="I449" s="92">
        <f t="shared" ref="I449:I512" si="7">H449/H448-1</f>
        <v>1.3987252124646021E-2</v>
      </c>
      <c r="J449" s="84"/>
      <c r="K449" s="84"/>
    </row>
    <row r="450" spans="1:11" ht="16">
      <c r="A450" s="146">
        <v>42970</v>
      </c>
      <c r="B450" s="87">
        <v>2.8</v>
      </c>
      <c r="G450" s="89">
        <v>42978</v>
      </c>
      <c r="H450" s="90">
        <v>345.15</v>
      </c>
      <c r="I450" s="92">
        <f t="shared" si="7"/>
        <v>4.4525929806180642E-3</v>
      </c>
      <c r="J450" s="84"/>
      <c r="K450" s="84"/>
    </row>
    <row r="451" spans="1:11" ht="16">
      <c r="A451" s="146">
        <v>42971</v>
      </c>
      <c r="B451" s="87">
        <v>2.81</v>
      </c>
      <c r="G451" s="89">
        <v>42979</v>
      </c>
      <c r="H451" s="90">
        <v>345.18</v>
      </c>
      <c r="I451" s="92">
        <f t="shared" si="7"/>
        <v>8.6918730986651482E-5</v>
      </c>
      <c r="J451" s="84"/>
      <c r="K451" s="84"/>
    </row>
    <row r="452" spans="1:11" ht="16">
      <c r="A452" s="146">
        <v>42972</v>
      </c>
      <c r="B452" s="87">
        <v>2.8</v>
      </c>
      <c r="G452" s="89">
        <v>42980</v>
      </c>
      <c r="H452" s="90">
        <v>346.12</v>
      </c>
      <c r="I452" s="92">
        <f t="shared" si="7"/>
        <v>2.7232168723565486E-3</v>
      </c>
      <c r="J452" s="84"/>
      <c r="K452" s="84"/>
    </row>
    <row r="453" spans="1:11" ht="16">
      <c r="A453" s="146">
        <v>42973</v>
      </c>
      <c r="B453" s="87">
        <v>2.79</v>
      </c>
      <c r="G453" s="89">
        <v>42983</v>
      </c>
      <c r="H453" s="90">
        <v>347.97</v>
      </c>
      <c r="I453" s="92">
        <f t="shared" si="7"/>
        <v>5.3449670634462265E-3</v>
      </c>
      <c r="J453" s="84"/>
      <c r="K453" s="84"/>
    </row>
    <row r="454" spans="1:11" ht="16">
      <c r="A454" s="146">
        <v>42976</v>
      </c>
      <c r="B454" s="87">
        <v>2.76</v>
      </c>
      <c r="G454" s="89">
        <v>42984</v>
      </c>
      <c r="H454" s="90">
        <v>348.89</v>
      </c>
      <c r="I454" s="92">
        <f t="shared" si="7"/>
        <v>2.6439060838576722E-3</v>
      </c>
      <c r="J454" s="84"/>
      <c r="K454" s="84"/>
    </row>
    <row r="455" spans="1:11" ht="16">
      <c r="A455" s="146">
        <v>42977</v>
      </c>
      <c r="B455" s="87">
        <v>2.75</v>
      </c>
      <c r="G455" s="89">
        <v>42985</v>
      </c>
      <c r="H455" s="90">
        <v>345.54</v>
      </c>
      <c r="I455" s="92">
        <f t="shared" si="7"/>
        <v>-9.601880248788941E-3</v>
      </c>
      <c r="J455" s="84"/>
      <c r="K455" s="84"/>
    </row>
    <row r="456" spans="1:11" ht="16">
      <c r="A456" s="146">
        <v>42978</v>
      </c>
      <c r="B456" s="87">
        <v>2.76</v>
      </c>
      <c r="G456" s="89">
        <v>42986</v>
      </c>
      <c r="H456" s="90">
        <v>343.68</v>
      </c>
      <c r="I456" s="92">
        <f t="shared" si="7"/>
        <v>-5.3828789720438142E-3</v>
      </c>
      <c r="J456" s="84"/>
      <c r="K456" s="84"/>
    </row>
    <row r="457" spans="1:11" ht="16">
      <c r="A457" s="146">
        <v>42979</v>
      </c>
      <c r="B457" s="87">
        <v>2.75</v>
      </c>
      <c r="G457" s="89">
        <v>42987</v>
      </c>
      <c r="H457" s="90">
        <v>345.63</v>
      </c>
      <c r="I457" s="92">
        <f t="shared" si="7"/>
        <v>5.6738826815641019E-3</v>
      </c>
      <c r="J457" s="84"/>
      <c r="K457" s="84"/>
    </row>
    <row r="458" spans="1:11" ht="16">
      <c r="A458" s="146">
        <v>42980</v>
      </c>
      <c r="B458" s="87">
        <v>2.74</v>
      </c>
      <c r="G458" s="89">
        <v>42990</v>
      </c>
      <c r="H458" s="90">
        <v>344.47</v>
      </c>
      <c r="I458" s="92">
        <f t="shared" si="7"/>
        <v>-3.3561901455312348E-3</v>
      </c>
      <c r="J458" s="84"/>
      <c r="K458" s="84"/>
    </row>
    <row r="459" spans="1:11" ht="16">
      <c r="A459" s="146">
        <v>42983</v>
      </c>
      <c r="B459" s="87">
        <v>2.74</v>
      </c>
      <c r="G459" s="89">
        <v>42991</v>
      </c>
      <c r="H459" s="90">
        <v>342.42</v>
      </c>
      <c r="I459" s="92">
        <f t="shared" si="7"/>
        <v>-5.9511713647052433E-3</v>
      </c>
      <c r="J459" s="84"/>
      <c r="K459" s="84"/>
    </row>
    <row r="460" spans="1:11" ht="16">
      <c r="A460" s="146">
        <v>42984</v>
      </c>
      <c r="B460" s="87">
        <v>2.74</v>
      </c>
      <c r="G460" s="89">
        <v>42992</v>
      </c>
      <c r="H460" s="90">
        <v>340.71</v>
      </c>
      <c r="I460" s="92">
        <f t="shared" si="7"/>
        <v>-4.9938671806554202E-3</v>
      </c>
      <c r="J460" s="84"/>
      <c r="K460" s="84"/>
    </row>
    <row r="461" spans="1:11" ht="16">
      <c r="A461" s="146">
        <v>42985</v>
      </c>
      <c r="B461" s="87">
        <v>2.73</v>
      </c>
      <c r="G461" s="89">
        <v>42993</v>
      </c>
      <c r="H461" s="90">
        <v>337.88</v>
      </c>
      <c r="I461" s="92">
        <f t="shared" si="7"/>
        <v>-8.3061841448739404E-3</v>
      </c>
      <c r="J461" s="84"/>
      <c r="K461" s="84"/>
    </row>
    <row r="462" spans="1:11" ht="16">
      <c r="A462" s="146">
        <v>42986</v>
      </c>
      <c r="B462" s="87">
        <v>2.73</v>
      </c>
      <c r="G462" s="89">
        <v>42994</v>
      </c>
      <c r="H462" s="90">
        <v>337.68</v>
      </c>
      <c r="I462" s="92">
        <f t="shared" si="7"/>
        <v>-5.9192612761926888E-4</v>
      </c>
      <c r="J462" s="84"/>
      <c r="K462" s="84"/>
    </row>
    <row r="463" spans="1:11" ht="16">
      <c r="A463" s="146">
        <v>42987</v>
      </c>
      <c r="B463" s="87">
        <v>2.73</v>
      </c>
      <c r="G463" s="89">
        <v>42997</v>
      </c>
      <c r="H463" s="90">
        <v>331.06</v>
      </c>
      <c r="I463" s="92">
        <f t="shared" si="7"/>
        <v>-1.9604359156597972E-2</v>
      </c>
      <c r="J463" s="84"/>
      <c r="K463" s="84"/>
    </row>
    <row r="464" spans="1:11" ht="16">
      <c r="A464" s="146">
        <v>42990</v>
      </c>
      <c r="B464" s="87">
        <v>2.72</v>
      </c>
      <c r="G464" s="89">
        <v>42998</v>
      </c>
      <c r="H464" s="90">
        <v>332.2</v>
      </c>
      <c r="I464" s="92">
        <f t="shared" si="7"/>
        <v>3.443484564731536E-3</v>
      </c>
      <c r="J464" s="84"/>
      <c r="K464" s="84"/>
    </row>
    <row r="465" spans="1:11" ht="16">
      <c r="A465" s="146">
        <v>42991</v>
      </c>
      <c r="B465" s="87">
        <v>2.71</v>
      </c>
      <c r="G465" s="89">
        <v>42999</v>
      </c>
      <c r="H465" s="90">
        <v>333.07</v>
      </c>
      <c r="I465" s="92">
        <f t="shared" si="7"/>
        <v>2.6189042745334845E-3</v>
      </c>
      <c r="J465" s="84"/>
      <c r="K465" s="84"/>
    </row>
    <row r="466" spans="1:11" ht="16">
      <c r="A466" s="146">
        <v>42992</v>
      </c>
      <c r="B466" s="87">
        <v>2.7</v>
      </c>
      <c r="G466" s="89">
        <v>43000</v>
      </c>
      <c r="H466" s="90">
        <v>336.36</v>
      </c>
      <c r="I466" s="92">
        <f t="shared" si="7"/>
        <v>9.8778034647371005E-3</v>
      </c>
      <c r="J466" s="84"/>
      <c r="K466" s="84"/>
    </row>
    <row r="467" spans="1:11" ht="16">
      <c r="A467" s="146">
        <v>42993</v>
      </c>
      <c r="B467" s="87">
        <v>2.72</v>
      </c>
      <c r="G467" s="89">
        <v>43001</v>
      </c>
      <c r="H467" s="90">
        <v>334.03</v>
      </c>
      <c r="I467" s="92">
        <f t="shared" si="7"/>
        <v>-6.92710191461543E-3</v>
      </c>
      <c r="J467" s="84"/>
      <c r="K467" s="84"/>
    </row>
    <row r="468" spans="1:11" ht="16">
      <c r="A468" s="146">
        <v>42994</v>
      </c>
      <c r="B468" s="87">
        <v>2.74</v>
      </c>
      <c r="G468" s="89">
        <v>43004</v>
      </c>
      <c r="H468" s="90">
        <v>334.7</v>
      </c>
      <c r="I468" s="92">
        <f t="shared" si="7"/>
        <v>2.005807861569453E-3</v>
      </c>
      <c r="J468" s="84"/>
      <c r="K468" s="84"/>
    </row>
    <row r="469" spans="1:11" ht="16">
      <c r="A469" s="146">
        <v>42997</v>
      </c>
      <c r="B469" s="87">
        <v>2.77</v>
      </c>
      <c r="G469" s="89">
        <v>43005</v>
      </c>
      <c r="H469" s="90">
        <v>332.91</v>
      </c>
      <c r="I469" s="92">
        <f t="shared" si="7"/>
        <v>-5.348072901105394E-3</v>
      </c>
      <c r="J469" s="84"/>
      <c r="K469" s="84"/>
    </row>
    <row r="470" spans="1:11" ht="16">
      <c r="A470" s="146">
        <v>42998</v>
      </c>
      <c r="B470" s="87">
        <v>2.77</v>
      </c>
      <c r="G470" s="89">
        <v>43006</v>
      </c>
      <c r="H470" s="90">
        <v>330.45</v>
      </c>
      <c r="I470" s="92">
        <f t="shared" si="7"/>
        <v>-7.3893845183383711E-3</v>
      </c>
      <c r="J470" s="84"/>
      <c r="K470" s="84"/>
    </row>
    <row r="471" spans="1:11" ht="16">
      <c r="A471" s="146">
        <v>42999</v>
      </c>
      <c r="B471" s="87">
        <v>2.77</v>
      </c>
      <c r="G471" s="89">
        <v>43007</v>
      </c>
      <c r="H471" s="90">
        <v>331.89</v>
      </c>
      <c r="I471" s="92">
        <f t="shared" si="7"/>
        <v>4.3576940535632325E-3</v>
      </c>
      <c r="J471" s="84"/>
      <c r="K471" s="84"/>
    </row>
    <row r="472" spans="1:11" ht="16">
      <c r="A472" s="146">
        <v>43000</v>
      </c>
      <c r="B472" s="87">
        <v>2.8</v>
      </c>
      <c r="G472" s="89">
        <v>43008</v>
      </c>
      <c r="H472" s="90">
        <v>330.75</v>
      </c>
      <c r="I472" s="92">
        <f t="shared" si="7"/>
        <v>-3.4348730000903771E-3</v>
      </c>
      <c r="J472" s="84"/>
      <c r="K472" s="84"/>
    </row>
    <row r="473" spans="1:11" ht="16">
      <c r="A473" s="146">
        <v>43001</v>
      </c>
      <c r="B473" s="87">
        <v>2.84</v>
      </c>
      <c r="G473" s="89">
        <v>43011</v>
      </c>
      <c r="H473" s="90">
        <v>328.07</v>
      </c>
      <c r="I473" s="92">
        <f t="shared" si="7"/>
        <v>-8.1027966742253099E-3</v>
      </c>
      <c r="J473" s="84"/>
      <c r="K473" s="84"/>
    </row>
    <row r="474" spans="1:11" ht="16">
      <c r="A474" s="146">
        <v>43004</v>
      </c>
      <c r="B474" s="87">
        <v>2.87</v>
      </c>
      <c r="G474" s="89">
        <v>43012</v>
      </c>
      <c r="H474" s="90">
        <v>329.39</v>
      </c>
      <c r="I474" s="92">
        <f t="shared" si="7"/>
        <v>4.0235315633858626E-3</v>
      </c>
      <c r="J474" s="84"/>
      <c r="K474" s="84"/>
    </row>
    <row r="475" spans="1:11" ht="16">
      <c r="A475" s="146">
        <v>43005</v>
      </c>
      <c r="B475" s="87">
        <v>2.92</v>
      </c>
      <c r="G475" s="89">
        <v>43013</v>
      </c>
      <c r="H475" s="90">
        <v>327.22000000000003</v>
      </c>
      <c r="I475" s="92">
        <f t="shared" si="7"/>
        <v>-6.5879352742947983E-3</v>
      </c>
      <c r="J475" s="84"/>
      <c r="K475" s="84"/>
    </row>
    <row r="476" spans="1:11" ht="16">
      <c r="A476" s="146">
        <v>43006</v>
      </c>
      <c r="B476" s="87">
        <v>2.93</v>
      </c>
      <c r="G476" s="89">
        <v>43014</v>
      </c>
      <c r="H476" s="90">
        <v>333.88</v>
      </c>
      <c r="I476" s="92">
        <f t="shared" si="7"/>
        <v>2.0353279139416758E-2</v>
      </c>
      <c r="J476" s="84"/>
      <c r="K476" s="84"/>
    </row>
    <row r="477" spans="1:11" ht="16">
      <c r="A477" s="146">
        <v>43007</v>
      </c>
      <c r="B477" s="87">
        <v>2.96</v>
      </c>
      <c r="G477" s="89">
        <v>43015</v>
      </c>
      <c r="H477" s="90">
        <v>334.74</v>
      </c>
      <c r="I477" s="92">
        <f t="shared" si="7"/>
        <v>2.5757757278064286E-3</v>
      </c>
      <c r="J477" s="84"/>
      <c r="K477" s="84"/>
    </row>
    <row r="478" spans="1:11" ht="16">
      <c r="A478" s="146">
        <v>43008</v>
      </c>
      <c r="B478" s="87">
        <v>2.96</v>
      </c>
      <c r="G478" s="89">
        <v>43018</v>
      </c>
      <c r="H478" s="90">
        <v>335.98</v>
      </c>
      <c r="I478" s="92">
        <f t="shared" si="7"/>
        <v>3.7043675688595012E-3</v>
      </c>
      <c r="J478" s="84"/>
      <c r="K478" s="84"/>
    </row>
    <row r="479" spans="1:11" ht="16">
      <c r="A479" s="146">
        <v>43011</v>
      </c>
      <c r="B479" s="87">
        <v>2.96</v>
      </c>
      <c r="G479" s="89">
        <v>43019</v>
      </c>
      <c r="H479" s="90">
        <v>333.96</v>
      </c>
      <c r="I479" s="92">
        <f t="shared" si="7"/>
        <v>-6.0122626346807984E-3</v>
      </c>
      <c r="J479" s="84"/>
      <c r="K479" s="84"/>
    </row>
    <row r="480" spans="1:11" ht="16">
      <c r="A480" s="146">
        <v>43012</v>
      </c>
      <c r="B480" s="87">
        <v>2.99</v>
      </c>
      <c r="G480" s="89">
        <v>43020</v>
      </c>
      <c r="H480" s="90">
        <v>335.39</v>
      </c>
      <c r="I480" s="92">
        <f t="shared" si="7"/>
        <v>4.2819499341237854E-3</v>
      </c>
      <c r="J480" s="84"/>
      <c r="K480" s="84"/>
    </row>
    <row r="481" spans="1:11" ht="16">
      <c r="A481" s="146">
        <v>43013</v>
      </c>
      <c r="B481" s="87">
        <v>3.02</v>
      </c>
      <c r="G481" s="89">
        <v>43021</v>
      </c>
      <c r="H481" s="90">
        <v>336.43</v>
      </c>
      <c r="I481" s="92">
        <f t="shared" si="7"/>
        <v>3.100867646620431E-3</v>
      </c>
      <c r="J481" s="84"/>
      <c r="K481" s="84"/>
    </row>
    <row r="482" spans="1:11" ht="16">
      <c r="A482" s="146">
        <v>43014</v>
      </c>
      <c r="B482" s="87">
        <v>3.03</v>
      </c>
      <c r="G482" s="89">
        <v>43022</v>
      </c>
      <c r="H482" s="90">
        <v>340.73</v>
      </c>
      <c r="I482" s="92">
        <f t="shared" si="7"/>
        <v>1.2781262075320265E-2</v>
      </c>
      <c r="J482" s="84"/>
      <c r="K482" s="84"/>
    </row>
    <row r="483" spans="1:11" ht="16">
      <c r="A483" s="146">
        <v>43015</v>
      </c>
      <c r="B483" s="87">
        <v>3.06</v>
      </c>
      <c r="G483" s="89">
        <v>43025</v>
      </c>
      <c r="H483" s="90">
        <v>340.99</v>
      </c>
      <c r="I483" s="92">
        <f t="shared" si="7"/>
        <v>7.630675314764801E-4</v>
      </c>
      <c r="J483" s="84"/>
      <c r="K483" s="84"/>
    </row>
    <row r="484" spans="1:11" ht="16">
      <c r="A484" s="146">
        <v>43018</v>
      </c>
      <c r="B484" s="87">
        <v>3.06</v>
      </c>
      <c r="G484" s="89">
        <v>43026</v>
      </c>
      <c r="H484" s="90">
        <v>343.88</v>
      </c>
      <c r="I484" s="92">
        <f t="shared" si="7"/>
        <v>8.4753218569459943E-3</v>
      </c>
      <c r="J484" s="84"/>
      <c r="K484" s="84"/>
    </row>
    <row r="485" spans="1:11" ht="16">
      <c r="A485" s="146">
        <v>43019</v>
      </c>
      <c r="B485" s="87">
        <v>3.1</v>
      </c>
      <c r="G485" s="89">
        <v>43027</v>
      </c>
      <c r="H485" s="90">
        <v>344.52</v>
      </c>
      <c r="I485" s="92">
        <f t="shared" si="7"/>
        <v>1.8611143422122556E-3</v>
      </c>
      <c r="J485" s="84"/>
      <c r="K485" s="84"/>
    </row>
    <row r="486" spans="1:11" ht="16">
      <c r="A486" s="146">
        <v>43020</v>
      </c>
      <c r="B486" s="87">
        <v>3.09</v>
      </c>
      <c r="G486" s="89">
        <v>43028</v>
      </c>
      <c r="H486" s="90">
        <v>342.55</v>
      </c>
      <c r="I486" s="92">
        <f t="shared" si="7"/>
        <v>-5.7181005456866663E-3</v>
      </c>
      <c r="J486" s="84"/>
      <c r="K486" s="84"/>
    </row>
    <row r="487" spans="1:11" ht="16">
      <c r="A487" s="146">
        <v>43021</v>
      </c>
      <c r="B487" s="87">
        <v>3.07</v>
      </c>
      <c r="G487" s="89">
        <v>43029</v>
      </c>
      <c r="H487" s="90">
        <v>342.18</v>
      </c>
      <c r="I487" s="92">
        <f t="shared" si="7"/>
        <v>-1.0801342869654063E-3</v>
      </c>
      <c r="J487" s="84"/>
      <c r="K487" s="84"/>
    </row>
    <row r="488" spans="1:11" ht="16">
      <c r="A488" s="146">
        <v>43022</v>
      </c>
      <c r="B488" s="87">
        <v>3.08</v>
      </c>
      <c r="G488" s="89">
        <v>43032</v>
      </c>
      <c r="H488" s="90">
        <v>342.85</v>
      </c>
      <c r="I488" s="92">
        <f t="shared" si="7"/>
        <v>1.9580337833888795E-3</v>
      </c>
      <c r="J488" s="84"/>
      <c r="K488" s="84"/>
    </row>
    <row r="489" spans="1:11" ht="16">
      <c r="A489" s="146">
        <v>43025</v>
      </c>
      <c r="B489" s="87">
        <v>3.11</v>
      </c>
      <c r="G489" s="89">
        <v>43033</v>
      </c>
      <c r="H489" s="90">
        <v>342.14</v>
      </c>
      <c r="I489" s="92">
        <f t="shared" si="7"/>
        <v>-2.0708764765933196E-3</v>
      </c>
      <c r="J489" s="84"/>
      <c r="K489" s="84"/>
    </row>
    <row r="490" spans="1:11" ht="16">
      <c r="A490" s="146">
        <v>43026</v>
      </c>
      <c r="B490" s="87">
        <v>3.09</v>
      </c>
      <c r="G490" s="89">
        <v>43034</v>
      </c>
      <c r="H490" s="90">
        <v>339.39</v>
      </c>
      <c r="I490" s="92">
        <f t="shared" si="7"/>
        <v>-8.0376454083124216E-3</v>
      </c>
      <c r="J490" s="84"/>
      <c r="K490" s="84"/>
    </row>
    <row r="491" spans="1:11" ht="16">
      <c r="A491" s="146">
        <v>43027</v>
      </c>
      <c r="B491" s="87">
        <v>3.08</v>
      </c>
      <c r="G491" s="89">
        <v>43035</v>
      </c>
      <c r="H491" s="90">
        <v>337.29</v>
      </c>
      <c r="I491" s="92">
        <f t="shared" si="7"/>
        <v>-6.1875718200299357E-3</v>
      </c>
      <c r="J491" s="84"/>
      <c r="K491" s="84"/>
    </row>
    <row r="492" spans="1:11" ht="16">
      <c r="A492" s="146">
        <v>43028</v>
      </c>
      <c r="B492" s="87">
        <v>3.1</v>
      </c>
      <c r="G492" s="89">
        <v>43036</v>
      </c>
      <c r="H492" s="90">
        <v>334.9</v>
      </c>
      <c r="I492" s="92">
        <f t="shared" si="7"/>
        <v>-7.0858904800025213E-3</v>
      </c>
      <c r="J492" s="84"/>
      <c r="K492" s="84"/>
    </row>
    <row r="493" spans="1:11" ht="16">
      <c r="A493" s="146">
        <v>43029</v>
      </c>
      <c r="B493" s="87">
        <v>3.12</v>
      </c>
      <c r="G493" s="89">
        <v>43039</v>
      </c>
      <c r="H493" s="90">
        <v>335.97</v>
      </c>
      <c r="I493" s="92">
        <f t="shared" si="7"/>
        <v>3.1949835771873936E-3</v>
      </c>
      <c r="J493" s="84"/>
      <c r="K493" s="84"/>
    </row>
    <row r="494" spans="1:11" ht="16">
      <c r="A494" s="146">
        <v>43032</v>
      </c>
      <c r="B494" s="87">
        <v>3.11</v>
      </c>
      <c r="G494" s="89">
        <v>43040</v>
      </c>
      <c r="H494" s="90">
        <v>334.32</v>
      </c>
      <c r="I494" s="92">
        <f t="shared" si="7"/>
        <v>-4.9111527814984512E-3</v>
      </c>
      <c r="J494" s="84"/>
      <c r="K494" s="84"/>
    </row>
    <row r="495" spans="1:11" ht="16">
      <c r="A495" s="146">
        <v>43033</v>
      </c>
      <c r="B495" s="87">
        <v>3.09</v>
      </c>
      <c r="G495" s="89">
        <v>43041</v>
      </c>
      <c r="H495" s="90">
        <v>335.12</v>
      </c>
      <c r="I495" s="92">
        <f t="shared" si="7"/>
        <v>2.3929169657812555E-3</v>
      </c>
      <c r="J495" s="84"/>
      <c r="K495" s="84"/>
    </row>
    <row r="496" spans="1:11" ht="16">
      <c r="A496" s="146">
        <v>43034</v>
      </c>
      <c r="B496" s="87">
        <v>3.07</v>
      </c>
      <c r="G496" s="89">
        <v>43042</v>
      </c>
      <c r="H496" s="90">
        <v>336.3</v>
      </c>
      <c r="I496" s="92">
        <f t="shared" si="7"/>
        <v>3.5211267605634866E-3</v>
      </c>
      <c r="J496" s="84"/>
      <c r="K496" s="84"/>
    </row>
    <row r="497" spans="1:11" ht="16">
      <c r="A497" s="146">
        <v>43035</v>
      </c>
      <c r="B497" s="87">
        <v>3.06</v>
      </c>
      <c r="G497" s="89">
        <v>43043</v>
      </c>
      <c r="H497" s="90">
        <v>335.24</v>
      </c>
      <c r="I497" s="92">
        <f t="shared" si="7"/>
        <v>-3.1519476657746459E-3</v>
      </c>
      <c r="J497" s="84"/>
      <c r="K497" s="84"/>
    </row>
    <row r="498" spans="1:11" ht="16">
      <c r="A498" s="146">
        <v>43036</v>
      </c>
      <c r="B498" s="87">
        <v>3.08</v>
      </c>
      <c r="G498" s="89">
        <v>43046</v>
      </c>
      <c r="H498" s="90">
        <v>337.32</v>
      </c>
      <c r="I498" s="92">
        <f t="shared" si="7"/>
        <v>6.2045102016465847E-3</v>
      </c>
      <c r="J498" s="84"/>
      <c r="K498" s="84"/>
    </row>
    <row r="499" spans="1:11" ht="16">
      <c r="A499" s="146">
        <v>43038</v>
      </c>
      <c r="B499" s="87">
        <v>3.09</v>
      </c>
      <c r="G499" s="89">
        <v>43047</v>
      </c>
      <c r="H499" s="90">
        <v>338.32</v>
      </c>
      <c r="I499" s="92">
        <f t="shared" si="7"/>
        <v>2.9645440531247402E-3</v>
      </c>
      <c r="J499" s="84"/>
      <c r="K499" s="84"/>
    </row>
    <row r="500" spans="1:11" ht="16">
      <c r="A500" s="146">
        <v>43039</v>
      </c>
      <c r="B500" s="87">
        <v>3.11</v>
      </c>
      <c r="G500" s="89">
        <v>43048</v>
      </c>
      <c r="H500" s="90">
        <v>338.97</v>
      </c>
      <c r="I500" s="92">
        <f t="shared" si="7"/>
        <v>1.9212579806102692E-3</v>
      </c>
      <c r="J500" s="84"/>
      <c r="K500" s="84"/>
    </row>
    <row r="501" spans="1:11" ht="16">
      <c r="A501" s="146">
        <v>43040</v>
      </c>
      <c r="B501" s="87">
        <v>3.1</v>
      </c>
      <c r="G501" s="89">
        <v>43049</v>
      </c>
      <c r="H501" s="90">
        <v>341.22</v>
      </c>
      <c r="I501" s="92">
        <f t="shared" si="7"/>
        <v>6.6377555535888089E-3</v>
      </c>
      <c r="J501" s="84"/>
      <c r="K501" s="84"/>
    </row>
    <row r="502" spans="1:11" ht="16">
      <c r="A502" s="146">
        <v>43041</v>
      </c>
      <c r="B502" s="87">
        <v>3.09</v>
      </c>
      <c r="G502" s="89">
        <v>43050</v>
      </c>
      <c r="H502" s="90">
        <v>341.98</v>
      </c>
      <c r="I502" s="92">
        <f t="shared" si="7"/>
        <v>2.2273020338783311E-3</v>
      </c>
      <c r="J502" s="84"/>
      <c r="K502" s="84"/>
    </row>
    <row r="503" spans="1:11" ht="16">
      <c r="A503" s="146">
        <v>43042</v>
      </c>
      <c r="B503" s="87">
        <v>3.08</v>
      </c>
      <c r="G503" s="89">
        <v>43053</v>
      </c>
      <c r="H503" s="90">
        <v>342.06</v>
      </c>
      <c r="I503" s="92">
        <f t="shared" si="7"/>
        <v>2.339318088777631E-4</v>
      </c>
      <c r="J503" s="84"/>
      <c r="K503" s="84"/>
    </row>
    <row r="504" spans="1:11" ht="16">
      <c r="A504" s="146">
        <v>43043</v>
      </c>
      <c r="B504" s="87">
        <v>3.06</v>
      </c>
      <c r="G504" s="89">
        <v>43054</v>
      </c>
      <c r="H504" s="90">
        <v>342.54</v>
      </c>
      <c r="I504" s="92">
        <f t="shared" si="7"/>
        <v>1.4032625855113778E-3</v>
      </c>
      <c r="J504" s="84"/>
      <c r="K504" s="84"/>
    </row>
    <row r="505" spans="1:11" ht="16">
      <c r="A505" s="146">
        <v>43046</v>
      </c>
      <c r="B505" s="87">
        <v>3.06</v>
      </c>
      <c r="G505" s="89">
        <v>43055</v>
      </c>
      <c r="H505" s="90">
        <v>341.62</v>
      </c>
      <c r="I505" s="92">
        <f t="shared" si="7"/>
        <v>-2.6858177147195406E-3</v>
      </c>
      <c r="J505" s="84"/>
      <c r="K505" s="84"/>
    </row>
    <row r="506" spans="1:11" ht="16">
      <c r="A506" s="146">
        <v>43047</v>
      </c>
      <c r="B506" s="87">
        <v>3.06</v>
      </c>
      <c r="G506" s="89">
        <v>43056</v>
      </c>
      <c r="H506" s="90">
        <v>337.38</v>
      </c>
      <c r="I506" s="92">
        <f t="shared" si="7"/>
        <v>-1.2411451320180289E-2</v>
      </c>
      <c r="J506" s="84"/>
      <c r="K506" s="84"/>
    </row>
    <row r="507" spans="1:11" ht="16">
      <c r="A507" s="146">
        <v>43048</v>
      </c>
      <c r="B507" s="87">
        <v>3.09</v>
      </c>
      <c r="G507" s="89">
        <v>43057</v>
      </c>
      <c r="H507" s="90">
        <v>337.02</v>
      </c>
      <c r="I507" s="92">
        <f t="shared" si="7"/>
        <v>-1.0670460608216414E-3</v>
      </c>
      <c r="J507" s="84"/>
      <c r="K507" s="84"/>
    </row>
    <row r="508" spans="1:11" ht="16">
      <c r="A508" s="146">
        <v>43049</v>
      </c>
      <c r="B508" s="87">
        <v>3.09</v>
      </c>
      <c r="G508" s="89">
        <v>43060</v>
      </c>
      <c r="H508" s="90">
        <v>333.63</v>
      </c>
      <c r="I508" s="92">
        <f t="shared" si="7"/>
        <v>-1.0058750222538659E-2</v>
      </c>
      <c r="J508" s="84"/>
      <c r="K508" s="84"/>
    </row>
    <row r="509" spans="1:11" ht="16">
      <c r="A509" s="146">
        <v>43050</v>
      </c>
      <c r="B509" s="87">
        <v>3.13</v>
      </c>
      <c r="G509" s="89">
        <v>43061</v>
      </c>
      <c r="H509" s="90">
        <v>332.5</v>
      </c>
      <c r="I509" s="92">
        <f t="shared" si="7"/>
        <v>-3.3869855828312367E-3</v>
      </c>
      <c r="J509" s="84"/>
      <c r="K509" s="84"/>
    </row>
    <row r="510" spans="1:11" ht="16">
      <c r="A510" s="146">
        <v>43053</v>
      </c>
      <c r="B510" s="87">
        <v>3.11</v>
      </c>
      <c r="G510" s="89">
        <v>43062</v>
      </c>
      <c r="H510" s="90">
        <v>332.53</v>
      </c>
      <c r="I510" s="92">
        <f t="shared" si="7"/>
        <v>9.0225563909696049E-5</v>
      </c>
      <c r="J510" s="84"/>
      <c r="K510" s="84"/>
    </row>
    <row r="511" spans="1:11" ht="16">
      <c r="A511" s="146">
        <v>43054</v>
      </c>
      <c r="B511" s="87">
        <v>3.14</v>
      </c>
      <c r="G511" s="89">
        <v>43063</v>
      </c>
      <c r="H511" s="90">
        <v>333.41</v>
      </c>
      <c r="I511" s="92">
        <f t="shared" si="7"/>
        <v>2.6463777704268665E-3</v>
      </c>
      <c r="J511" s="84"/>
      <c r="K511" s="84"/>
    </row>
    <row r="512" spans="1:11" ht="16">
      <c r="A512" s="146">
        <v>43055</v>
      </c>
      <c r="B512" s="87">
        <v>3.13</v>
      </c>
      <c r="G512" s="89">
        <v>43064</v>
      </c>
      <c r="H512" s="90">
        <v>325.05</v>
      </c>
      <c r="I512" s="92">
        <f t="shared" si="7"/>
        <v>-2.5074232926426965E-2</v>
      </c>
      <c r="J512" s="84"/>
      <c r="K512" s="84"/>
    </row>
    <row r="513" spans="1:11" ht="16">
      <c r="A513" s="146">
        <v>43056</v>
      </c>
      <c r="B513" s="87">
        <v>3.11</v>
      </c>
      <c r="G513" s="89">
        <v>43067</v>
      </c>
      <c r="H513" s="90">
        <v>323.91000000000003</v>
      </c>
      <c r="I513" s="92">
        <f t="shared" ref="I513:I537" si="8">H513/H512-1</f>
        <v>-3.5071527457314344E-3</v>
      </c>
      <c r="J513" s="84"/>
      <c r="K513" s="84"/>
    </row>
    <row r="514" spans="1:11" ht="16">
      <c r="A514" s="146">
        <v>43057</v>
      </c>
      <c r="B514" s="87">
        <v>3.09</v>
      </c>
      <c r="G514" s="89">
        <v>43068</v>
      </c>
      <c r="H514" s="90">
        <v>322.83999999999997</v>
      </c>
      <c r="I514" s="92">
        <f t="shared" si="8"/>
        <v>-3.3033867432312736E-3</v>
      </c>
      <c r="J514" s="84"/>
      <c r="K514" s="84"/>
    </row>
    <row r="515" spans="1:11" ht="16">
      <c r="A515" s="146">
        <v>43060</v>
      </c>
      <c r="B515" s="87">
        <v>3.1</v>
      </c>
      <c r="G515" s="89">
        <v>43069</v>
      </c>
      <c r="H515" s="90">
        <v>324.95999999999998</v>
      </c>
      <c r="I515" s="92">
        <f t="shared" si="8"/>
        <v>6.5667203568331445E-3</v>
      </c>
      <c r="J515" s="84"/>
      <c r="K515" s="84"/>
    </row>
    <row r="516" spans="1:11" ht="16">
      <c r="A516" s="146">
        <v>43061</v>
      </c>
      <c r="B516" s="87">
        <v>3.16</v>
      </c>
      <c r="G516" s="89">
        <v>43070</v>
      </c>
      <c r="H516" s="90">
        <v>326.52</v>
      </c>
      <c r="I516" s="92">
        <f t="shared" si="8"/>
        <v>4.8005908419497256E-3</v>
      </c>
      <c r="J516" s="84"/>
      <c r="K516" s="84"/>
    </row>
    <row r="517" spans="1:11" ht="16">
      <c r="A517" s="146">
        <v>43062</v>
      </c>
      <c r="B517" s="87">
        <v>3.17</v>
      </c>
      <c r="G517" s="89">
        <v>43071</v>
      </c>
      <c r="H517" s="90">
        <v>323.44</v>
      </c>
      <c r="I517" s="92">
        <f t="shared" si="8"/>
        <v>-9.4328065662133698E-3</v>
      </c>
      <c r="J517" s="84"/>
      <c r="K517" s="84"/>
    </row>
    <row r="518" spans="1:11" ht="16">
      <c r="A518" s="146">
        <v>43063</v>
      </c>
      <c r="B518" s="87">
        <v>3.17</v>
      </c>
      <c r="G518" s="89">
        <v>43074</v>
      </c>
      <c r="H518" s="90">
        <v>322.01</v>
      </c>
      <c r="I518" s="92">
        <f t="shared" si="8"/>
        <v>-4.4212218649517521E-3</v>
      </c>
      <c r="J518" s="84"/>
      <c r="K518" s="84"/>
    </row>
    <row r="519" spans="1:11" ht="16">
      <c r="A519" s="146">
        <v>43064</v>
      </c>
      <c r="B519" s="87">
        <v>3.14</v>
      </c>
      <c r="G519" s="89">
        <v>43075</v>
      </c>
      <c r="H519" s="90">
        <v>326.63</v>
      </c>
      <c r="I519" s="92">
        <f t="shared" si="8"/>
        <v>1.4347380516133157E-2</v>
      </c>
      <c r="J519" s="84"/>
      <c r="K519" s="84"/>
    </row>
    <row r="520" spans="1:11" ht="16">
      <c r="A520" s="146">
        <v>43067</v>
      </c>
      <c r="B520" s="87">
        <v>3.16</v>
      </c>
      <c r="G520" s="89">
        <v>43076</v>
      </c>
      <c r="H520" s="90">
        <v>328.96</v>
      </c>
      <c r="I520" s="92">
        <f t="shared" si="8"/>
        <v>7.1334537550131749E-3</v>
      </c>
      <c r="J520" s="84"/>
      <c r="K520" s="84"/>
    </row>
    <row r="521" spans="1:11" ht="16">
      <c r="A521" s="146">
        <v>43068</v>
      </c>
      <c r="B521" s="87">
        <v>3.13</v>
      </c>
      <c r="G521" s="89">
        <v>43077</v>
      </c>
      <c r="H521" s="90">
        <v>329.87</v>
      </c>
      <c r="I521" s="92">
        <f t="shared" si="8"/>
        <v>2.7662937743191396E-3</v>
      </c>
      <c r="J521" s="84"/>
      <c r="K521" s="84"/>
    </row>
    <row r="522" spans="1:11" ht="16">
      <c r="A522" s="146">
        <v>43069</v>
      </c>
      <c r="B522" s="87">
        <v>3.16</v>
      </c>
      <c r="G522" s="89">
        <v>43078</v>
      </c>
      <c r="H522" s="90">
        <v>328.36</v>
      </c>
      <c r="I522" s="92">
        <f t="shared" si="8"/>
        <v>-4.5775608573074278E-3</v>
      </c>
      <c r="J522" s="84"/>
      <c r="K522" s="84"/>
    </row>
    <row r="523" spans="1:11" ht="16">
      <c r="A523" s="146">
        <v>43070</v>
      </c>
      <c r="B523" s="87">
        <v>3.14</v>
      </c>
      <c r="G523" s="89">
        <v>43081</v>
      </c>
      <c r="H523" s="90">
        <v>326.16000000000003</v>
      </c>
      <c r="I523" s="92">
        <f t="shared" si="8"/>
        <v>-6.6999634547447728E-3</v>
      </c>
      <c r="J523" s="84"/>
      <c r="K523" s="84"/>
    </row>
    <row r="524" spans="1:11" ht="16">
      <c r="A524" s="146">
        <v>43071</v>
      </c>
      <c r="B524" s="87">
        <v>3.14</v>
      </c>
      <c r="G524" s="89">
        <v>43082</v>
      </c>
      <c r="H524" s="90">
        <v>324.17</v>
      </c>
      <c r="I524" s="92">
        <f t="shared" si="8"/>
        <v>-6.101299975472152E-3</v>
      </c>
      <c r="J524" s="84"/>
      <c r="K524" s="84"/>
    </row>
    <row r="525" spans="1:11" ht="16">
      <c r="A525" s="146">
        <v>43074</v>
      </c>
      <c r="B525" s="87">
        <v>3.13</v>
      </c>
      <c r="G525" s="89">
        <v>43083</v>
      </c>
      <c r="H525" s="90">
        <v>321.58999999999997</v>
      </c>
      <c r="I525" s="92">
        <f t="shared" si="8"/>
        <v>-7.9587870561743657E-3</v>
      </c>
      <c r="J525" s="84"/>
      <c r="K525" s="84"/>
    </row>
    <row r="526" spans="1:11" ht="16">
      <c r="A526" s="146">
        <v>43075</v>
      </c>
      <c r="B526" s="87">
        <v>3.12</v>
      </c>
      <c r="G526" s="89">
        <v>43084</v>
      </c>
      <c r="H526" s="90">
        <v>323.85000000000002</v>
      </c>
      <c r="I526" s="92">
        <f t="shared" si="8"/>
        <v>7.0275817034113341E-3</v>
      </c>
      <c r="J526" s="84"/>
      <c r="K526" s="84"/>
    </row>
    <row r="527" spans="1:11" ht="16">
      <c r="A527" s="146">
        <v>43076</v>
      </c>
      <c r="B527" s="87">
        <v>3.13</v>
      </c>
      <c r="G527" s="89">
        <v>43085</v>
      </c>
      <c r="H527" s="90">
        <v>321.5</v>
      </c>
      <c r="I527" s="92">
        <f t="shared" si="8"/>
        <v>-7.256445885440832E-3</v>
      </c>
      <c r="J527" s="84"/>
      <c r="K527" s="84"/>
    </row>
    <row r="528" spans="1:11" ht="16">
      <c r="A528" s="146">
        <v>43077</v>
      </c>
      <c r="B528" s="87">
        <v>3.13</v>
      </c>
      <c r="G528" s="89">
        <v>43088</v>
      </c>
      <c r="H528" s="90">
        <v>314.64</v>
      </c>
      <c r="I528" s="92">
        <f t="shared" si="8"/>
        <v>-2.133748055987561E-2</v>
      </c>
      <c r="J528" s="84"/>
      <c r="K528" s="84"/>
    </row>
    <row r="529" spans="1:11" ht="16">
      <c r="A529" s="146">
        <v>43078</v>
      </c>
      <c r="B529" s="87">
        <v>3.14</v>
      </c>
      <c r="G529" s="89">
        <v>43089</v>
      </c>
      <c r="H529" s="90">
        <v>319.60000000000002</v>
      </c>
      <c r="I529" s="92">
        <f t="shared" si="8"/>
        <v>1.5764047800661096E-2</v>
      </c>
      <c r="J529" s="84"/>
      <c r="K529" s="84"/>
    </row>
    <row r="530" spans="1:11" ht="16">
      <c r="A530" s="146">
        <v>43081</v>
      </c>
      <c r="B530" s="87">
        <v>3.13</v>
      </c>
      <c r="G530" s="89">
        <v>43090</v>
      </c>
      <c r="H530" s="90">
        <v>320.72000000000003</v>
      </c>
      <c r="I530" s="92">
        <f t="shared" si="8"/>
        <v>3.5043804755945374E-3</v>
      </c>
      <c r="J530" s="84"/>
      <c r="K530" s="84"/>
    </row>
    <row r="531" spans="1:11" ht="16">
      <c r="A531" s="146">
        <v>43082</v>
      </c>
      <c r="B531" s="87">
        <v>3.11</v>
      </c>
      <c r="G531" s="89">
        <v>43091</v>
      </c>
      <c r="H531" s="90">
        <v>323.51</v>
      </c>
      <c r="I531" s="92">
        <f t="shared" si="8"/>
        <v>8.6991768520827684E-3</v>
      </c>
      <c r="J531" s="84"/>
      <c r="K531" s="84"/>
    </row>
    <row r="532" spans="1:11" ht="16">
      <c r="A532" s="146">
        <v>43083</v>
      </c>
      <c r="B532" s="87">
        <v>3.07</v>
      </c>
      <c r="G532" s="89">
        <v>43092</v>
      </c>
      <c r="H532" s="90">
        <v>323.61</v>
      </c>
      <c r="I532" s="92">
        <f t="shared" si="8"/>
        <v>3.0910945565842951E-4</v>
      </c>
      <c r="J532" s="84"/>
      <c r="K532" s="84"/>
    </row>
    <row r="533" spans="1:11" ht="16">
      <c r="A533" s="146">
        <v>43084</v>
      </c>
      <c r="B533" s="87">
        <v>3.06</v>
      </c>
      <c r="G533" s="89">
        <v>43095</v>
      </c>
      <c r="H533" s="90">
        <v>324.19</v>
      </c>
      <c r="I533" s="92">
        <f t="shared" si="8"/>
        <v>1.7922808318655559E-3</v>
      </c>
      <c r="J533" s="84"/>
      <c r="K533" s="84"/>
    </row>
    <row r="534" spans="1:11" ht="16">
      <c r="A534" s="146">
        <v>43085</v>
      </c>
      <c r="B534" s="87">
        <v>3.06</v>
      </c>
      <c r="G534" s="89">
        <v>43096</v>
      </c>
      <c r="H534" s="90">
        <v>324.95</v>
      </c>
      <c r="I534" s="92">
        <f t="shared" si="8"/>
        <v>2.3443042660167279E-3</v>
      </c>
      <c r="J534" s="84"/>
      <c r="K534" s="84"/>
    </row>
    <row r="535" spans="1:11" ht="16">
      <c r="A535" s="146">
        <v>43088</v>
      </c>
      <c r="B535" s="87">
        <v>3.06</v>
      </c>
      <c r="G535" s="89">
        <v>43097</v>
      </c>
      <c r="H535" s="90">
        <v>322.89999999999998</v>
      </c>
      <c r="I535" s="92">
        <f t="shared" si="8"/>
        <v>-6.3086628712110127E-3</v>
      </c>
      <c r="J535" s="84"/>
      <c r="K535" s="84"/>
    </row>
    <row r="536" spans="1:11" ht="16">
      <c r="A536" s="146">
        <v>43089</v>
      </c>
      <c r="B536" s="87">
        <v>3.08</v>
      </c>
      <c r="G536" s="89">
        <v>43098</v>
      </c>
      <c r="H536" s="90">
        <v>325.86</v>
      </c>
      <c r="I536" s="92">
        <f t="shared" si="8"/>
        <v>9.16692474450298E-3</v>
      </c>
      <c r="J536" s="84"/>
      <c r="K536" s="84"/>
    </row>
    <row r="537" spans="1:11" ht="16">
      <c r="A537" s="146">
        <v>43090</v>
      </c>
      <c r="B537" s="87">
        <v>3.09</v>
      </c>
      <c r="G537" s="89">
        <v>43099</v>
      </c>
      <c r="H537" s="90">
        <v>327.39</v>
      </c>
      <c r="I537" s="92">
        <f t="shared" si="8"/>
        <v>4.6952679064629077E-3</v>
      </c>
    </row>
    <row r="538" spans="1:11">
      <c r="A538" s="146">
        <v>43091</v>
      </c>
      <c r="B538" s="87">
        <v>3.1</v>
      </c>
    </row>
    <row r="539" spans="1:11">
      <c r="A539" s="146">
        <v>43092</v>
      </c>
      <c r="B539" s="240">
        <f>B538</f>
        <v>3.1</v>
      </c>
    </row>
    <row r="540" spans="1:11">
      <c r="A540" s="146">
        <v>43095</v>
      </c>
      <c r="B540" s="87">
        <v>3.1</v>
      </c>
    </row>
    <row r="541" spans="1:11">
      <c r="A541" s="146">
        <v>43096</v>
      </c>
      <c r="B541" s="87">
        <v>3.1</v>
      </c>
    </row>
    <row r="542" spans="1:11">
      <c r="A542" s="146">
        <v>43097</v>
      </c>
      <c r="B542" s="87">
        <v>3.1</v>
      </c>
    </row>
    <row r="543" spans="1:11">
      <c r="A543" s="146">
        <v>43098</v>
      </c>
      <c r="B543" s="87">
        <v>3.11</v>
      </c>
    </row>
    <row r="544" spans="1:11">
      <c r="A544" s="146">
        <v>43099</v>
      </c>
      <c r="B544" s="87">
        <v>3.1</v>
      </c>
    </row>
    <row r="546" spans="5:6" ht="14">
      <c r="E546" s="89"/>
      <c r="F546" s="90"/>
    </row>
    <row r="547" spans="5:6" ht="14">
      <c r="E547" s="89"/>
      <c r="F547" s="90"/>
    </row>
    <row r="548" spans="5:6" ht="14">
      <c r="E548" s="89"/>
      <c r="F548" s="90"/>
    </row>
    <row r="549" spans="5:6" ht="14">
      <c r="E549" s="89"/>
      <c r="F549" s="90"/>
    </row>
    <row r="550" spans="5:6" ht="14">
      <c r="E550" s="89"/>
      <c r="F550" s="90"/>
    </row>
    <row r="551" spans="5:6" ht="14">
      <c r="E551" s="89"/>
      <c r="F551" s="90"/>
    </row>
    <row r="552" spans="5:6" ht="14">
      <c r="E552" s="89"/>
      <c r="F552" s="90"/>
    </row>
    <row r="553" spans="5:6" ht="14">
      <c r="E553" s="89"/>
      <c r="F553" s="90"/>
    </row>
    <row r="554" spans="5:6" ht="14">
      <c r="E554" s="89"/>
      <c r="F554" s="90"/>
    </row>
    <row r="555" spans="5:6" ht="14">
      <c r="E555" s="89"/>
      <c r="F555" s="90"/>
    </row>
    <row r="556" spans="5:6" ht="14">
      <c r="E556" s="89"/>
      <c r="F556" s="90"/>
    </row>
    <row r="557" spans="5:6" ht="14">
      <c r="E557" s="89"/>
      <c r="F557" s="90"/>
    </row>
    <row r="558" spans="5:6" ht="14">
      <c r="E558" s="89"/>
      <c r="F558" s="90"/>
    </row>
    <row r="559" spans="5:6" ht="14">
      <c r="E559" s="89"/>
      <c r="F559" s="90"/>
    </row>
    <row r="560" spans="5:6" ht="14">
      <c r="E560" s="89"/>
      <c r="F560" s="90"/>
    </row>
    <row r="561" spans="5:6" ht="14">
      <c r="E561" s="89"/>
      <c r="F561" s="90"/>
    </row>
    <row r="562" spans="5:6" ht="14">
      <c r="E562" s="89"/>
      <c r="F562" s="90"/>
    </row>
    <row r="563" spans="5:6" ht="14">
      <c r="E563" s="89"/>
      <c r="F563" s="90"/>
    </row>
    <row r="564" spans="5:6" ht="14">
      <c r="E564" s="89"/>
      <c r="F564" s="90"/>
    </row>
    <row r="565" spans="5:6" ht="14">
      <c r="E565" s="89"/>
      <c r="F565" s="90"/>
    </row>
    <row r="566" spans="5:6" ht="14">
      <c r="E566" s="89"/>
      <c r="F566" s="90"/>
    </row>
    <row r="567" spans="5:6" ht="14">
      <c r="E567" s="89"/>
      <c r="F567" s="90"/>
    </row>
    <row r="568" spans="5:6" ht="14">
      <c r="E568" s="89"/>
      <c r="F568" s="90"/>
    </row>
    <row r="569" spans="5:6" ht="14">
      <c r="E569" s="89"/>
      <c r="F569" s="90"/>
    </row>
    <row r="570" spans="5:6" ht="14">
      <c r="E570" s="89"/>
      <c r="F570" s="90"/>
    </row>
    <row r="571" spans="5:6" ht="14">
      <c r="E571" s="89"/>
      <c r="F571" s="90"/>
    </row>
    <row r="572" spans="5:6" ht="14">
      <c r="E572" s="89"/>
      <c r="F572" s="90"/>
    </row>
    <row r="573" spans="5:6" ht="14">
      <c r="E573" s="89"/>
      <c r="F573" s="90"/>
    </row>
    <row r="574" spans="5:6" ht="14">
      <c r="E574" s="89"/>
      <c r="F574" s="90"/>
    </row>
    <row r="575" spans="5:6" ht="14">
      <c r="E575" s="89"/>
      <c r="F575" s="90"/>
    </row>
    <row r="576" spans="5:6" ht="14">
      <c r="E576" s="89"/>
      <c r="F576" s="90"/>
    </row>
    <row r="577" spans="5:6" ht="14">
      <c r="E577" s="89"/>
      <c r="F577" s="90"/>
    </row>
    <row r="578" spans="5:6" ht="14">
      <c r="E578" s="89"/>
      <c r="F578" s="90"/>
    </row>
    <row r="579" spans="5:6" ht="14">
      <c r="E579" s="89"/>
      <c r="F579" s="90"/>
    </row>
    <row r="580" spans="5:6" ht="14">
      <c r="E580" s="89"/>
      <c r="F580" s="90"/>
    </row>
    <row r="581" spans="5:6" ht="14">
      <c r="E581" s="89"/>
      <c r="F581" s="90"/>
    </row>
    <row r="582" spans="5:6" ht="14">
      <c r="E582" s="89"/>
      <c r="F582" s="90"/>
    </row>
    <row r="583" spans="5:6" ht="14">
      <c r="E583" s="89"/>
      <c r="F583" s="90"/>
    </row>
    <row r="584" spans="5:6" ht="14">
      <c r="E584" s="89"/>
      <c r="F584" s="90"/>
    </row>
    <row r="585" spans="5:6" ht="14">
      <c r="E585" s="89"/>
      <c r="F585" s="90"/>
    </row>
    <row r="586" spans="5:6" ht="14">
      <c r="E586" s="89"/>
      <c r="F586" s="90"/>
    </row>
    <row r="587" spans="5:6" ht="14">
      <c r="E587" s="89"/>
      <c r="F587" s="90"/>
    </row>
    <row r="588" spans="5:6" ht="14">
      <c r="E588" s="89"/>
      <c r="F588" s="90"/>
    </row>
    <row r="589" spans="5:6" ht="14">
      <c r="E589" s="89"/>
      <c r="F589" s="90"/>
    </row>
    <row r="590" spans="5:6" ht="14">
      <c r="E590" s="89"/>
      <c r="F590" s="90"/>
    </row>
    <row r="591" spans="5:6" ht="14">
      <c r="E591" s="89"/>
      <c r="F591" s="90"/>
    </row>
    <row r="592" spans="5:6" ht="14">
      <c r="E592" s="89"/>
      <c r="F592" s="90"/>
    </row>
    <row r="593" spans="5:6" ht="14">
      <c r="E593" s="89"/>
      <c r="F593" s="90"/>
    </row>
    <row r="594" spans="5:6" ht="14">
      <c r="E594" s="89"/>
      <c r="F594" s="90"/>
    </row>
    <row r="595" spans="5:6" ht="14">
      <c r="E595" s="89"/>
      <c r="F595" s="90"/>
    </row>
    <row r="596" spans="5:6" ht="14">
      <c r="E596" s="89"/>
      <c r="F596" s="90"/>
    </row>
    <row r="597" spans="5:6" ht="14">
      <c r="E597" s="89"/>
      <c r="F597" s="90"/>
    </row>
    <row r="598" spans="5:6" ht="14">
      <c r="E598" s="89"/>
      <c r="F598" s="90"/>
    </row>
    <row r="599" spans="5:6" ht="14">
      <c r="E599" s="89"/>
      <c r="F599" s="90"/>
    </row>
    <row r="600" spans="5:6" ht="14">
      <c r="E600" s="89"/>
      <c r="F600" s="90"/>
    </row>
    <row r="601" spans="5:6" ht="14">
      <c r="E601" s="89"/>
      <c r="F601" s="90"/>
    </row>
    <row r="602" spans="5:6" ht="14">
      <c r="E602" s="89"/>
      <c r="F602" s="90"/>
    </row>
    <row r="603" spans="5:6" ht="14">
      <c r="E603" s="89"/>
      <c r="F603" s="90"/>
    </row>
    <row r="604" spans="5:6" ht="14">
      <c r="E604" s="89"/>
      <c r="F604" s="90"/>
    </row>
    <row r="605" spans="5:6" ht="14">
      <c r="E605" s="89"/>
      <c r="F605" s="90"/>
    </row>
    <row r="606" spans="5:6" ht="14">
      <c r="E606" s="89"/>
      <c r="F606" s="90"/>
    </row>
    <row r="607" spans="5:6" ht="14">
      <c r="E607" s="89"/>
      <c r="F607" s="90"/>
    </row>
    <row r="608" spans="5:6" ht="14">
      <c r="E608" s="89"/>
      <c r="F608" s="90"/>
    </row>
    <row r="609" spans="5:6" ht="14">
      <c r="E609" s="89"/>
      <c r="F609" s="90"/>
    </row>
    <row r="610" spans="5:6" ht="14">
      <c r="E610" s="89"/>
      <c r="F610" s="90"/>
    </row>
    <row r="611" spans="5:6" ht="14">
      <c r="E611" s="89"/>
      <c r="F611" s="90"/>
    </row>
    <row r="612" spans="5:6" ht="14">
      <c r="E612" s="89"/>
      <c r="F612" s="90"/>
    </row>
    <row r="613" spans="5:6" ht="14">
      <c r="E613" s="89"/>
      <c r="F613" s="90"/>
    </row>
    <row r="614" spans="5:6" ht="14">
      <c r="E614" s="89"/>
      <c r="F614" s="90"/>
    </row>
    <row r="615" spans="5:6" ht="14">
      <c r="E615" s="89"/>
      <c r="F615" s="90"/>
    </row>
    <row r="616" spans="5:6" ht="14">
      <c r="E616" s="89"/>
      <c r="F616" s="90"/>
    </row>
    <row r="617" spans="5:6" ht="14">
      <c r="E617" s="89"/>
      <c r="F617" s="90"/>
    </row>
    <row r="618" spans="5:6" ht="14">
      <c r="E618" s="89"/>
      <c r="F618" s="90"/>
    </row>
    <row r="619" spans="5:6" ht="14">
      <c r="E619" s="89"/>
      <c r="F619" s="90"/>
    </row>
    <row r="620" spans="5:6" ht="14">
      <c r="E620" s="89"/>
      <c r="F620" s="90"/>
    </row>
    <row r="621" spans="5:6" ht="14">
      <c r="E621" s="89"/>
      <c r="F621" s="90"/>
    </row>
    <row r="622" spans="5:6" ht="14">
      <c r="E622" s="89"/>
      <c r="F622" s="90"/>
    </row>
    <row r="623" spans="5:6" ht="14">
      <c r="E623" s="89"/>
      <c r="F623" s="90"/>
    </row>
    <row r="624" spans="5:6" ht="14">
      <c r="E624" s="89"/>
      <c r="F624" s="90"/>
    </row>
    <row r="625" spans="5:6" ht="14">
      <c r="E625" s="89"/>
      <c r="F625" s="90"/>
    </row>
    <row r="626" spans="5:6" ht="14">
      <c r="E626" s="89"/>
      <c r="F626" s="90"/>
    </row>
    <row r="627" spans="5:6" ht="14">
      <c r="E627" s="89"/>
      <c r="F627" s="90"/>
    </row>
    <row r="628" spans="5:6" ht="14">
      <c r="E628" s="89"/>
      <c r="F628" s="90"/>
    </row>
    <row r="629" spans="5:6" ht="14">
      <c r="E629" s="89"/>
      <c r="F629" s="90"/>
    </row>
    <row r="630" spans="5:6" ht="14">
      <c r="E630" s="89"/>
      <c r="F630" s="90"/>
    </row>
    <row r="631" spans="5:6" ht="14">
      <c r="E631" s="89"/>
      <c r="F631" s="90"/>
    </row>
    <row r="632" spans="5:6" ht="14">
      <c r="E632" s="89"/>
      <c r="F632" s="90"/>
    </row>
    <row r="633" spans="5:6" ht="14">
      <c r="E633" s="89"/>
      <c r="F633" s="90"/>
    </row>
    <row r="634" spans="5:6" ht="14">
      <c r="E634" s="89"/>
      <c r="F634" s="90"/>
    </row>
    <row r="635" spans="5:6" ht="14">
      <c r="E635" s="89"/>
      <c r="F635" s="90"/>
    </row>
    <row r="636" spans="5:6" ht="14">
      <c r="E636" s="89"/>
      <c r="F636" s="90"/>
    </row>
    <row r="637" spans="5:6" ht="14">
      <c r="E637" s="89"/>
      <c r="F637" s="90"/>
    </row>
    <row r="638" spans="5:6" ht="14">
      <c r="E638" s="89"/>
      <c r="F638" s="90"/>
    </row>
    <row r="639" spans="5:6" ht="14">
      <c r="E639" s="89"/>
      <c r="F639" s="90"/>
    </row>
    <row r="640" spans="5:6" ht="14">
      <c r="E640" s="89"/>
      <c r="F640" s="90"/>
    </row>
    <row r="641" spans="5:6" ht="14">
      <c r="E641" s="89"/>
      <c r="F641" s="90"/>
    </row>
    <row r="642" spans="5:6" ht="14">
      <c r="E642" s="89"/>
      <c r="F642" s="90"/>
    </row>
    <row r="643" spans="5:6" ht="14">
      <c r="E643" s="89"/>
      <c r="F643" s="90"/>
    </row>
    <row r="644" spans="5:6" ht="14">
      <c r="E644" s="89"/>
      <c r="F644" s="90"/>
    </row>
    <row r="645" spans="5:6" ht="14">
      <c r="E645" s="89"/>
      <c r="F645" s="90"/>
    </row>
    <row r="646" spans="5:6" ht="14">
      <c r="E646" s="89"/>
      <c r="F646" s="90"/>
    </row>
    <row r="647" spans="5:6" ht="14">
      <c r="E647" s="89"/>
      <c r="F647" s="90"/>
    </row>
    <row r="648" spans="5:6" ht="14">
      <c r="E648" s="89"/>
      <c r="F648" s="90"/>
    </row>
    <row r="649" spans="5:6" ht="14">
      <c r="E649" s="89"/>
      <c r="F649" s="90"/>
    </row>
    <row r="650" spans="5:6" ht="14">
      <c r="E650" s="89"/>
      <c r="F650" s="90"/>
    </row>
    <row r="651" spans="5:6" ht="14">
      <c r="E651" s="89"/>
      <c r="F651" s="90"/>
    </row>
    <row r="652" spans="5:6" ht="14">
      <c r="E652" s="89"/>
      <c r="F652" s="90"/>
    </row>
    <row r="653" spans="5:6" ht="14">
      <c r="E653" s="89"/>
      <c r="F653" s="90"/>
    </row>
    <row r="654" spans="5:6" ht="14">
      <c r="E654" s="89"/>
      <c r="F654" s="90"/>
    </row>
    <row r="655" spans="5:6" ht="14">
      <c r="E655" s="89"/>
      <c r="F655" s="90"/>
    </row>
    <row r="656" spans="5:6" ht="14">
      <c r="E656" s="89"/>
      <c r="F656" s="90"/>
    </row>
    <row r="657" spans="5:6" ht="14">
      <c r="E657" s="89"/>
      <c r="F657" s="90"/>
    </row>
    <row r="658" spans="5:6" ht="14">
      <c r="E658" s="89"/>
      <c r="F658" s="90"/>
    </row>
    <row r="659" spans="5:6" ht="14">
      <c r="E659" s="89"/>
      <c r="F659" s="90"/>
    </row>
    <row r="660" spans="5:6" ht="14">
      <c r="E660" s="89"/>
      <c r="F660" s="90"/>
    </row>
    <row r="661" spans="5:6" ht="14">
      <c r="E661" s="89"/>
      <c r="F661" s="90"/>
    </row>
    <row r="662" spans="5:6" ht="14">
      <c r="E662" s="89"/>
      <c r="F662" s="90"/>
    </row>
    <row r="663" spans="5:6" ht="14">
      <c r="E663" s="89"/>
      <c r="F663" s="90"/>
    </row>
    <row r="664" spans="5:6" ht="14">
      <c r="E664" s="89"/>
      <c r="F664" s="90"/>
    </row>
    <row r="665" spans="5:6" ht="14">
      <c r="E665" s="89"/>
      <c r="F665" s="90"/>
    </row>
    <row r="666" spans="5:6" ht="14">
      <c r="E666" s="89"/>
      <c r="F666" s="90"/>
    </row>
    <row r="667" spans="5:6" ht="14">
      <c r="E667" s="89"/>
      <c r="F667" s="90"/>
    </row>
    <row r="668" spans="5:6" ht="14">
      <c r="E668" s="89"/>
      <c r="F668" s="90"/>
    </row>
    <row r="669" spans="5:6" ht="14">
      <c r="E669" s="89"/>
      <c r="F669" s="90"/>
    </row>
    <row r="670" spans="5:6" ht="14">
      <c r="E670" s="89"/>
      <c r="F670" s="90"/>
    </row>
    <row r="671" spans="5:6" ht="14">
      <c r="E671" s="89"/>
      <c r="F671" s="90"/>
    </row>
    <row r="672" spans="5:6" ht="14">
      <c r="E672" s="89"/>
      <c r="F672" s="90"/>
    </row>
    <row r="673" spans="5:6" ht="14">
      <c r="E673" s="89"/>
      <c r="F673" s="90"/>
    </row>
    <row r="674" spans="5:6" ht="14">
      <c r="E674" s="89"/>
      <c r="F674" s="90"/>
    </row>
    <row r="675" spans="5:6" ht="14">
      <c r="E675" s="89"/>
      <c r="F675" s="90"/>
    </row>
    <row r="676" spans="5:6" ht="14">
      <c r="E676" s="89"/>
      <c r="F676" s="90"/>
    </row>
    <row r="677" spans="5:6" ht="14">
      <c r="E677" s="89"/>
      <c r="F677" s="90"/>
    </row>
    <row r="678" spans="5:6" ht="14">
      <c r="E678" s="89"/>
      <c r="F678" s="90"/>
    </row>
    <row r="679" spans="5:6" ht="14">
      <c r="E679" s="89"/>
      <c r="F679" s="90"/>
    </row>
    <row r="680" spans="5:6" ht="14">
      <c r="E680" s="89"/>
      <c r="F680" s="90"/>
    </row>
    <row r="681" spans="5:6" ht="14">
      <c r="E681" s="89"/>
      <c r="F681" s="90"/>
    </row>
    <row r="682" spans="5:6" ht="14">
      <c r="E682" s="89"/>
      <c r="F682" s="90"/>
    </row>
    <row r="683" spans="5:6" ht="14">
      <c r="E683" s="89"/>
      <c r="F683" s="90"/>
    </row>
    <row r="684" spans="5:6" ht="14">
      <c r="E684" s="89"/>
      <c r="F684" s="90"/>
    </row>
    <row r="685" spans="5:6" ht="14">
      <c r="E685" s="89"/>
      <c r="F685" s="90"/>
    </row>
    <row r="686" spans="5:6" ht="14">
      <c r="E686" s="89"/>
      <c r="F686" s="90"/>
    </row>
    <row r="687" spans="5:6" ht="14">
      <c r="E687" s="89"/>
      <c r="F687" s="90"/>
    </row>
    <row r="688" spans="5:6" ht="14">
      <c r="E688" s="89"/>
      <c r="F688" s="90"/>
    </row>
    <row r="689" spans="5:6" ht="14">
      <c r="E689" s="89"/>
      <c r="F689" s="90"/>
    </row>
    <row r="690" spans="5:6" ht="14">
      <c r="E690" s="89"/>
      <c r="F690" s="90"/>
    </row>
    <row r="691" spans="5:6" ht="14">
      <c r="E691" s="89"/>
      <c r="F691" s="90"/>
    </row>
    <row r="692" spans="5:6" ht="14">
      <c r="E692" s="89"/>
      <c r="F692" s="90"/>
    </row>
    <row r="693" spans="5:6" ht="14">
      <c r="E693" s="89"/>
      <c r="F693" s="90"/>
    </row>
    <row r="694" spans="5:6" ht="14">
      <c r="E694" s="89"/>
      <c r="F694" s="90"/>
    </row>
    <row r="695" spans="5:6" ht="14">
      <c r="E695" s="89"/>
      <c r="F695" s="90"/>
    </row>
    <row r="696" spans="5:6" ht="14">
      <c r="E696" s="89"/>
      <c r="F696" s="90"/>
    </row>
    <row r="697" spans="5:6" ht="14">
      <c r="E697" s="89"/>
      <c r="F697" s="90"/>
    </row>
    <row r="698" spans="5:6" ht="14">
      <c r="E698" s="89"/>
      <c r="F698" s="90"/>
    </row>
    <row r="699" spans="5:6" ht="14">
      <c r="E699" s="89"/>
      <c r="F699" s="90"/>
    </row>
    <row r="700" spans="5:6" ht="14">
      <c r="E700" s="89"/>
      <c r="F700" s="90"/>
    </row>
    <row r="701" spans="5:6" ht="14">
      <c r="E701" s="89"/>
      <c r="F701" s="90"/>
    </row>
    <row r="702" spans="5:6" ht="14">
      <c r="E702" s="89"/>
      <c r="F702" s="90"/>
    </row>
    <row r="703" spans="5:6" ht="14">
      <c r="E703" s="89"/>
      <c r="F703" s="90"/>
    </row>
    <row r="704" spans="5:6" ht="14">
      <c r="E704" s="89"/>
      <c r="F704" s="90"/>
    </row>
    <row r="705" spans="5:6" ht="14">
      <c r="E705" s="89"/>
      <c r="F705" s="90"/>
    </row>
    <row r="706" spans="5:6" ht="14">
      <c r="E706" s="89"/>
      <c r="F706" s="90"/>
    </row>
    <row r="707" spans="5:6" ht="14">
      <c r="E707" s="89"/>
      <c r="F707" s="90"/>
    </row>
    <row r="708" spans="5:6" ht="14">
      <c r="E708" s="89"/>
      <c r="F708" s="90"/>
    </row>
    <row r="709" spans="5:6" ht="14">
      <c r="E709" s="89"/>
      <c r="F709" s="90"/>
    </row>
    <row r="710" spans="5:6" ht="14">
      <c r="E710" s="89"/>
      <c r="F710" s="90"/>
    </row>
    <row r="711" spans="5:6" ht="14">
      <c r="E711" s="89"/>
      <c r="F711" s="90"/>
    </row>
    <row r="712" spans="5:6" ht="14">
      <c r="E712" s="89"/>
      <c r="F712" s="90"/>
    </row>
    <row r="713" spans="5:6" ht="14">
      <c r="E713" s="89"/>
      <c r="F713" s="90"/>
    </row>
    <row r="714" spans="5:6" ht="14">
      <c r="E714" s="89"/>
      <c r="F714" s="90"/>
    </row>
    <row r="715" spans="5:6" ht="14">
      <c r="E715" s="89"/>
      <c r="F715" s="90"/>
    </row>
    <row r="716" spans="5:6" ht="14">
      <c r="E716" s="89"/>
      <c r="F716" s="90"/>
    </row>
    <row r="717" spans="5:6" ht="14">
      <c r="E717" s="89"/>
      <c r="F717" s="90"/>
    </row>
    <row r="718" spans="5:6" ht="14">
      <c r="E718" s="89"/>
      <c r="F718" s="90"/>
    </row>
    <row r="719" spans="5:6" ht="14">
      <c r="E719" s="89"/>
      <c r="F719" s="90"/>
    </row>
    <row r="720" spans="5:6" ht="14">
      <c r="E720" s="89"/>
      <c r="F720" s="90"/>
    </row>
    <row r="721" spans="5:6" ht="14">
      <c r="E721" s="89"/>
      <c r="F721" s="90"/>
    </row>
    <row r="722" spans="5:6" ht="14">
      <c r="E722" s="89"/>
      <c r="F722" s="90"/>
    </row>
    <row r="723" spans="5:6" ht="14">
      <c r="E723" s="89"/>
      <c r="F723" s="90"/>
    </row>
    <row r="724" spans="5:6" ht="14">
      <c r="E724" s="89"/>
      <c r="F724" s="90"/>
    </row>
    <row r="725" spans="5:6" ht="14">
      <c r="E725" s="89"/>
      <c r="F725" s="90"/>
    </row>
    <row r="726" spans="5:6" ht="14">
      <c r="E726" s="89"/>
      <c r="F726" s="90"/>
    </row>
    <row r="727" spans="5:6" ht="14">
      <c r="E727" s="89"/>
      <c r="F727" s="90"/>
    </row>
    <row r="728" spans="5:6" ht="14">
      <c r="E728" s="89"/>
      <c r="F728" s="90"/>
    </row>
    <row r="729" spans="5:6" ht="14">
      <c r="E729" s="89"/>
      <c r="F729" s="90"/>
    </row>
    <row r="730" spans="5:6" ht="14">
      <c r="E730" s="89"/>
      <c r="F730" s="90"/>
    </row>
    <row r="731" spans="5:6" ht="14">
      <c r="E731" s="89"/>
      <c r="F731" s="90"/>
    </row>
    <row r="732" spans="5:6" ht="14">
      <c r="E732" s="89"/>
      <c r="F732" s="90"/>
    </row>
    <row r="733" spans="5:6" ht="14">
      <c r="E733" s="89"/>
      <c r="F733" s="90"/>
    </row>
    <row r="734" spans="5:6" ht="14">
      <c r="E734" s="89"/>
      <c r="F734" s="90"/>
    </row>
    <row r="735" spans="5:6" ht="14">
      <c r="E735" s="89"/>
      <c r="F735" s="90"/>
    </row>
    <row r="736" spans="5:6" ht="14">
      <c r="E736" s="89"/>
      <c r="F736" s="90"/>
    </row>
    <row r="737" spans="5:6" ht="14">
      <c r="E737" s="89"/>
      <c r="F737" s="90"/>
    </row>
    <row r="738" spans="5:6" ht="14">
      <c r="E738" s="89"/>
      <c r="F738" s="90"/>
    </row>
    <row r="739" spans="5:6" ht="14">
      <c r="E739" s="89"/>
      <c r="F739" s="90"/>
    </row>
    <row r="740" spans="5:6" ht="14">
      <c r="E740" s="89"/>
      <c r="F740" s="90"/>
    </row>
    <row r="741" spans="5:6" ht="14">
      <c r="E741" s="89"/>
      <c r="F741" s="90"/>
    </row>
    <row r="742" spans="5:6" ht="14">
      <c r="E742" s="89"/>
      <c r="F742" s="90"/>
    </row>
    <row r="743" spans="5:6" ht="14">
      <c r="E743" s="89"/>
      <c r="F743" s="90"/>
    </row>
    <row r="744" spans="5:6" ht="14">
      <c r="E744" s="89"/>
      <c r="F744" s="90"/>
    </row>
    <row r="745" spans="5:6" ht="14">
      <c r="E745" s="89"/>
      <c r="F745" s="90"/>
    </row>
    <row r="746" spans="5:6" ht="14">
      <c r="E746" s="89"/>
      <c r="F746" s="90"/>
    </row>
    <row r="747" spans="5:6" ht="14">
      <c r="E747" s="89"/>
      <c r="F747" s="90"/>
    </row>
    <row r="748" spans="5:6" ht="14">
      <c r="E748" s="89"/>
      <c r="F748" s="90"/>
    </row>
    <row r="749" spans="5:6" ht="14">
      <c r="E749" s="89"/>
      <c r="F749" s="90"/>
    </row>
    <row r="750" spans="5:6" ht="14">
      <c r="E750" s="89"/>
      <c r="F750" s="90"/>
    </row>
    <row r="751" spans="5:6" ht="14">
      <c r="E751" s="89"/>
      <c r="F751" s="90"/>
    </row>
    <row r="752" spans="5:6" ht="14">
      <c r="E752" s="89"/>
      <c r="F752" s="90"/>
    </row>
    <row r="753" spans="5:6" ht="14">
      <c r="E753" s="89"/>
      <c r="F753" s="90"/>
    </row>
    <row r="754" spans="5:6" ht="14">
      <c r="E754" s="89"/>
      <c r="F754" s="90"/>
    </row>
    <row r="755" spans="5:6" ht="14">
      <c r="E755" s="89"/>
      <c r="F755" s="90"/>
    </row>
    <row r="756" spans="5:6" ht="14">
      <c r="E756" s="89"/>
      <c r="F756" s="90"/>
    </row>
    <row r="757" spans="5:6" ht="14">
      <c r="E757" s="89"/>
      <c r="F757" s="90"/>
    </row>
    <row r="758" spans="5:6" ht="14">
      <c r="E758" s="89"/>
      <c r="F758" s="90"/>
    </row>
    <row r="759" spans="5:6" ht="14">
      <c r="E759" s="89"/>
      <c r="F759" s="90"/>
    </row>
    <row r="760" spans="5:6" ht="14">
      <c r="E760" s="89"/>
      <c r="F760" s="90"/>
    </row>
    <row r="761" spans="5:6" ht="14">
      <c r="E761" s="89"/>
      <c r="F761" s="90"/>
    </row>
    <row r="762" spans="5:6" ht="14">
      <c r="E762" s="89"/>
      <c r="F762" s="90"/>
    </row>
    <row r="763" spans="5:6" ht="14">
      <c r="E763" s="89"/>
      <c r="F763" s="90"/>
    </row>
    <row r="764" spans="5:6" ht="14">
      <c r="E764" s="89"/>
      <c r="F764" s="90"/>
    </row>
    <row r="765" spans="5:6" ht="14">
      <c r="E765" s="89"/>
      <c r="F765" s="90"/>
    </row>
    <row r="766" spans="5:6" ht="14">
      <c r="E766" s="89"/>
      <c r="F766" s="90"/>
    </row>
    <row r="767" spans="5:6" ht="14">
      <c r="E767" s="89"/>
      <c r="F767" s="90"/>
    </row>
    <row r="768" spans="5:6" ht="14">
      <c r="E768" s="89"/>
      <c r="F768" s="90"/>
    </row>
    <row r="769" spans="5:6" ht="14">
      <c r="E769" s="89"/>
      <c r="F769" s="90"/>
    </row>
    <row r="770" spans="5:6" ht="14">
      <c r="E770" s="89"/>
      <c r="F770" s="90"/>
    </row>
    <row r="771" spans="5:6" ht="14">
      <c r="E771" s="89"/>
      <c r="F771" s="90"/>
    </row>
    <row r="772" spans="5:6" ht="14">
      <c r="E772" s="89"/>
      <c r="F772" s="90"/>
    </row>
    <row r="773" spans="5:6" ht="14">
      <c r="E773" s="89"/>
      <c r="F773" s="90"/>
    </row>
    <row r="774" spans="5:6" ht="14">
      <c r="E774" s="89"/>
      <c r="F774" s="90"/>
    </row>
    <row r="775" spans="5:6" ht="14">
      <c r="E775" s="89"/>
      <c r="F775" s="90"/>
    </row>
    <row r="776" spans="5:6" ht="14">
      <c r="E776" s="89"/>
      <c r="F776" s="90"/>
    </row>
    <row r="777" spans="5:6" ht="14">
      <c r="E777" s="89"/>
      <c r="F777" s="90"/>
    </row>
    <row r="778" spans="5:6" ht="14">
      <c r="E778" s="89"/>
      <c r="F778" s="90"/>
    </row>
    <row r="779" spans="5:6" ht="14">
      <c r="E779" s="89"/>
      <c r="F779" s="90"/>
    </row>
    <row r="780" spans="5:6" ht="14">
      <c r="E780" s="89"/>
      <c r="F780" s="90"/>
    </row>
    <row r="781" spans="5:6" ht="14">
      <c r="E781" s="89"/>
      <c r="F781" s="90"/>
    </row>
    <row r="782" spans="5:6" ht="14">
      <c r="E782" s="89"/>
      <c r="F782" s="90"/>
    </row>
    <row r="783" spans="5:6" ht="14">
      <c r="E783" s="89"/>
      <c r="F783" s="90"/>
    </row>
    <row r="784" spans="5:6" ht="14">
      <c r="E784" s="89"/>
      <c r="F784" s="90"/>
    </row>
    <row r="785" spans="5:6" ht="14">
      <c r="E785" s="89"/>
      <c r="F785" s="90"/>
    </row>
    <row r="786" spans="5:6" ht="14">
      <c r="E786" s="89"/>
      <c r="F786" s="90"/>
    </row>
    <row r="787" spans="5:6" ht="14">
      <c r="E787" s="89"/>
      <c r="F787" s="90"/>
    </row>
    <row r="788" spans="5:6" ht="14">
      <c r="E788" s="89"/>
      <c r="F788" s="90"/>
    </row>
    <row r="789" spans="5:6" ht="14">
      <c r="E789" s="89"/>
      <c r="F789" s="90"/>
    </row>
    <row r="790" spans="5:6" ht="14">
      <c r="E790" s="89"/>
      <c r="F790" s="90"/>
    </row>
    <row r="791" spans="5:6" ht="14">
      <c r="E791" s="89"/>
      <c r="F791" s="90"/>
    </row>
    <row r="792" spans="5:6" ht="14">
      <c r="E792" s="89"/>
      <c r="F792" s="90"/>
    </row>
    <row r="793" spans="5:6" ht="14">
      <c r="E793" s="89"/>
      <c r="F793" s="90"/>
    </row>
    <row r="794" spans="5:6" ht="14">
      <c r="E794" s="89"/>
      <c r="F794" s="90"/>
    </row>
    <row r="795" spans="5:6" ht="14">
      <c r="E795" s="89"/>
      <c r="F795" s="90"/>
    </row>
    <row r="796" spans="5:6" ht="14">
      <c r="E796" s="89"/>
      <c r="F796" s="90"/>
    </row>
    <row r="797" spans="5:6" ht="14">
      <c r="E797" s="89"/>
      <c r="F797" s="90"/>
    </row>
    <row r="798" spans="5:6" ht="14">
      <c r="E798" s="89"/>
      <c r="F798" s="90"/>
    </row>
    <row r="799" spans="5:6" ht="14">
      <c r="E799" s="89"/>
      <c r="F799" s="90"/>
    </row>
    <row r="800" spans="5:6" ht="14">
      <c r="E800" s="89"/>
      <c r="F800" s="90"/>
    </row>
    <row r="801" spans="5:6" ht="14">
      <c r="E801" s="89"/>
      <c r="F801" s="90"/>
    </row>
    <row r="802" spans="5:6" ht="14">
      <c r="E802" s="89"/>
      <c r="F802" s="90"/>
    </row>
    <row r="803" spans="5:6" ht="14">
      <c r="E803" s="89"/>
      <c r="F803" s="90"/>
    </row>
    <row r="804" spans="5:6" ht="14">
      <c r="E804" s="89"/>
      <c r="F804" s="90"/>
    </row>
    <row r="805" spans="5:6" ht="14">
      <c r="E805" s="89"/>
      <c r="F805" s="90"/>
    </row>
    <row r="806" spans="5:6" ht="14">
      <c r="E806" s="89"/>
      <c r="F806" s="90"/>
    </row>
    <row r="807" spans="5:6" ht="14">
      <c r="E807" s="89"/>
      <c r="F807" s="90"/>
    </row>
    <row r="808" spans="5:6" ht="14">
      <c r="E808" s="89"/>
      <c r="F808" s="90"/>
    </row>
    <row r="809" spans="5:6" ht="14">
      <c r="E809" s="89"/>
      <c r="F809" s="90"/>
    </row>
    <row r="810" spans="5:6" ht="14">
      <c r="E810" s="89"/>
      <c r="F810" s="90"/>
    </row>
    <row r="811" spans="5:6" ht="14">
      <c r="E811" s="89"/>
      <c r="F811" s="90"/>
    </row>
    <row r="812" spans="5:6" ht="14">
      <c r="E812" s="89"/>
      <c r="F812" s="90"/>
    </row>
    <row r="813" spans="5:6" ht="14">
      <c r="E813" s="89"/>
      <c r="F813" s="90"/>
    </row>
    <row r="814" spans="5:6" ht="14">
      <c r="E814" s="89"/>
      <c r="F814" s="90"/>
    </row>
    <row r="815" spans="5:6" ht="14">
      <c r="E815" s="89"/>
      <c r="F815" s="90"/>
    </row>
    <row r="816" spans="5:6" ht="14">
      <c r="E816" s="89"/>
      <c r="F816" s="90"/>
    </row>
    <row r="817" spans="5:6" ht="14">
      <c r="E817" s="89"/>
      <c r="F817" s="90"/>
    </row>
    <row r="818" spans="5:6" ht="14">
      <c r="E818" s="89"/>
      <c r="F818" s="90"/>
    </row>
    <row r="819" spans="5:6" ht="14">
      <c r="E819" s="89"/>
      <c r="F819" s="90"/>
    </row>
    <row r="820" spans="5:6" ht="14">
      <c r="E820" s="89"/>
      <c r="F820" s="90"/>
    </row>
    <row r="821" spans="5:6" ht="14">
      <c r="E821" s="89"/>
      <c r="F821" s="90"/>
    </row>
    <row r="822" spans="5:6" ht="14">
      <c r="E822" s="89"/>
      <c r="F822" s="90"/>
    </row>
    <row r="823" spans="5:6" ht="14">
      <c r="E823" s="89"/>
      <c r="F823" s="90"/>
    </row>
    <row r="824" spans="5:6" ht="14">
      <c r="E824" s="89"/>
      <c r="F824" s="90"/>
    </row>
    <row r="825" spans="5:6" ht="14">
      <c r="E825" s="89"/>
      <c r="F825" s="90"/>
    </row>
    <row r="826" spans="5:6" ht="14">
      <c r="E826" s="89"/>
      <c r="F826" s="90"/>
    </row>
    <row r="827" spans="5:6" ht="14">
      <c r="E827" s="89"/>
      <c r="F827" s="90"/>
    </row>
    <row r="828" spans="5:6" ht="14">
      <c r="E828" s="89"/>
      <c r="F828" s="90"/>
    </row>
    <row r="829" spans="5:6" ht="14">
      <c r="E829" s="89"/>
      <c r="F829" s="90"/>
    </row>
    <row r="830" spans="5:6" ht="14">
      <c r="E830" s="89"/>
      <c r="F830" s="90"/>
    </row>
    <row r="831" spans="5:6" ht="14">
      <c r="E831" s="89"/>
      <c r="F831" s="90"/>
    </row>
    <row r="832" spans="5:6" ht="14">
      <c r="E832" s="89"/>
      <c r="F832" s="90"/>
    </row>
    <row r="833" spans="5:6" ht="14">
      <c r="E833" s="89"/>
      <c r="F833" s="90"/>
    </row>
    <row r="834" spans="5:6" ht="14">
      <c r="E834" s="89"/>
      <c r="F834" s="90"/>
    </row>
    <row r="835" spans="5:6" ht="14">
      <c r="E835" s="89"/>
      <c r="F835" s="90"/>
    </row>
    <row r="836" spans="5:6" ht="14">
      <c r="E836" s="89"/>
      <c r="F836" s="90"/>
    </row>
    <row r="837" spans="5:6" ht="14">
      <c r="E837" s="89"/>
      <c r="F837" s="90"/>
    </row>
    <row r="838" spans="5:6" ht="14">
      <c r="E838" s="89"/>
      <c r="F838" s="90"/>
    </row>
    <row r="839" spans="5:6" ht="14">
      <c r="E839" s="89"/>
      <c r="F839" s="90"/>
    </row>
    <row r="840" spans="5:6" ht="14">
      <c r="E840" s="89"/>
      <c r="F840" s="90"/>
    </row>
    <row r="841" spans="5:6" ht="14">
      <c r="E841" s="89"/>
      <c r="F841" s="90"/>
    </row>
    <row r="842" spans="5:6" ht="14">
      <c r="E842" s="89"/>
      <c r="F842" s="90"/>
    </row>
    <row r="843" spans="5:6" ht="14">
      <c r="E843" s="89"/>
      <c r="F843" s="90"/>
    </row>
    <row r="844" spans="5:6" ht="14">
      <c r="E844" s="89"/>
      <c r="F844" s="90"/>
    </row>
    <row r="845" spans="5:6" ht="14">
      <c r="E845" s="89"/>
      <c r="F845" s="90"/>
    </row>
    <row r="846" spans="5:6" ht="14">
      <c r="E846" s="89"/>
      <c r="F846" s="90"/>
    </row>
    <row r="847" spans="5:6" ht="14">
      <c r="E847" s="89"/>
      <c r="F847" s="90"/>
    </row>
    <row r="848" spans="5:6" ht="14">
      <c r="E848" s="89"/>
      <c r="F848" s="90"/>
    </row>
    <row r="849" spans="5:6" ht="14">
      <c r="E849" s="89"/>
      <c r="F849" s="90"/>
    </row>
    <row r="850" spans="5:6" ht="14">
      <c r="E850" s="89"/>
      <c r="F850" s="90"/>
    </row>
    <row r="851" spans="5:6" ht="14">
      <c r="E851" s="89"/>
      <c r="F851" s="90"/>
    </row>
    <row r="852" spans="5:6" ht="14">
      <c r="E852" s="89"/>
      <c r="F852" s="90"/>
    </row>
    <row r="853" spans="5:6" ht="14">
      <c r="E853" s="89"/>
      <c r="F853" s="90"/>
    </row>
    <row r="854" spans="5:6" ht="14">
      <c r="E854" s="89"/>
      <c r="F854" s="90"/>
    </row>
    <row r="855" spans="5:6" ht="14">
      <c r="E855" s="89"/>
      <c r="F855" s="90"/>
    </row>
    <row r="856" spans="5:6" ht="14">
      <c r="E856" s="89"/>
      <c r="F856" s="90"/>
    </row>
    <row r="857" spans="5:6" ht="14">
      <c r="E857" s="89"/>
      <c r="F857" s="90"/>
    </row>
    <row r="858" spans="5:6" ht="14">
      <c r="E858" s="89"/>
      <c r="F858" s="90"/>
    </row>
    <row r="859" spans="5:6" ht="14">
      <c r="E859" s="89"/>
      <c r="F859" s="90"/>
    </row>
    <row r="860" spans="5:6" ht="14">
      <c r="E860" s="89"/>
      <c r="F860" s="90"/>
    </row>
    <row r="861" spans="5:6" ht="14">
      <c r="E861" s="89"/>
      <c r="F861" s="90"/>
    </row>
    <row r="862" spans="5:6" ht="14">
      <c r="E862" s="89"/>
      <c r="F862" s="90"/>
    </row>
    <row r="863" spans="5:6" ht="14">
      <c r="E863" s="89"/>
      <c r="F863" s="90"/>
    </row>
    <row r="864" spans="5:6" ht="14">
      <c r="E864" s="89"/>
      <c r="F864" s="90"/>
    </row>
    <row r="865" spans="5:6" ht="14">
      <c r="E865" s="89"/>
      <c r="F865" s="90"/>
    </row>
    <row r="866" spans="5:6" ht="14">
      <c r="E866" s="89"/>
      <c r="F866" s="90"/>
    </row>
    <row r="867" spans="5:6" ht="14">
      <c r="E867" s="89"/>
      <c r="F867" s="90"/>
    </row>
    <row r="868" spans="5:6" ht="14">
      <c r="E868" s="89"/>
      <c r="F868" s="90"/>
    </row>
    <row r="869" spans="5:6" ht="14">
      <c r="E869" s="89"/>
      <c r="F869" s="90"/>
    </row>
    <row r="870" spans="5:6" ht="14">
      <c r="E870" s="89"/>
      <c r="F870" s="90"/>
    </row>
    <row r="871" spans="5:6" ht="14">
      <c r="E871" s="89"/>
      <c r="F871" s="90"/>
    </row>
    <row r="872" spans="5:6" ht="14">
      <c r="E872" s="89"/>
      <c r="F872" s="90"/>
    </row>
    <row r="873" spans="5:6" ht="14">
      <c r="E873" s="89"/>
      <c r="F873" s="90"/>
    </row>
    <row r="874" spans="5:6" ht="14">
      <c r="E874" s="89"/>
      <c r="F874" s="90"/>
    </row>
    <row r="875" spans="5:6" ht="14">
      <c r="E875" s="89"/>
      <c r="F875" s="90"/>
    </row>
    <row r="876" spans="5:6" ht="14">
      <c r="E876" s="89"/>
      <c r="F876" s="90"/>
    </row>
    <row r="877" spans="5:6" ht="14">
      <c r="E877" s="89"/>
      <c r="F877" s="90"/>
    </row>
    <row r="878" spans="5:6" ht="14">
      <c r="E878" s="89"/>
      <c r="F878" s="90"/>
    </row>
    <row r="879" spans="5:6" ht="14">
      <c r="E879" s="89"/>
      <c r="F879" s="90"/>
    </row>
    <row r="880" spans="5:6" ht="14">
      <c r="E880" s="89"/>
      <c r="F880" s="90"/>
    </row>
    <row r="881" spans="5:6" ht="14">
      <c r="E881" s="89"/>
      <c r="F881" s="90"/>
    </row>
    <row r="882" spans="5:6" ht="14">
      <c r="E882" s="89"/>
      <c r="F882" s="90"/>
    </row>
    <row r="883" spans="5:6" ht="14">
      <c r="E883" s="89"/>
      <c r="F883" s="90"/>
    </row>
    <row r="884" spans="5:6" ht="14">
      <c r="E884" s="89"/>
      <c r="F884" s="90"/>
    </row>
    <row r="885" spans="5:6" ht="14">
      <c r="E885" s="89"/>
      <c r="F885" s="90"/>
    </row>
    <row r="886" spans="5:6" ht="14">
      <c r="E886" s="89"/>
      <c r="F886" s="90"/>
    </row>
    <row r="887" spans="5:6" ht="14">
      <c r="E887" s="89"/>
      <c r="F887" s="90"/>
    </row>
    <row r="888" spans="5:6" ht="14">
      <c r="E888" s="89"/>
      <c r="F888" s="90"/>
    </row>
    <row r="889" spans="5:6" ht="14">
      <c r="E889" s="89"/>
      <c r="F889" s="90"/>
    </row>
    <row r="890" spans="5:6" ht="14">
      <c r="E890" s="89"/>
      <c r="F890" s="90"/>
    </row>
    <row r="891" spans="5:6" ht="14">
      <c r="E891" s="89"/>
      <c r="F891" s="90"/>
    </row>
    <row r="892" spans="5:6" ht="14">
      <c r="E892" s="89"/>
      <c r="F892" s="90"/>
    </row>
    <row r="893" spans="5:6" ht="14">
      <c r="E893" s="89"/>
      <c r="F893" s="90"/>
    </row>
    <row r="894" spans="5:6" ht="14">
      <c r="E894" s="89"/>
      <c r="F894" s="90"/>
    </row>
    <row r="895" spans="5:6" ht="14">
      <c r="E895" s="89"/>
      <c r="F895" s="90"/>
    </row>
    <row r="896" spans="5:6" ht="14">
      <c r="E896" s="89"/>
      <c r="F896" s="90"/>
    </row>
    <row r="897" spans="5:6" ht="14">
      <c r="E897" s="89"/>
      <c r="F897" s="90"/>
    </row>
    <row r="898" spans="5:6" ht="14">
      <c r="E898" s="89"/>
      <c r="F898" s="90"/>
    </row>
    <row r="899" spans="5:6" ht="14">
      <c r="E899" s="89"/>
      <c r="F899" s="90"/>
    </row>
    <row r="900" spans="5:6" ht="14">
      <c r="E900" s="89"/>
      <c r="F900" s="90"/>
    </row>
    <row r="901" spans="5:6" ht="14">
      <c r="E901" s="89"/>
      <c r="F901" s="90"/>
    </row>
    <row r="902" spans="5:6" ht="14">
      <c r="E902" s="89"/>
      <c r="F902" s="90"/>
    </row>
    <row r="903" spans="5:6" ht="14">
      <c r="E903" s="89"/>
      <c r="F903" s="90"/>
    </row>
    <row r="904" spans="5:6" ht="14">
      <c r="E904" s="89"/>
      <c r="F904" s="90"/>
    </row>
    <row r="905" spans="5:6" ht="14">
      <c r="E905" s="89"/>
      <c r="F905" s="90"/>
    </row>
    <row r="906" spans="5:6" ht="14">
      <c r="E906" s="89"/>
      <c r="F906" s="90"/>
    </row>
    <row r="907" spans="5:6" ht="14">
      <c r="E907" s="89"/>
      <c r="F907" s="90"/>
    </row>
    <row r="908" spans="5:6" ht="14">
      <c r="E908" s="89"/>
      <c r="F908" s="90"/>
    </row>
    <row r="909" spans="5:6" ht="14">
      <c r="E909" s="89"/>
      <c r="F909" s="90"/>
    </row>
    <row r="910" spans="5:6" ht="14">
      <c r="E910" s="89"/>
      <c r="F910" s="90"/>
    </row>
    <row r="911" spans="5:6" ht="14">
      <c r="E911" s="89"/>
      <c r="F911" s="90"/>
    </row>
    <row r="912" spans="5:6" ht="14">
      <c r="E912" s="89"/>
      <c r="F912" s="90"/>
    </row>
    <row r="913" spans="5:6" ht="14">
      <c r="E913" s="89"/>
      <c r="F913" s="90"/>
    </row>
    <row r="914" spans="5:6" ht="14">
      <c r="E914" s="89"/>
      <c r="F914" s="90"/>
    </row>
    <row r="915" spans="5:6" ht="14">
      <c r="E915" s="89"/>
      <c r="F915" s="90"/>
    </row>
    <row r="916" spans="5:6" ht="14">
      <c r="E916" s="89"/>
      <c r="F916" s="90"/>
    </row>
    <row r="917" spans="5:6" ht="14">
      <c r="E917" s="89"/>
      <c r="F917" s="90"/>
    </row>
    <row r="918" spans="5:6" ht="14">
      <c r="E918" s="89"/>
      <c r="F918" s="90"/>
    </row>
    <row r="919" spans="5:6" ht="14">
      <c r="E919" s="89"/>
      <c r="F919" s="90"/>
    </row>
    <row r="920" spans="5:6" ht="14">
      <c r="E920" s="89"/>
      <c r="F920" s="90"/>
    </row>
    <row r="921" spans="5:6" ht="14">
      <c r="E921" s="89"/>
      <c r="F921" s="90"/>
    </row>
    <row r="922" spans="5:6" ht="14">
      <c r="E922" s="89"/>
      <c r="F922" s="90"/>
    </row>
    <row r="923" spans="5:6" ht="14">
      <c r="E923" s="89"/>
      <c r="F923" s="90"/>
    </row>
    <row r="924" spans="5:6" ht="14">
      <c r="E924" s="89"/>
      <c r="F924" s="90"/>
    </row>
    <row r="925" spans="5:6" ht="14">
      <c r="E925" s="89"/>
      <c r="F925" s="90"/>
    </row>
    <row r="926" spans="5:6" ht="14">
      <c r="E926" s="89"/>
      <c r="F926" s="90"/>
    </row>
    <row r="927" spans="5:6" ht="14">
      <c r="E927" s="89"/>
      <c r="F927" s="90"/>
    </row>
    <row r="928" spans="5:6" ht="14">
      <c r="E928" s="89"/>
      <c r="F928" s="90"/>
    </row>
    <row r="929" spans="5:6" ht="14">
      <c r="E929" s="89"/>
      <c r="F929" s="90"/>
    </row>
    <row r="930" spans="5:6" ht="14">
      <c r="E930" s="89"/>
      <c r="F930" s="90"/>
    </row>
    <row r="931" spans="5:6" ht="14">
      <c r="E931" s="89"/>
      <c r="F931" s="90"/>
    </row>
    <row r="932" spans="5:6" ht="14">
      <c r="E932" s="89"/>
      <c r="F932" s="90"/>
    </row>
    <row r="933" spans="5:6" ht="14">
      <c r="E933" s="89"/>
      <c r="F933" s="90"/>
    </row>
    <row r="934" spans="5:6" ht="14">
      <c r="E934" s="89"/>
      <c r="F934" s="90"/>
    </row>
    <row r="935" spans="5:6" ht="14">
      <c r="E935" s="89"/>
      <c r="F935" s="90"/>
    </row>
    <row r="936" spans="5:6" ht="14">
      <c r="E936" s="89"/>
      <c r="F936" s="90"/>
    </row>
    <row r="937" spans="5:6" ht="14">
      <c r="E937" s="89"/>
      <c r="F937" s="90"/>
    </row>
    <row r="938" spans="5:6" ht="14">
      <c r="E938" s="89"/>
      <c r="F938" s="90"/>
    </row>
    <row r="939" spans="5:6" ht="14">
      <c r="E939" s="89"/>
      <c r="F939" s="90"/>
    </row>
    <row r="940" spans="5:6" ht="14">
      <c r="E940" s="89"/>
      <c r="F940" s="90"/>
    </row>
    <row r="941" spans="5:6" ht="14">
      <c r="E941" s="89"/>
      <c r="F941" s="90"/>
    </row>
    <row r="942" spans="5:6" ht="14">
      <c r="E942" s="89"/>
      <c r="F942" s="90"/>
    </row>
    <row r="943" spans="5:6" ht="14">
      <c r="E943" s="89"/>
      <c r="F943" s="90"/>
    </row>
    <row r="944" spans="5:6" ht="14">
      <c r="E944" s="89"/>
      <c r="F944" s="90"/>
    </row>
    <row r="945" spans="5:6" ht="14">
      <c r="E945" s="89"/>
      <c r="F945" s="90"/>
    </row>
    <row r="946" spans="5:6" ht="14">
      <c r="E946" s="89"/>
      <c r="F946" s="90"/>
    </row>
    <row r="947" spans="5:6" ht="14">
      <c r="E947" s="89"/>
      <c r="F947" s="90"/>
    </row>
    <row r="948" spans="5:6" ht="14">
      <c r="E948" s="89"/>
      <c r="F948" s="90"/>
    </row>
    <row r="949" spans="5:6" ht="14">
      <c r="E949" s="89"/>
      <c r="F949" s="90"/>
    </row>
    <row r="950" spans="5:6" ht="14">
      <c r="E950" s="89"/>
      <c r="F950" s="90"/>
    </row>
    <row r="951" spans="5:6" ht="14">
      <c r="E951" s="89"/>
      <c r="F951" s="90"/>
    </row>
    <row r="952" spans="5:6" ht="14">
      <c r="E952" s="89"/>
      <c r="F952" s="90"/>
    </row>
    <row r="953" spans="5:6" ht="14">
      <c r="E953" s="89"/>
      <c r="F953" s="90"/>
    </row>
    <row r="954" spans="5:6" ht="14">
      <c r="E954" s="89"/>
      <c r="F954" s="90"/>
    </row>
    <row r="955" spans="5:6" ht="14">
      <c r="E955" s="89"/>
      <c r="F955" s="90"/>
    </row>
    <row r="956" spans="5:6" ht="14">
      <c r="E956" s="89"/>
      <c r="F956" s="90"/>
    </row>
    <row r="957" spans="5:6" ht="14">
      <c r="E957" s="89"/>
      <c r="F957" s="90"/>
    </row>
    <row r="958" spans="5:6" ht="14">
      <c r="E958" s="89"/>
      <c r="F958" s="90"/>
    </row>
    <row r="959" spans="5:6" ht="14">
      <c r="E959" s="89"/>
      <c r="F959" s="90"/>
    </row>
    <row r="960" spans="5:6" ht="14">
      <c r="E960" s="89"/>
      <c r="F960" s="90"/>
    </row>
    <row r="961" spans="5:6" ht="14">
      <c r="E961" s="89"/>
      <c r="F961" s="90"/>
    </row>
    <row r="962" spans="5:6" ht="14">
      <c r="E962" s="89"/>
      <c r="F962" s="90"/>
    </row>
    <row r="963" spans="5:6" ht="14">
      <c r="E963" s="89"/>
      <c r="F963" s="90"/>
    </row>
    <row r="964" spans="5:6" ht="14">
      <c r="E964" s="89"/>
      <c r="F964" s="90"/>
    </row>
    <row r="965" spans="5:6" ht="14">
      <c r="E965" s="89"/>
      <c r="F965" s="90"/>
    </row>
    <row r="966" spans="5:6" ht="14">
      <c r="E966" s="89"/>
      <c r="F966" s="90"/>
    </row>
    <row r="967" spans="5:6" ht="14">
      <c r="E967" s="89"/>
      <c r="F967" s="90"/>
    </row>
    <row r="968" spans="5:6" ht="14">
      <c r="E968" s="89"/>
      <c r="F968" s="90"/>
    </row>
    <row r="969" spans="5:6" ht="14">
      <c r="E969" s="89"/>
      <c r="F969" s="90"/>
    </row>
    <row r="970" spans="5:6" ht="14">
      <c r="E970" s="89"/>
      <c r="F970" s="90"/>
    </row>
    <row r="971" spans="5:6" ht="14">
      <c r="E971" s="89"/>
      <c r="F971" s="90"/>
    </row>
    <row r="972" spans="5:6" ht="14">
      <c r="E972" s="89"/>
      <c r="F972" s="90"/>
    </row>
    <row r="973" spans="5:6" ht="14">
      <c r="E973" s="89"/>
      <c r="F973" s="90"/>
    </row>
    <row r="974" spans="5:6" ht="14">
      <c r="E974" s="89"/>
      <c r="F974" s="90"/>
    </row>
    <row r="975" spans="5:6" ht="14">
      <c r="E975" s="89"/>
      <c r="F975" s="90"/>
    </row>
    <row r="976" spans="5:6" ht="14">
      <c r="E976" s="89"/>
      <c r="F976" s="90"/>
    </row>
    <row r="977" spans="5:6" ht="14">
      <c r="E977" s="89"/>
      <c r="F977" s="90"/>
    </row>
    <row r="978" spans="5:6" ht="14">
      <c r="E978" s="89"/>
      <c r="F978" s="90"/>
    </row>
    <row r="979" spans="5:6" ht="14">
      <c r="E979" s="89"/>
      <c r="F979" s="90"/>
    </row>
    <row r="980" spans="5:6" ht="14">
      <c r="E980" s="89"/>
      <c r="F980" s="90"/>
    </row>
    <row r="981" spans="5:6" ht="14">
      <c r="E981" s="89"/>
      <c r="F981" s="90"/>
    </row>
    <row r="982" spans="5:6" ht="14">
      <c r="E982" s="89"/>
      <c r="F982" s="90"/>
    </row>
    <row r="983" spans="5:6" ht="14">
      <c r="E983" s="89"/>
      <c r="F983" s="90"/>
    </row>
    <row r="984" spans="5:6" ht="14">
      <c r="E984" s="89"/>
      <c r="F984" s="90"/>
    </row>
    <row r="985" spans="5:6" ht="14">
      <c r="E985" s="89"/>
      <c r="F985" s="90"/>
    </row>
    <row r="986" spans="5:6" ht="14">
      <c r="E986" s="89"/>
      <c r="F986" s="90"/>
    </row>
    <row r="987" spans="5:6" ht="14">
      <c r="E987" s="89"/>
      <c r="F987" s="90"/>
    </row>
    <row r="988" spans="5:6" ht="14">
      <c r="E988" s="89"/>
      <c r="F988" s="90"/>
    </row>
    <row r="989" spans="5:6" ht="14">
      <c r="E989" s="89"/>
      <c r="F989" s="90"/>
    </row>
    <row r="990" spans="5:6" ht="14">
      <c r="E990" s="89"/>
      <c r="F990" s="90"/>
    </row>
    <row r="991" spans="5:6" ht="14">
      <c r="E991" s="89"/>
      <c r="F991" s="90"/>
    </row>
    <row r="992" spans="5:6" ht="14">
      <c r="E992" s="89"/>
      <c r="F992" s="90"/>
    </row>
    <row r="993" spans="5:6" ht="14">
      <c r="E993" s="89"/>
      <c r="F993" s="90"/>
    </row>
    <row r="994" spans="5:6" ht="14">
      <c r="E994" s="89"/>
      <c r="F994" s="90"/>
    </row>
    <row r="995" spans="5:6" ht="14">
      <c r="E995" s="89"/>
      <c r="F995" s="90"/>
    </row>
    <row r="996" spans="5:6" ht="14">
      <c r="E996" s="89"/>
      <c r="F996" s="90"/>
    </row>
    <row r="997" spans="5:6" ht="14">
      <c r="E997" s="89"/>
      <c r="F997" s="90"/>
    </row>
    <row r="998" spans="5:6" ht="14">
      <c r="E998" s="89"/>
      <c r="F998" s="90"/>
    </row>
    <row r="999" spans="5:6" ht="14">
      <c r="E999" s="89"/>
      <c r="F999" s="90"/>
    </row>
    <row r="1000" spans="5:6" ht="14">
      <c r="E1000" s="89"/>
      <c r="F1000" s="90"/>
    </row>
    <row r="1001" spans="5:6" ht="14">
      <c r="E1001" s="89"/>
      <c r="F1001" s="90"/>
    </row>
    <row r="1002" spans="5:6" ht="14">
      <c r="E1002" s="89"/>
      <c r="F1002" s="90"/>
    </row>
    <row r="1003" spans="5:6" ht="14">
      <c r="E1003" s="89"/>
      <c r="F1003" s="90"/>
    </row>
    <row r="1004" spans="5:6" ht="14">
      <c r="E1004" s="89"/>
      <c r="F1004" s="90"/>
    </row>
    <row r="1005" spans="5:6" ht="14">
      <c r="E1005" s="89"/>
      <c r="F1005" s="90"/>
    </row>
    <row r="1006" spans="5:6" ht="14">
      <c r="E1006" s="89"/>
      <c r="F1006" s="90"/>
    </row>
    <row r="1007" spans="5:6" ht="14">
      <c r="E1007" s="89"/>
      <c r="F1007" s="90"/>
    </row>
    <row r="1008" spans="5:6" ht="14">
      <c r="E1008" s="89"/>
      <c r="F1008" s="90"/>
    </row>
    <row r="1009" spans="5:6" ht="14">
      <c r="E1009" s="89"/>
      <c r="F1009" s="90"/>
    </row>
    <row r="1010" spans="5:6" ht="14">
      <c r="E1010" s="89"/>
      <c r="F1010" s="90"/>
    </row>
    <row r="1011" spans="5:6" ht="14">
      <c r="E1011" s="89"/>
      <c r="F1011" s="90"/>
    </row>
    <row r="1012" spans="5:6" ht="14">
      <c r="E1012" s="89"/>
      <c r="F1012" s="90"/>
    </row>
    <row r="1013" spans="5:6" ht="14">
      <c r="E1013" s="89"/>
      <c r="F1013" s="90"/>
    </row>
    <row r="1014" spans="5:6" ht="14">
      <c r="E1014" s="89"/>
      <c r="F1014" s="90"/>
    </row>
    <row r="1015" spans="5:6" ht="14">
      <c r="E1015" s="89"/>
      <c r="F1015" s="90"/>
    </row>
    <row r="1016" spans="5:6" ht="14">
      <c r="E1016" s="89"/>
      <c r="F1016" s="90"/>
    </row>
    <row r="1017" spans="5:6" ht="14">
      <c r="E1017" s="89"/>
      <c r="F1017" s="90"/>
    </row>
    <row r="1018" spans="5:6" ht="14">
      <c r="E1018" s="89"/>
      <c r="F1018" s="90"/>
    </row>
    <row r="1019" spans="5:6" ht="14">
      <c r="E1019" s="89"/>
      <c r="F1019" s="90"/>
    </row>
    <row r="1020" spans="5:6" ht="14">
      <c r="E1020" s="89"/>
      <c r="F1020" s="90"/>
    </row>
    <row r="1021" spans="5:6" ht="14">
      <c r="E1021" s="89"/>
      <c r="F1021" s="90"/>
    </row>
    <row r="1022" spans="5:6" ht="14">
      <c r="E1022" s="89"/>
      <c r="F1022" s="90"/>
    </row>
    <row r="1023" spans="5:6" ht="14">
      <c r="E1023" s="89"/>
      <c r="F1023" s="90"/>
    </row>
    <row r="1024" spans="5:6" ht="14">
      <c r="E1024" s="89"/>
      <c r="F1024" s="90"/>
    </row>
    <row r="1025" spans="5:6" ht="14">
      <c r="E1025" s="89"/>
      <c r="F1025" s="90"/>
    </row>
    <row r="1026" spans="5:6" ht="14">
      <c r="E1026" s="89"/>
      <c r="F1026" s="90"/>
    </row>
    <row r="1027" spans="5:6" ht="14">
      <c r="E1027" s="89"/>
      <c r="F1027" s="90"/>
    </row>
    <row r="1028" spans="5:6" ht="14">
      <c r="E1028" s="89"/>
      <c r="F1028" s="90"/>
    </row>
    <row r="1029" spans="5:6" ht="14">
      <c r="E1029" s="89"/>
      <c r="F1029" s="90"/>
    </row>
    <row r="1030" spans="5:6" ht="14">
      <c r="E1030" s="89"/>
      <c r="F1030" s="90"/>
    </row>
    <row r="1031" spans="5:6" ht="14">
      <c r="E1031" s="89"/>
      <c r="F1031" s="90"/>
    </row>
    <row r="1032" spans="5:6" ht="14">
      <c r="E1032" s="89"/>
      <c r="F1032" s="90"/>
    </row>
    <row r="1033" spans="5:6" ht="14">
      <c r="E1033" s="89"/>
      <c r="F1033" s="90"/>
    </row>
    <row r="1034" spans="5:6" ht="14">
      <c r="E1034" s="89"/>
      <c r="F1034" s="90"/>
    </row>
    <row r="1035" spans="5:6" ht="14">
      <c r="E1035" s="89"/>
      <c r="F1035" s="90"/>
    </row>
    <row r="1036" spans="5:6" ht="14">
      <c r="E1036" s="89"/>
      <c r="F1036" s="90"/>
    </row>
    <row r="1037" spans="5:6" ht="14">
      <c r="E1037" s="89"/>
      <c r="F1037" s="90"/>
    </row>
    <row r="1038" spans="5:6" ht="14">
      <c r="E1038" s="89"/>
      <c r="F1038" s="90"/>
    </row>
    <row r="1039" spans="5:6" ht="14">
      <c r="E1039" s="89"/>
      <c r="F1039" s="90"/>
    </row>
    <row r="1040" spans="5:6" ht="14">
      <c r="E1040" s="89"/>
      <c r="F1040" s="90"/>
    </row>
    <row r="1041" spans="5:6" ht="14">
      <c r="E1041" s="89"/>
      <c r="F1041" s="90"/>
    </row>
    <row r="1042" spans="5:6" ht="14">
      <c r="E1042" s="89"/>
      <c r="F1042" s="90"/>
    </row>
    <row r="1043" spans="5:6" ht="14">
      <c r="E1043" s="89"/>
      <c r="F1043" s="90"/>
    </row>
    <row r="1044" spans="5:6" ht="14">
      <c r="E1044" s="89"/>
      <c r="F1044" s="90"/>
    </row>
    <row r="1045" spans="5:6" ht="14">
      <c r="E1045" s="89"/>
      <c r="F1045" s="90"/>
    </row>
    <row r="1046" spans="5:6" ht="14">
      <c r="E1046" s="89"/>
      <c r="F1046" s="90"/>
    </row>
    <row r="1047" spans="5:6" ht="14">
      <c r="E1047" s="89"/>
      <c r="F1047" s="90"/>
    </row>
    <row r="1048" spans="5:6" ht="14">
      <c r="E1048" s="89"/>
      <c r="F1048" s="90"/>
    </row>
    <row r="1049" spans="5:6" ht="14">
      <c r="E1049" s="89"/>
      <c r="F1049" s="90"/>
    </row>
    <row r="1050" spans="5:6" ht="14">
      <c r="E1050" s="89"/>
      <c r="F1050" s="90"/>
    </row>
    <row r="1051" spans="5:6" ht="14">
      <c r="E1051" s="89"/>
      <c r="F1051" s="90"/>
    </row>
    <row r="1052" spans="5:6" ht="14">
      <c r="E1052" s="89"/>
      <c r="F1052" s="90"/>
    </row>
    <row r="1053" spans="5:6" ht="14">
      <c r="E1053" s="89"/>
      <c r="F1053" s="90"/>
    </row>
    <row r="1054" spans="5:6" ht="14">
      <c r="E1054" s="89"/>
      <c r="F1054" s="90"/>
    </row>
    <row r="1055" spans="5:6" ht="14">
      <c r="E1055" s="89"/>
      <c r="F1055" s="90"/>
    </row>
    <row r="1056" spans="5:6" ht="14">
      <c r="E1056" s="89"/>
      <c r="F1056" s="90"/>
    </row>
    <row r="1057" spans="5:6" ht="14">
      <c r="E1057" s="89"/>
      <c r="F1057" s="90"/>
    </row>
    <row r="1058" spans="5:6" ht="14">
      <c r="E1058" s="89"/>
      <c r="F1058" s="90"/>
    </row>
    <row r="1059" spans="5:6" ht="14">
      <c r="E1059" s="89"/>
      <c r="F1059" s="90"/>
    </row>
    <row r="1060" spans="5:6" ht="14">
      <c r="E1060" s="89"/>
      <c r="F1060" s="90"/>
    </row>
    <row r="1061" spans="5:6" ht="14">
      <c r="E1061" s="89"/>
      <c r="F1061" s="90"/>
    </row>
    <row r="1062" spans="5:6" ht="14">
      <c r="E1062" s="89"/>
      <c r="F1062" s="90"/>
    </row>
    <row r="1063" spans="5:6" ht="14">
      <c r="E1063" s="89"/>
      <c r="F1063" s="90"/>
    </row>
    <row r="1064" spans="5:6" ht="14">
      <c r="E1064" s="89"/>
      <c r="F1064" s="90"/>
    </row>
    <row r="1065" spans="5:6" ht="14">
      <c r="E1065" s="89"/>
      <c r="F1065" s="90"/>
    </row>
    <row r="1066" spans="5:6" ht="14">
      <c r="E1066" s="89"/>
      <c r="F1066" s="90"/>
    </row>
    <row r="1067" spans="5:6" ht="14">
      <c r="E1067" s="89"/>
      <c r="F1067" s="90"/>
    </row>
    <row r="1068" spans="5:6" ht="14">
      <c r="E1068" s="89"/>
      <c r="F1068" s="90"/>
    </row>
    <row r="1069" spans="5:6" ht="14">
      <c r="E1069" s="89"/>
      <c r="F1069" s="90"/>
    </row>
    <row r="1070" spans="5:6" ht="14">
      <c r="E1070" s="89"/>
      <c r="F1070" s="90"/>
    </row>
    <row r="1071" spans="5:6" ht="14">
      <c r="E1071" s="89"/>
      <c r="F1071" s="90"/>
    </row>
    <row r="1072" spans="5:6" ht="14">
      <c r="E1072" s="89"/>
      <c r="F1072" s="90"/>
    </row>
    <row r="1073" spans="5:6" ht="14">
      <c r="E1073" s="89"/>
      <c r="F1073" s="90"/>
    </row>
    <row r="1074" spans="5:6" ht="14">
      <c r="E1074" s="89"/>
      <c r="F1074" s="90"/>
    </row>
    <row r="1075" spans="5:6" ht="14">
      <c r="E1075" s="89"/>
      <c r="F1075" s="90"/>
    </row>
    <row r="1076" spans="5:6" ht="14">
      <c r="E1076" s="89"/>
      <c r="F1076" s="90"/>
    </row>
    <row r="1077" spans="5:6" ht="14">
      <c r="E1077" s="89"/>
      <c r="F1077" s="90"/>
    </row>
    <row r="1078" spans="5:6" ht="14">
      <c r="E1078" s="89"/>
      <c r="F1078" s="90"/>
    </row>
    <row r="1079" spans="5:6" ht="14">
      <c r="E1079" s="89"/>
      <c r="F1079" s="90"/>
    </row>
    <row r="1080" spans="5:6" ht="14">
      <c r="E1080" s="89"/>
      <c r="F1080" s="90"/>
    </row>
    <row r="1081" spans="5:6" ht="14">
      <c r="E1081" s="89"/>
      <c r="F1081" s="90"/>
    </row>
    <row r="1082" spans="5:6" ht="14">
      <c r="E1082" s="89"/>
      <c r="F1082" s="90"/>
    </row>
    <row r="1083" spans="5:6" ht="14">
      <c r="E1083" s="89"/>
      <c r="F1083" s="90"/>
    </row>
    <row r="1084" spans="5:6" ht="14">
      <c r="E1084" s="89"/>
      <c r="F1084" s="90"/>
    </row>
    <row r="1085" spans="5:6" ht="14">
      <c r="E1085" s="89"/>
      <c r="F1085" s="90"/>
    </row>
    <row r="1086" spans="5:6" ht="14">
      <c r="E1086" s="89"/>
      <c r="F1086" s="90"/>
    </row>
    <row r="1087" spans="5:6" ht="14">
      <c r="E1087" s="89"/>
      <c r="F1087" s="90"/>
    </row>
    <row r="1088" spans="5:6" ht="14">
      <c r="E1088" s="89"/>
      <c r="F1088" s="90"/>
    </row>
    <row r="1089" spans="5:6" ht="14">
      <c r="E1089" s="89"/>
      <c r="F1089" s="90"/>
    </row>
    <row r="1090" spans="5:6" ht="14">
      <c r="E1090" s="89"/>
      <c r="F1090" s="90"/>
    </row>
    <row r="1091" spans="5:6" ht="14">
      <c r="E1091" s="89"/>
      <c r="F1091" s="90"/>
    </row>
    <row r="1092" spans="5:6" ht="14">
      <c r="E1092" s="89"/>
      <c r="F1092" s="90"/>
    </row>
    <row r="1093" spans="5:6" ht="14">
      <c r="E1093" s="89"/>
      <c r="F1093" s="90"/>
    </row>
    <row r="1094" spans="5:6" ht="14">
      <c r="E1094" s="89"/>
      <c r="F1094" s="90"/>
    </row>
    <row r="1095" spans="5:6" ht="14">
      <c r="E1095" s="89"/>
      <c r="F1095" s="90"/>
    </row>
    <row r="1096" spans="5:6" ht="14">
      <c r="E1096" s="89"/>
      <c r="F1096" s="90"/>
    </row>
    <row r="1097" spans="5:6" ht="14">
      <c r="E1097" s="89"/>
      <c r="F1097" s="90"/>
    </row>
    <row r="1098" spans="5:6" ht="14">
      <c r="E1098" s="89"/>
      <c r="F1098" s="90"/>
    </row>
    <row r="1099" spans="5:6" ht="14">
      <c r="E1099" s="89"/>
      <c r="F1099" s="90"/>
    </row>
    <row r="1100" spans="5:6" ht="14">
      <c r="E1100" s="89"/>
      <c r="F1100" s="90"/>
    </row>
    <row r="1101" spans="5:6" ht="14">
      <c r="E1101" s="89"/>
      <c r="F1101" s="90"/>
    </row>
    <row r="1102" spans="5:6" ht="14">
      <c r="E1102" s="89"/>
      <c r="F1102" s="90"/>
    </row>
    <row r="1103" spans="5:6" ht="14">
      <c r="E1103" s="89"/>
      <c r="F1103" s="90"/>
    </row>
    <row r="1104" spans="5:6" ht="14">
      <c r="E1104" s="89"/>
      <c r="F1104" s="90"/>
    </row>
    <row r="1105" spans="5:6" ht="14">
      <c r="E1105" s="89"/>
      <c r="F1105" s="90"/>
    </row>
    <row r="1106" spans="5:6" ht="14">
      <c r="E1106" s="89"/>
      <c r="F1106" s="90"/>
    </row>
    <row r="1107" spans="5:6" ht="14">
      <c r="E1107" s="89"/>
      <c r="F1107" s="90"/>
    </row>
    <row r="1108" spans="5:6" ht="14">
      <c r="E1108" s="89"/>
      <c r="F1108" s="90"/>
    </row>
    <row r="1109" spans="5:6" ht="14">
      <c r="E1109" s="89"/>
      <c r="F1109" s="90"/>
    </row>
    <row r="1110" spans="5:6" ht="14">
      <c r="E1110" s="89"/>
      <c r="F1110" s="90"/>
    </row>
    <row r="1111" spans="5:6" ht="14">
      <c r="E1111" s="89"/>
      <c r="F1111" s="90"/>
    </row>
    <row r="1112" spans="5:6" ht="14">
      <c r="E1112" s="89"/>
      <c r="F1112" s="90"/>
    </row>
    <row r="1113" spans="5:6" ht="14">
      <c r="E1113" s="89"/>
      <c r="F1113" s="90"/>
    </row>
    <row r="1114" spans="5:6" ht="14">
      <c r="E1114" s="89"/>
      <c r="F1114" s="90"/>
    </row>
    <row r="1115" spans="5:6" ht="14">
      <c r="E1115" s="89"/>
      <c r="F1115" s="90"/>
    </row>
    <row r="1116" spans="5:6" ht="14">
      <c r="E1116" s="89"/>
      <c r="F1116" s="90"/>
    </row>
    <row r="1117" spans="5:6" ht="14">
      <c r="E1117" s="89"/>
      <c r="F1117" s="90"/>
    </row>
    <row r="1118" spans="5:6" ht="14">
      <c r="E1118" s="89"/>
      <c r="F1118" s="90"/>
    </row>
    <row r="1119" spans="5:6" ht="14">
      <c r="E1119" s="89"/>
      <c r="F1119" s="90"/>
    </row>
    <row r="1120" spans="5:6" ht="14">
      <c r="E1120" s="89"/>
      <c r="F1120" s="90"/>
    </row>
    <row r="1121" spans="5:6" ht="14">
      <c r="E1121" s="89"/>
      <c r="F1121" s="90"/>
    </row>
    <row r="1122" spans="5:6" ht="14">
      <c r="E1122" s="89"/>
      <c r="F1122" s="90"/>
    </row>
    <row r="1123" spans="5:6" ht="14">
      <c r="E1123" s="89"/>
      <c r="F1123" s="90"/>
    </row>
    <row r="1124" spans="5:6" ht="14">
      <c r="E1124" s="89"/>
      <c r="F1124" s="90"/>
    </row>
    <row r="1125" spans="5:6" ht="14">
      <c r="E1125" s="89"/>
      <c r="F1125" s="90"/>
    </row>
    <row r="1126" spans="5:6" ht="14">
      <c r="E1126" s="89"/>
      <c r="F1126" s="90"/>
    </row>
    <row r="1127" spans="5:6" ht="14">
      <c r="E1127" s="89"/>
      <c r="F1127" s="90"/>
    </row>
    <row r="1128" spans="5:6" ht="14">
      <c r="E1128" s="89"/>
      <c r="F1128" s="90"/>
    </row>
    <row r="1129" spans="5:6" ht="14">
      <c r="E1129" s="89"/>
      <c r="F1129" s="90"/>
    </row>
    <row r="1130" spans="5:6" ht="14">
      <c r="E1130" s="89"/>
      <c r="F1130" s="90"/>
    </row>
    <row r="1131" spans="5:6" ht="14">
      <c r="E1131" s="89"/>
      <c r="F1131" s="90"/>
    </row>
    <row r="1132" spans="5:6" ht="14">
      <c r="E1132" s="89"/>
      <c r="F1132" s="90"/>
    </row>
    <row r="1133" spans="5:6" ht="14">
      <c r="E1133" s="89"/>
      <c r="F1133" s="90"/>
    </row>
    <row r="1134" spans="5:6" ht="14">
      <c r="E1134" s="89"/>
      <c r="F1134" s="90"/>
    </row>
    <row r="1135" spans="5:6" ht="14">
      <c r="E1135" s="89"/>
      <c r="F1135" s="90"/>
    </row>
    <row r="1136" spans="5:6" ht="14">
      <c r="E1136" s="89"/>
      <c r="F1136" s="90"/>
    </row>
    <row r="1137" spans="5:6" ht="14">
      <c r="E1137" s="89"/>
      <c r="F1137" s="90"/>
    </row>
    <row r="1138" spans="5:6" ht="14">
      <c r="E1138" s="89"/>
      <c r="F1138" s="90"/>
    </row>
    <row r="1139" spans="5:6" ht="14">
      <c r="E1139" s="89"/>
      <c r="F1139" s="90"/>
    </row>
    <row r="1140" spans="5:6" ht="14">
      <c r="E1140" s="89"/>
      <c r="F1140" s="90"/>
    </row>
    <row r="1141" spans="5:6" ht="14">
      <c r="E1141" s="89"/>
      <c r="F1141" s="90"/>
    </row>
    <row r="1142" spans="5:6" ht="14">
      <c r="E1142" s="89"/>
      <c r="F1142" s="90"/>
    </row>
    <row r="1143" spans="5:6" ht="14">
      <c r="E1143" s="89"/>
      <c r="F1143" s="90"/>
    </row>
    <row r="1144" spans="5:6" ht="14">
      <c r="E1144" s="89"/>
      <c r="F1144" s="90"/>
    </row>
    <row r="1145" spans="5:6" ht="14">
      <c r="E1145" s="89"/>
      <c r="F1145" s="90"/>
    </row>
    <row r="1146" spans="5:6" ht="14">
      <c r="E1146" s="89"/>
      <c r="F1146" s="90"/>
    </row>
    <row r="1147" spans="5:6" ht="14">
      <c r="E1147" s="89"/>
      <c r="F1147" s="90"/>
    </row>
    <row r="1148" spans="5:6" ht="14">
      <c r="E1148" s="89"/>
      <c r="F1148" s="90"/>
    </row>
    <row r="1149" spans="5:6" ht="14">
      <c r="E1149" s="89"/>
      <c r="F1149" s="90"/>
    </row>
    <row r="1150" spans="5:6" ht="14">
      <c r="E1150" s="89"/>
      <c r="F1150" s="90"/>
    </row>
    <row r="1151" spans="5:6" ht="14">
      <c r="E1151" s="89"/>
      <c r="F1151" s="90"/>
    </row>
    <row r="1152" spans="5:6" ht="14">
      <c r="E1152" s="89"/>
      <c r="F1152" s="90"/>
    </row>
    <row r="1153" spans="5:6" ht="14">
      <c r="E1153" s="89"/>
      <c r="F1153" s="90"/>
    </row>
    <row r="1154" spans="5:6" ht="14">
      <c r="E1154" s="89"/>
      <c r="F1154" s="90"/>
    </row>
    <row r="1155" spans="5:6" ht="14">
      <c r="E1155" s="89"/>
      <c r="F1155" s="90"/>
    </row>
    <row r="1156" spans="5:6" ht="14">
      <c r="E1156" s="89"/>
      <c r="F1156" s="90"/>
    </row>
    <row r="1157" spans="5:6" ht="14">
      <c r="E1157" s="89"/>
      <c r="F1157" s="90"/>
    </row>
    <row r="1158" spans="5:6" ht="14">
      <c r="E1158" s="89"/>
      <c r="F1158" s="90"/>
    </row>
    <row r="1159" spans="5:6" ht="14">
      <c r="E1159" s="89"/>
      <c r="F1159" s="90"/>
    </row>
    <row r="1160" spans="5:6" ht="14">
      <c r="E1160" s="89"/>
      <c r="F1160" s="90"/>
    </row>
    <row r="1161" spans="5:6" ht="14">
      <c r="E1161" s="89"/>
      <c r="F1161" s="90"/>
    </row>
    <row r="1162" spans="5:6" ht="14">
      <c r="E1162" s="89"/>
      <c r="F1162" s="90"/>
    </row>
    <row r="1163" spans="5:6" ht="14">
      <c r="E1163" s="89"/>
      <c r="F1163" s="90"/>
    </row>
    <row r="1164" spans="5:6" ht="14">
      <c r="E1164" s="89"/>
      <c r="F1164" s="90"/>
    </row>
    <row r="1165" spans="5:6" ht="14">
      <c r="E1165" s="89"/>
      <c r="F1165" s="90"/>
    </row>
    <row r="1166" spans="5:6" ht="14">
      <c r="E1166" s="89"/>
      <c r="F1166" s="90"/>
    </row>
    <row r="1167" spans="5:6" ht="14">
      <c r="E1167" s="89"/>
      <c r="F1167" s="90"/>
    </row>
    <row r="1168" spans="5:6" ht="14">
      <c r="E1168" s="89"/>
      <c r="F1168" s="90"/>
    </row>
    <row r="1169" spans="5:6" ht="14">
      <c r="E1169" s="89"/>
      <c r="F1169" s="90"/>
    </row>
    <row r="1170" spans="5:6" ht="14">
      <c r="E1170" s="89"/>
      <c r="F1170" s="90"/>
    </row>
    <row r="1171" spans="5:6" ht="14">
      <c r="E1171" s="89"/>
      <c r="F1171" s="90"/>
    </row>
    <row r="1172" spans="5:6" ht="14">
      <c r="E1172" s="89"/>
      <c r="F1172" s="90"/>
    </row>
    <row r="1173" spans="5:6" ht="14">
      <c r="E1173" s="89"/>
      <c r="F1173" s="90"/>
    </row>
    <row r="1174" spans="5:6" ht="14">
      <c r="E1174" s="89"/>
      <c r="F1174" s="90"/>
    </row>
    <row r="1175" spans="5:6" ht="14">
      <c r="E1175" s="89"/>
      <c r="F1175" s="90"/>
    </row>
    <row r="1176" spans="5:6" ht="14">
      <c r="E1176" s="89"/>
      <c r="F1176" s="90"/>
    </row>
    <row r="1177" spans="5:6" ht="14">
      <c r="E1177" s="89"/>
      <c r="F1177" s="90"/>
    </row>
    <row r="1178" spans="5:6" ht="14">
      <c r="E1178" s="89"/>
      <c r="F1178" s="90"/>
    </row>
    <row r="1179" spans="5:6" ht="14">
      <c r="E1179" s="89"/>
      <c r="F1179" s="90"/>
    </row>
    <row r="1180" spans="5:6" ht="14">
      <c r="E1180" s="89"/>
      <c r="F1180" s="90"/>
    </row>
    <row r="1181" spans="5:6" ht="14">
      <c r="E1181" s="89"/>
      <c r="F1181" s="90"/>
    </row>
    <row r="1182" spans="5:6" ht="14">
      <c r="E1182" s="89"/>
      <c r="F1182" s="90"/>
    </row>
    <row r="1183" spans="5:6" ht="14">
      <c r="E1183" s="89"/>
      <c r="F1183" s="90"/>
    </row>
    <row r="1184" spans="5:6" ht="14">
      <c r="E1184" s="89"/>
      <c r="F1184" s="90"/>
    </row>
    <row r="1185" spans="5:6" ht="14">
      <c r="E1185" s="89"/>
      <c r="F1185" s="90"/>
    </row>
    <row r="1186" spans="5:6" ht="14">
      <c r="E1186" s="89"/>
      <c r="F1186" s="90"/>
    </row>
    <row r="1187" spans="5:6" ht="14">
      <c r="E1187" s="89"/>
      <c r="F1187" s="90"/>
    </row>
    <row r="1188" spans="5:6" ht="14">
      <c r="E1188" s="89"/>
      <c r="F1188" s="90"/>
    </row>
    <row r="1189" spans="5:6" ht="14">
      <c r="E1189" s="89"/>
      <c r="F1189" s="90"/>
    </row>
    <row r="1190" spans="5:6" ht="14">
      <c r="E1190" s="89"/>
      <c r="F1190" s="90"/>
    </row>
    <row r="1191" spans="5:6" ht="14">
      <c r="E1191" s="89"/>
      <c r="F1191" s="90"/>
    </row>
    <row r="1192" spans="5:6" ht="14">
      <c r="E1192" s="89"/>
      <c r="F1192" s="90"/>
    </row>
    <row r="1193" spans="5:6" ht="14">
      <c r="E1193" s="89"/>
      <c r="F1193" s="90"/>
    </row>
    <row r="1194" spans="5:6" ht="14">
      <c r="E1194" s="89"/>
      <c r="F1194" s="90"/>
    </row>
    <row r="1195" spans="5:6" ht="14">
      <c r="E1195" s="89"/>
      <c r="F1195" s="90"/>
    </row>
    <row r="1196" spans="5:6" ht="14">
      <c r="E1196" s="89"/>
      <c r="F1196" s="90"/>
    </row>
    <row r="1197" spans="5:6" ht="14">
      <c r="E1197" s="89"/>
      <c r="F1197" s="90"/>
    </row>
    <row r="1198" spans="5:6" ht="14">
      <c r="E1198" s="89"/>
      <c r="F1198" s="90"/>
    </row>
    <row r="1199" spans="5:6" ht="14">
      <c r="E1199" s="89"/>
      <c r="F1199" s="90"/>
    </row>
    <row r="1200" spans="5:6" ht="14">
      <c r="E1200" s="89"/>
      <c r="F1200" s="90"/>
    </row>
    <row r="1201" spans="5:6" ht="14">
      <c r="E1201" s="89"/>
      <c r="F1201" s="90"/>
    </row>
    <row r="1202" spans="5:6" ht="14">
      <c r="E1202" s="89"/>
      <c r="F1202" s="90"/>
    </row>
    <row r="1203" spans="5:6" ht="14">
      <c r="E1203" s="89"/>
      <c r="F1203" s="90"/>
    </row>
    <row r="1204" spans="5:6" ht="14">
      <c r="E1204" s="89"/>
      <c r="F1204" s="90"/>
    </row>
    <row r="1205" spans="5:6" ht="14">
      <c r="E1205" s="89"/>
      <c r="F1205" s="90"/>
    </row>
    <row r="1206" spans="5:6" ht="14">
      <c r="E1206" s="89"/>
      <c r="F1206" s="90"/>
    </row>
    <row r="1207" spans="5:6" ht="14">
      <c r="E1207" s="89"/>
      <c r="F1207" s="90"/>
    </row>
    <row r="1208" spans="5:6" ht="14">
      <c r="E1208" s="89"/>
      <c r="F1208" s="90"/>
    </row>
    <row r="1209" spans="5:6" ht="14">
      <c r="E1209" s="89"/>
      <c r="F1209" s="90"/>
    </row>
    <row r="1210" spans="5:6" ht="14">
      <c r="E1210" s="89"/>
      <c r="F1210" s="90"/>
    </row>
    <row r="1211" spans="5:6" ht="14">
      <c r="E1211" s="89"/>
      <c r="F1211" s="90"/>
    </row>
    <row r="1212" spans="5:6" ht="14">
      <c r="E1212" s="89"/>
      <c r="F1212" s="90"/>
    </row>
    <row r="1213" spans="5:6" ht="14">
      <c r="E1213" s="89"/>
      <c r="F1213" s="90"/>
    </row>
    <row r="1214" spans="5:6" ht="14">
      <c r="E1214" s="89"/>
      <c r="F1214" s="90"/>
    </row>
    <row r="1215" spans="5:6" ht="14">
      <c r="E1215" s="89"/>
      <c r="F1215" s="90"/>
    </row>
    <row r="1216" spans="5:6" ht="14">
      <c r="E1216" s="89"/>
      <c r="F1216" s="90"/>
    </row>
    <row r="1217" spans="5:6" ht="14">
      <c r="E1217" s="89"/>
      <c r="F1217" s="90"/>
    </row>
    <row r="1218" spans="5:6" ht="14">
      <c r="E1218" s="89"/>
      <c r="F1218" s="90"/>
    </row>
    <row r="1219" spans="5:6" ht="14">
      <c r="E1219" s="89"/>
      <c r="F1219" s="90"/>
    </row>
    <row r="1220" spans="5:6" ht="14">
      <c r="E1220" s="89"/>
      <c r="F1220" s="90"/>
    </row>
    <row r="1221" spans="5:6" ht="14">
      <c r="E1221" s="89"/>
      <c r="F1221" s="90"/>
    </row>
    <row r="1222" spans="5:6" ht="14">
      <c r="E1222" s="89"/>
      <c r="F1222" s="90"/>
    </row>
    <row r="1223" spans="5:6" ht="14">
      <c r="E1223" s="89"/>
      <c r="F1223" s="90"/>
    </row>
    <row r="1224" spans="5:6" ht="14">
      <c r="E1224" s="89"/>
      <c r="F1224" s="90"/>
    </row>
    <row r="1225" spans="5:6" ht="14">
      <c r="E1225" s="89"/>
      <c r="F1225" s="90"/>
    </row>
    <row r="1226" spans="5:6" ht="14">
      <c r="E1226" s="89"/>
      <c r="F1226" s="90"/>
    </row>
    <row r="1227" spans="5:6" ht="14">
      <c r="E1227" s="89"/>
      <c r="F1227" s="90"/>
    </row>
    <row r="1228" spans="5:6" ht="14">
      <c r="E1228" s="89"/>
      <c r="F1228" s="90"/>
    </row>
    <row r="1229" spans="5:6" ht="14">
      <c r="E1229" s="89"/>
      <c r="F1229" s="90"/>
    </row>
    <row r="1230" spans="5:6" ht="14">
      <c r="E1230" s="89"/>
      <c r="F1230" s="90"/>
    </row>
    <row r="1231" spans="5:6" ht="14">
      <c r="E1231" s="89"/>
      <c r="F1231" s="90"/>
    </row>
    <row r="1232" spans="5:6" ht="14">
      <c r="E1232" s="89"/>
      <c r="F1232" s="90"/>
    </row>
    <row r="1233" spans="5:6" ht="14">
      <c r="E1233" s="89"/>
      <c r="F1233" s="90"/>
    </row>
    <row r="1234" spans="5:6" ht="14">
      <c r="E1234" s="89"/>
      <c r="F1234" s="90"/>
    </row>
    <row r="1235" spans="5:6" ht="14">
      <c r="E1235" s="89"/>
      <c r="F1235" s="90"/>
    </row>
    <row r="1236" spans="5:6" ht="14">
      <c r="E1236" s="89"/>
      <c r="F1236" s="90"/>
    </row>
    <row r="1237" spans="5:6" ht="14">
      <c r="E1237" s="89"/>
      <c r="F1237" s="90"/>
    </row>
    <row r="1238" spans="5:6" ht="14">
      <c r="E1238" s="89"/>
      <c r="F1238" s="90"/>
    </row>
    <row r="1239" spans="5:6" ht="14">
      <c r="E1239" s="89"/>
      <c r="F1239" s="90"/>
    </row>
    <row r="1240" spans="5:6" ht="14">
      <c r="E1240" s="89"/>
      <c r="F1240" s="90"/>
    </row>
    <row r="1241" spans="5:6" ht="14">
      <c r="E1241" s="89"/>
      <c r="F1241" s="90"/>
    </row>
    <row r="1242" spans="5:6" ht="14">
      <c r="E1242" s="89"/>
      <c r="F1242" s="90"/>
    </row>
    <row r="1243" spans="5:6" ht="14">
      <c r="E1243" s="89"/>
      <c r="F1243" s="90"/>
    </row>
    <row r="1244" spans="5:6" ht="14">
      <c r="E1244" s="89"/>
      <c r="F1244" s="90"/>
    </row>
    <row r="1245" spans="5:6" ht="14">
      <c r="E1245" s="89"/>
      <c r="F1245" s="90"/>
    </row>
    <row r="1246" spans="5:6" ht="14">
      <c r="E1246" s="89"/>
      <c r="F1246" s="90"/>
    </row>
    <row r="1247" spans="5:6" ht="14">
      <c r="E1247" s="89"/>
      <c r="F1247" s="90"/>
    </row>
    <row r="1248" spans="5:6" ht="14">
      <c r="E1248" s="89"/>
      <c r="F1248" s="90"/>
    </row>
    <row r="1249" spans="5:6" ht="14">
      <c r="E1249" s="89"/>
      <c r="F1249" s="90"/>
    </row>
    <row r="1250" spans="5:6" ht="14">
      <c r="E1250" s="89"/>
      <c r="F1250" s="90"/>
    </row>
    <row r="1251" spans="5:6" ht="14">
      <c r="E1251" s="89"/>
      <c r="F1251" s="90"/>
    </row>
    <row r="1252" spans="5:6" ht="14">
      <c r="E1252" s="89"/>
      <c r="F1252" s="90"/>
    </row>
    <row r="1253" spans="5:6" ht="14">
      <c r="E1253" s="89"/>
      <c r="F1253" s="90"/>
    </row>
    <row r="1254" spans="5:6" ht="14">
      <c r="E1254" s="89"/>
      <c r="F1254" s="90"/>
    </row>
    <row r="1255" spans="5:6" ht="14">
      <c r="E1255" s="89"/>
      <c r="F1255" s="90"/>
    </row>
    <row r="1256" spans="5:6" ht="14">
      <c r="E1256" s="89"/>
      <c r="F1256" s="90"/>
    </row>
    <row r="1257" spans="5:6" ht="14">
      <c r="E1257" s="89"/>
      <c r="F1257" s="90"/>
    </row>
    <row r="1258" spans="5:6" ht="14">
      <c r="E1258" s="89"/>
      <c r="F1258" s="90"/>
    </row>
    <row r="1259" spans="5:6" ht="14">
      <c r="E1259" s="89"/>
      <c r="F1259" s="90"/>
    </row>
    <row r="1260" spans="5:6" ht="14">
      <c r="E1260" s="89"/>
      <c r="F1260" s="90"/>
    </row>
    <row r="1261" spans="5:6" ht="14">
      <c r="E1261" s="89"/>
      <c r="F1261" s="90"/>
    </row>
    <row r="1262" spans="5:6" ht="14">
      <c r="E1262" s="89"/>
      <c r="F1262" s="90"/>
    </row>
    <row r="1263" spans="5:6" ht="14">
      <c r="E1263" s="89"/>
      <c r="F1263" s="90"/>
    </row>
    <row r="1264" spans="5:6" ht="14">
      <c r="E1264" s="89"/>
      <c r="F1264" s="90"/>
    </row>
    <row r="1265" spans="5:6" ht="14">
      <c r="E1265" s="89"/>
      <c r="F1265" s="90"/>
    </row>
    <row r="1266" spans="5:6" ht="14">
      <c r="E1266" s="89"/>
      <c r="F1266" s="90"/>
    </row>
    <row r="1267" spans="5:6" ht="14">
      <c r="E1267" s="89"/>
      <c r="F1267" s="90"/>
    </row>
    <row r="1268" spans="5:6" ht="14">
      <c r="E1268" s="89"/>
      <c r="F1268" s="90"/>
    </row>
    <row r="1269" spans="5:6" ht="14">
      <c r="E1269" s="89"/>
      <c r="F1269" s="90"/>
    </row>
    <row r="1270" spans="5:6" ht="14">
      <c r="E1270" s="89"/>
      <c r="F1270" s="90"/>
    </row>
    <row r="1271" spans="5:6" ht="14">
      <c r="E1271" s="89"/>
      <c r="F1271" s="90"/>
    </row>
    <row r="1272" spans="5:6" ht="14">
      <c r="E1272" s="89"/>
      <c r="F1272" s="90"/>
    </row>
    <row r="1273" spans="5:6" ht="14">
      <c r="E1273" s="89"/>
      <c r="F1273" s="90"/>
    </row>
    <row r="1274" spans="5:6" ht="14">
      <c r="E1274" s="89"/>
      <c r="F1274" s="90"/>
    </row>
    <row r="1275" spans="5:6" ht="14">
      <c r="E1275" s="89"/>
      <c r="F1275" s="90"/>
    </row>
    <row r="1276" spans="5:6" ht="14">
      <c r="E1276" s="89"/>
      <c r="F1276" s="90"/>
    </row>
    <row r="1277" spans="5:6" ht="14">
      <c r="E1277" s="89"/>
      <c r="F1277" s="90"/>
    </row>
    <row r="1278" spans="5:6" ht="14">
      <c r="E1278" s="89"/>
      <c r="F1278" s="90"/>
    </row>
    <row r="1279" spans="5:6" ht="14">
      <c r="E1279" s="89"/>
      <c r="F1279" s="90"/>
    </row>
    <row r="1280" spans="5:6" ht="14">
      <c r="E1280" s="89"/>
      <c r="F1280" s="90"/>
    </row>
    <row r="1281" spans="5:6" ht="14">
      <c r="E1281" s="89"/>
      <c r="F1281" s="90"/>
    </row>
    <row r="1282" spans="5:6" ht="14">
      <c r="E1282" s="89"/>
      <c r="F1282" s="90"/>
    </row>
    <row r="1283" spans="5:6" ht="14">
      <c r="E1283" s="89"/>
      <c r="F1283" s="90"/>
    </row>
    <row r="1284" spans="5:6" ht="14">
      <c r="E1284" s="89"/>
      <c r="F1284" s="90"/>
    </row>
    <row r="1285" spans="5:6" ht="14">
      <c r="E1285" s="89"/>
      <c r="F1285" s="90"/>
    </row>
    <row r="1286" spans="5:6" ht="14">
      <c r="E1286" s="89"/>
      <c r="F1286" s="90"/>
    </row>
    <row r="1287" spans="5:6" ht="14">
      <c r="E1287" s="89"/>
      <c r="F1287" s="90"/>
    </row>
    <row r="1288" spans="5:6" ht="14">
      <c r="E1288" s="89"/>
      <c r="F1288" s="90"/>
    </row>
    <row r="1289" spans="5:6" ht="14">
      <c r="E1289" s="89"/>
      <c r="F1289" s="90"/>
    </row>
    <row r="1290" spans="5:6" ht="14">
      <c r="E1290" s="89"/>
      <c r="F1290" s="90"/>
    </row>
    <row r="1291" spans="5:6" ht="14">
      <c r="E1291" s="89"/>
      <c r="F1291" s="90"/>
    </row>
    <row r="1292" spans="5:6" ht="14">
      <c r="E1292" s="89"/>
      <c r="F1292" s="90"/>
    </row>
    <row r="1293" spans="5:6" ht="14">
      <c r="E1293" s="89"/>
      <c r="F1293" s="90"/>
    </row>
    <row r="1294" spans="5:6" ht="14">
      <c r="E1294" s="89"/>
      <c r="F1294" s="90"/>
    </row>
    <row r="1295" spans="5:6" ht="14">
      <c r="E1295" s="89"/>
      <c r="F1295" s="90"/>
    </row>
    <row r="1296" spans="5:6" ht="14">
      <c r="E1296" s="89"/>
      <c r="F1296" s="90"/>
    </row>
    <row r="1297" spans="5:6" ht="14">
      <c r="E1297" s="89"/>
      <c r="F1297" s="90"/>
    </row>
    <row r="1298" spans="5:6" ht="14">
      <c r="E1298" s="89"/>
      <c r="F1298" s="90"/>
    </row>
    <row r="1299" spans="5:6" ht="14">
      <c r="E1299" s="89"/>
      <c r="F1299" s="90"/>
    </row>
    <row r="1300" spans="5:6" ht="14">
      <c r="E1300" s="89"/>
      <c r="F1300" s="90"/>
    </row>
    <row r="1301" spans="5:6" ht="14">
      <c r="E1301" s="89"/>
      <c r="F1301" s="90"/>
    </row>
    <row r="1302" spans="5:6" ht="14">
      <c r="E1302" s="89"/>
      <c r="F1302" s="90"/>
    </row>
    <row r="1303" spans="5:6" ht="14">
      <c r="E1303" s="89"/>
      <c r="F1303" s="90"/>
    </row>
    <row r="1304" spans="5:6" ht="14">
      <c r="E1304" s="89"/>
      <c r="F1304" s="90"/>
    </row>
    <row r="1305" spans="5:6" ht="14">
      <c r="E1305" s="89"/>
      <c r="F1305" s="90"/>
    </row>
    <row r="1306" spans="5:6" ht="14">
      <c r="E1306" s="89"/>
      <c r="F1306" s="90"/>
    </row>
    <row r="1307" spans="5:6" ht="14">
      <c r="E1307" s="89"/>
      <c r="F1307" s="90"/>
    </row>
    <row r="1308" spans="5:6" ht="14">
      <c r="E1308" s="89"/>
      <c r="F1308" s="90"/>
    </row>
    <row r="1309" spans="5:6" ht="14">
      <c r="E1309" s="89"/>
      <c r="F1309" s="90"/>
    </row>
    <row r="1310" spans="5:6" ht="14">
      <c r="E1310" s="89"/>
      <c r="F1310" s="90"/>
    </row>
    <row r="1311" spans="5:6" ht="14">
      <c r="E1311" s="89"/>
      <c r="F1311" s="90"/>
    </row>
    <row r="1312" spans="5:6" ht="14">
      <c r="E1312" s="89"/>
      <c r="F1312" s="90"/>
    </row>
    <row r="1313" spans="5:6" ht="14">
      <c r="E1313" s="89"/>
      <c r="F1313" s="90"/>
    </row>
    <row r="1314" spans="5:6" ht="14">
      <c r="E1314" s="89"/>
      <c r="F1314" s="90"/>
    </row>
    <row r="1315" spans="5:6" ht="14">
      <c r="E1315" s="89"/>
      <c r="F1315" s="90"/>
    </row>
    <row r="1316" spans="5:6" ht="14">
      <c r="E1316" s="89"/>
      <c r="F1316" s="90"/>
    </row>
    <row r="1317" spans="5:6" ht="14">
      <c r="E1317" s="89"/>
      <c r="F1317" s="90"/>
    </row>
    <row r="1318" spans="5:6" ht="14">
      <c r="E1318" s="89"/>
      <c r="F1318" s="90"/>
    </row>
  </sheetData>
  <hyperlinks>
    <hyperlink ref="B11" r:id="rId1" xr:uid="{BC43565B-3D6F-324A-A143-9DF7D48005FA}"/>
    <hyperlink ref="H11" r:id="rId2" xr:uid="{DB9876B3-A36A-A64E-983E-A0D47C6375F9}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4"/>
  <sheetViews>
    <sheetView workbookViewId="0">
      <selection activeCell="E31" sqref="E31"/>
    </sheetView>
  </sheetViews>
  <sheetFormatPr baseColWidth="10" defaultRowHeight="13"/>
  <cols>
    <col min="1" max="1" width="22" bestFit="1" customWidth="1"/>
    <col min="2" max="2" width="23.5" bestFit="1" customWidth="1"/>
    <col min="3" max="3" width="25.1640625" bestFit="1" customWidth="1"/>
    <col min="4" max="4" width="24" bestFit="1" customWidth="1"/>
    <col min="5" max="5" width="23.5" bestFit="1" customWidth="1"/>
  </cols>
  <sheetData>
    <row r="3" spans="1:5">
      <c r="B3" s="24" t="s">
        <v>174</v>
      </c>
    </row>
    <row r="4" spans="1:5">
      <c r="A4" s="24" t="s">
        <v>171</v>
      </c>
      <c r="B4" t="s">
        <v>173</v>
      </c>
      <c r="C4" t="s">
        <v>175</v>
      </c>
      <c r="D4" t="s">
        <v>483</v>
      </c>
      <c r="E4" t="s">
        <v>485</v>
      </c>
    </row>
    <row r="5" spans="1:5">
      <c r="A5" s="21" t="s">
        <v>128</v>
      </c>
      <c r="B5" s="25">
        <v>4.8105549665760611E-2</v>
      </c>
      <c r="C5" s="25">
        <v>5.5910986156778024E-2</v>
      </c>
      <c r="D5" s="25">
        <v>9.831098615677801E-2</v>
      </c>
      <c r="E5" s="25">
        <v>0.2604275862068966</v>
      </c>
    </row>
    <row r="6" spans="1:5">
      <c r="A6" s="21" t="s">
        <v>129</v>
      </c>
      <c r="B6" s="25">
        <v>3.0027648019354671E-2</v>
      </c>
      <c r="C6" s="25">
        <v>3.4899828073801029E-2</v>
      </c>
      <c r="D6" s="25">
        <v>7.7299828073801036E-2</v>
      </c>
      <c r="E6" s="25">
        <v>0.2509318181818182</v>
      </c>
    </row>
    <row r="7" spans="1:5">
      <c r="A7" s="21" t="s">
        <v>53</v>
      </c>
      <c r="B7" s="25">
        <v>1.2767972730516525E-2</v>
      </c>
      <c r="C7" s="25">
        <v>1.4839658865682384E-2</v>
      </c>
      <c r="D7" s="25">
        <v>5.7239658865682379E-2</v>
      </c>
      <c r="E7" s="25">
        <v>0.28810000000000002</v>
      </c>
    </row>
    <row r="8" spans="1:5">
      <c r="A8" s="21" t="s">
        <v>54</v>
      </c>
      <c r="B8" s="25">
        <v>3.2678407160268451E-2</v>
      </c>
      <c r="C8" s="25">
        <v>3.7980690025536924E-2</v>
      </c>
      <c r="D8" s="25">
        <v>8.0380690025536924E-2</v>
      </c>
      <c r="E8" s="25">
        <v>0.17372857142857143</v>
      </c>
    </row>
    <row r="9" spans="1:5">
      <c r="A9" s="21" t="s">
        <v>51</v>
      </c>
      <c r="B9" s="25">
        <v>4.2120663546864306E-2</v>
      </c>
      <c r="C9" s="25">
        <v>4.8955013565913447E-2</v>
      </c>
      <c r="D9" s="25">
        <v>9.135501356591344E-2</v>
      </c>
      <c r="E9" s="25">
        <v>0.27204444444444448</v>
      </c>
    </row>
    <row r="10" spans="1:5">
      <c r="A10" s="21" t="s">
        <v>125</v>
      </c>
      <c r="B10" s="25">
        <v>2.7196265228261202E-2</v>
      </c>
      <c r="C10" s="25">
        <v>3.1609035116703994E-2</v>
      </c>
      <c r="D10" s="25">
        <v>7.4009035116703994E-2</v>
      </c>
      <c r="E10" s="25">
        <v>0.15789259259259258</v>
      </c>
    </row>
    <row r="11" spans="1:5">
      <c r="A11" s="21" t="s">
        <v>127</v>
      </c>
      <c r="B11" s="25">
        <v>3.1925597685366972E-2</v>
      </c>
      <c r="C11" s="25">
        <v>3.7105732345552936E-2</v>
      </c>
      <c r="D11" s="25">
        <v>7.9505732345552943E-2</v>
      </c>
      <c r="E11" s="25">
        <v>0.20384615384615387</v>
      </c>
    </row>
    <row r="12" spans="1:5">
      <c r="A12" s="21" t="s">
        <v>130</v>
      </c>
      <c r="B12" s="25">
        <v>0</v>
      </c>
      <c r="C12" s="25">
        <v>0</v>
      </c>
      <c r="D12" s="25">
        <v>4.24E-2</v>
      </c>
      <c r="E12" s="25">
        <v>0.26750000000000002</v>
      </c>
    </row>
    <row r="13" spans="1:5">
      <c r="A13" s="21" t="s">
        <v>126</v>
      </c>
      <c r="B13" s="25">
        <v>8.3315598224566745E-3</v>
      </c>
      <c r="C13" s="25">
        <v>9.6834092767740902E-3</v>
      </c>
      <c r="D13" s="25">
        <v>5.2083409276774087E-2</v>
      </c>
      <c r="E13" s="25">
        <v>0.19248076923076932</v>
      </c>
    </row>
    <row r="14" spans="1:5">
      <c r="A14" s="21" t="s">
        <v>172</v>
      </c>
      <c r="B14" s="25">
        <v>3.0361008087457297E-2</v>
      </c>
      <c r="C14" s="25">
        <v>3.5287277968509875E-2</v>
      </c>
      <c r="D14" s="25">
        <v>7.768727796850991E-2</v>
      </c>
      <c r="E14" s="25">
        <v>0.21895324675324682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4"/>
  <sheetViews>
    <sheetView zoomScaleNormal="100" workbookViewId="0">
      <selection activeCell="A170" sqref="A170:E180"/>
    </sheetView>
  </sheetViews>
  <sheetFormatPr baseColWidth="10" defaultRowHeight="13"/>
  <cols>
    <col min="1" max="1" width="24.6640625" bestFit="1" customWidth="1"/>
    <col min="2" max="2" width="20.83203125" style="30" bestFit="1" customWidth="1"/>
    <col min="3" max="6" width="20.83203125" style="30" customWidth="1"/>
    <col min="7" max="7" width="26.1640625" style="30" customWidth="1"/>
    <col min="8" max="8" width="37" customWidth="1"/>
    <col min="9" max="9" width="20.83203125" customWidth="1"/>
    <col min="10" max="10" width="25.1640625" bestFit="1" customWidth="1"/>
    <col min="11" max="11" width="23.6640625" bestFit="1" customWidth="1"/>
    <col min="12" max="13" width="20.33203125" bestFit="1" customWidth="1"/>
  </cols>
  <sheetData>
    <row r="1" spans="1:13" s="66" customFormat="1" ht="16">
      <c r="A1" s="56" t="s">
        <v>75</v>
      </c>
      <c r="B1" s="138" t="s">
        <v>587</v>
      </c>
      <c r="C1" s="11" t="s">
        <v>271</v>
      </c>
      <c r="D1" s="56" t="s">
        <v>36</v>
      </c>
      <c r="E1" s="56" t="s">
        <v>472</v>
      </c>
      <c r="F1" s="58" t="s">
        <v>37</v>
      </c>
      <c r="G1" s="58" t="s">
        <v>358</v>
      </c>
      <c r="H1" s="56" t="s">
        <v>52</v>
      </c>
      <c r="I1" s="66" t="s">
        <v>295</v>
      </c>
      <c r="J1" s="66" t="s">
        <v>301</v>
      </c>
      <c r="K1" s="66" t="s">
        <v>296</v>
      </c>
      <c r="L1" s="66" t="s">
        <v>297</v>
      </c>
      <c r="M1" s="66" t="s">
        <v>359</v>
      </c>
    </row>
    <row r="2" spans="1:13" s="43" customFormat="1" ht="16">
      <c r="A2" s="10" t="str">
        <f>'Sovereign Ratings (Moody''s,S&amp;P)'!A5</f>
        <v>Angola</v>
      </c>
      <c r="B2" s="138">
        <f>'Country GDP'!B5</f>
        <v>62.307000000000002</v>
      </c>
      <c r="C2" s="11" t="str">
        <f>'Sovereign Ratings (Moody''s,S&amp;P)'!C5</f>
        <v>B3</v>
      </c>
      <c r="D2" s="23">
        <f>'ERPs by country'!D11</f>
        <v>5.5344939912038545E-2</v>
      </c>
      <c r="E2" s="12">
        <f>'ERPs by country'!E11</f>
        <v>0.10672501428150497</v>
      </c>
      <c r="F2" s="16">
        <f>'ERPs by country'!F11</f>
        <v>6.4325014281504972E-2</v>
      </c>
      <c r="G2" s="16">
        <f>'Country Tax Rates'!C5</f>
        <v>0.25</v>
      </c>
      <c r="H2" s="17" t="str">
        <f>VLOOKUP(A2,'Regional lookup table'!$A$2:$B$161,2)</f>
        <v>Africa</v>
      </c>
      <c r="I2" s="67">
        <f t="shared" ref="I2:I29" si="0">B2/$B$32</f>
        <v>3.0376469899959044E-2</v>
      </c>
      <c r="J2" s="67">
        <f t="shared" ref="J2:J29" si="1">I2*D2</f>
        <v>1.6811839013530809E-3</v>
      </c>
      <c r="K2" s="67">
        <f t="shared" ref="K2:K29" si="2">I2*E2</f>
        <v>3.2419291838948349E-3</v>
      </c>
      <c r="L2" s="67">
        <f t="shared" ref="L2:L29" si="3">I2*F2</f>
        <v>1.9539668601365715E-3</v>
      </c>
      <c r="M2" s="67">
        <f>I2*G2</f>
        <v>7.5941174749897611E-3</v>
      </c>
    </row>
    <row r="3" spans="1:13" s="43" customFormat="1" ht="16">
      <c r="A3" s="10" t="str">
        <f>'Sovereign Ratings (Moody''s,S&amp;P)'!A19</f>
        <v>Benin</v>
      </c>
      <c r="B3" s="138">
        <f>'Country GDP'!B19</f>
        <v>15.651999999999999</v>
      </c>
      <c r="C3" s="11" t="str">
        <f>'Sovereign Ratings (Moody''s,S&amp;P)'!C19</f>
        <v>B1</v>
      </c>
      <c r="D3" s="23">
        <f>'ERPs by country'!D25</f>
        <v>3.8303918191549574E-2</v>
      </c>
      <c r="E3" s="12">
        <f>'ERPs by country'!E25</f>
        <v>8.6918976597047143E-2</v>
      </c>
      <c r="F3" s="16">
        <f>'ERPs by country'!F25</f>
        <v>4.451897659704715E-2</v>
      </c>
      <c r="G3" s="16">
        <f>'Country Tax Rates'!C19</f>
        <v>0.3</v>
      </c>
      <c r="H3" s="17" t="str">
        <f>VLOOKUP(A3,'Regional lookup table'!$A$2:$B$161,2)</f>
        <v>Africa</v>
      </c>
      <c r="I3" s="67">
        <f t="shared" ref="I3" si="4">B3/$B$32</f>
        <v>7.6308040328399527E-3</v>
      </c>
      <c r="J3" s="67">
        <f t="shared" ref="J3" si="5">I3*D3</f>
        <v>2.9228969340964811E-4</v>
      </c>
      <c r="K3" s="67">
        <f t="shared" ref="K3" si="6">I3*E3</f>
        <v>6.6326167714706884E-4</v>
      </c>
      <c r="L3" s="67">
        <f t="shared" ref="L3" si="7">I3*F3</f>
        <v>3.3971558615465485E-4</v>
      </c>
      <c r="M3" s="67">
        <f>I3*G3</f>
        <v>2.2892412098519856E-3</v>
      </c>
    </row>
    <row r="4" spans="1:13" s="43" customFormat="1" ht="16">
      <c r="A4" s="10" t="str">
        <f>'Sovereign Ratings (Moody''s,S&amp;P)'!A23</f>
        <v>Botswana</v>
      </c>
      <c r="B4" s="138">
        <f>'Country GDP'!B23</f>
        <v>15.782</v>
      </c>
      <c r="C4" s="11" t="str">
        <f>'Sovereign Ratings (Moody''s,S&amp;P)'!C23</f>
        <v>A3</v>
      </c>
      <c r="D4" s="23">
        <f>'ERPs by country'!D29</f>
        <v>1.0209260760473134E-2</v>
      </c>
      <c r="E4" s="12">
        <f>'ERPs by country'!E29</f>
        <v>5.4265779333481506E-2</v>
      </c>
      <c r="F4" s="16">
        <f>'ERPs by country'!F29</f>
        <v>1.1865779333481504E-2</v>
      </c>
      <c r="G4" s="16">
        <f>'Country Tax Rates'!C23</f>
        <v>0.22</v>
      </c>
      <c r="H4" s="17" t="str">
        <f>VLOOKUP(A4,'Regional lookup table'!$A$2:$B$161,2)</f>
        <v>Africa</v>
      </c>
      <c r="I4" s="67">
        <f t="shared" si="0"/>
        <v>7.6941828038768296E-3</v>
      </c>
      <c r="J4" s="67">
        <f t="shared" si="1"/>
        <v>7.8551918583526871E-5</v>
      </c>
      <c r="K4" s="67">
        <f t="shared" si="2"/>
        <v>4.1753082618664806E-4</v>
      </c>
      <c r="L4" s="67">
        <f t="shared" si="3"/>
        <v>9.1297475302270459E-5</v>
      </c>
      <c r="M4" s="67">
        <f t="shared" ref="M4:M76" si="8">I4*G4</f>
        <v>1.6927202168529026E-3</v>
      </c>
    </row>
    <row r="5" spans="1:13" s="43" customFormat="1" ht="16">
      <c r="A5" s="10" t="str">
        <f>'Sovereign Ratings (Moody''s,S&amp;P)'!A26</f>
        <v>Burkina Faso</v>
      </c>
      <c r="B5" s="138">
        <f>'Country GDP'!B26</f>
        <v>17.369</v>
      </c>
      <c r="C5" s="11" t="str">
        <f>'Sovereign Ratings (Moody''s,S&amp;P)'!C26</f>
        <v>B2</v>
      </c>
      <c r="D5" s="23">
        <f>'ERPs by country'!D32</f>
        <v>4.6824429051794063E-2</v>
      </c>
      <c r="E5" s="12">
        <f>'ERPs by country'!E32</f>
        <v>9.6821995439276054E-2</v>
      </c>
      <c r="F5" s="16">
        <f>'ERPs by country'!F32</f>
        <v>5.4421995439276061E-2</v>
      </c>
      <c r="G5" s="16">
        <f>'Country Tax Rates'!C26</f>
        <v>0.28000000000000003</v>
      </c>
      <c r="H5" s="17" t="str">
        <f>VLOOKUP(A5,'Regional lookup table'!$A$2:$B$161,2)</f>
        <v>Africa</v>
      </c>
      <c r="I5" s="67">
        <f t="shared" si="0"/>
        <v>8.4678913395347007E-3</v>
      </c>
      <c r="J5" s="67">
        <f t="shared" si="1"/>
        <v>3.9650417724634396E-4</v>
      </c>
      <c r="K5" s="67">
        <f t="shared" si="2"/>
        <v>8.1987813665671395E-4</v>
      </c>
      <c r="L5" s="67">
        <f t="shared" si="3"/>
        <v>4.6083954386044273E-4</v>
      </c>
      <c r="M5" s="67">
        <f t="shared" si="8"/>
        <v>2.3710095750697165E-3</v>
      </c>
    </row>
    <row r="6" spans="1:13" s="43" customFormat="1" ht="16">
      <c r="A6" s="10" t="str">
        <f>'Sovereign Ratings (Moody''s,S&amp;P)'!A28</f>
        <v>Cameroon</v>
      </c>
      <c r="B6" s="138">
        <f>'Country GDP'!B28</f>
        <v>39.802</v>
      </c>
      <c r="C6" s="11" t="str">
        <f>'Sovereign Ratings (Moody''s,S&amp;P)'!C28</f>
        <v>B2</v>
      </c>
      <c r="D6" s="23">
        <f>'ERPs by country'!D34</f>
        <v>4.6824429051794063E-2</v>
      </c>
      <c r="E6" s="12">
        <f>'ERPs by country'!E34</f>
        <v>9.6821995439276054E-2</v>
      </c>
      <c r="F6" s="16">
        <f>'ERPs by country'!F34</f>
        <v>5.4421995439276061E-2</v>
      </c>
      <c r="G6" s="16">
        <f>'Country Tax Rates'!C28</f>
        <v>0.33</v>
      </c>
      <c r="H6" s="17" t="str">
        <f>VLOOKUP(A6,'Regional lookup table'!$A$2:$B$161,2)</f>
        <v>Africa</v>
      </c>
      <c r="I6" s="67">
        <f t="shared" si="0"/>
        <v>1.9404629575459735E-2</v>
      </c>
      <c r="J6" s="67">
        <f t="shared" si="1"/>
        <v>9.0861070083245914E-4</v>
      </c>
      <c r="K6" s="67">
        <f t="shared" si="2"/>
        <v>1.8787949562560037E-3</v>
      </c>
      <c r="L6" s="67">
        <f t="shared" si="3"/>
        <v>1.0560386622565112E-3</v>
      </c>
      <c r="M6" s="67">
        <f t="shared" si="8"/>
        <v>6.4035277599017127E-3</v>
      </c>
    </row>
    <row r="7" spans="1:13" s="43" customFormat="1" ht="16">
      <c r="A7" s="10" t="str">
        <f>'Sovereign Ratings (Moody''s,S&amp;P)'!A30</f>
        <v>Cape Verde</v>
      </c>
      <c r="B7" s="138">
        <f>'Country GDP'!B30</f>
        <v>1.7</v>
      </c>
      <c r="C7" s="11" t="str">
        <f>'Sovereign Ratings (Moody''s,S&amp;P)'!C30</f>
        <v>B3</v>
      </c>
      <c r="D7" s="23">
        <f>'ERPs by country'!D36</f>
        <v>5.5344939912038545E-2</v>
      </c>
      <c r="E7" s="12">
        <f>'ERPs by country'!E36</f>
        <v>0.10672501428150497</v>
      </c>
      <c r="F7" s="16">
        <f>'ERPs by country'!F36</f>
        <v>6.4325014281504972E-2</v>
      </c>
      <c r="G7" s="16">
        <f>'Country Tax Rates'!C30</f>
        <v>0</v>
      </c>
      <c r="H7" s="17" t="str">
        <f>VLOOKUP(A7,'Regional lookup table'!$A$2:$B$161,2)</f>
        <v>Africa</v>
      </c>
      <c r="I7" s="67">
        <f t="shared" si="0"/>
        <v>8.2879931355915658E-4</v>
      </c>
      <c r="J7" s="67">
        <f t="shared" si="1"/>
        <v>4.5869848208070313E-5</v>
      </c>
      <c r="K7" s="67">
        <f t="shared" si="2"/>
        <v>8.8453618576102492E-5</v>
      </c>
      <c r="L7" s="67">
        <f t="shared" si="3"/>
        <v>5.3312527681194266E-5</v>
      </c>
      <c r="M7" s="67">
        <f t="shared" si="8"/>
        <v>0</v>
      </c>
    </row>
    <row r="8" spans="1:13" s="43" customFormat="1" ht="16">
      <c r="A8" s="10" t="str">
        <f>'Sovereign Ratings (Moody''s,S&amp;P)'!A35</f>
        <v>Congo (Democratic Republic of)</v>
      </c>
      <c r="B8" s="138">
        <f>'Country GDP'!B35</f>
        <v>49.87</v>
      </c>
      <c r="C8" s="11" t="str">
        <f>'Sovereign Ratings (Moody''s,S&amp;P)'!C35</f>
        <v>Caa1</v>
      </c>
      <c r="D8" s="23">
        <f>'ERPs by country'!D41</f>
        <v>6.3788689413181762E-2</v>
      </c>
      <c r="E8" s="12">
        <f>'ERPs by country'!E41</f>
        <v>0.11653881673776789</v>
      </c>
      <c r="F8" s="16">
        <f>'ERPs by country'!F41</f>
        <v>7.4138816737767899E-2</v>
      </c>
      <c r="G8" s="16">
        <f>'Country Tax Rates'!C35</f>
        <v>0.3</v>
      </c>
      <c r="H8" s="17" t="str">
        <f>VLOOKUP(A8,'Regional lookup table'!$A$2:$B$161,2)</f>
        <v>Africa</v>
      </c>
      <c r="I8" s="67">
        <f t="shared" si="0"/>
        <v>2.4313071627761848E-2</v>
      </c>
      <c r="J8" s="67">
        <f t="shared" si="1"/>
        <v>1.5508989747437421E-3</v>
      </c>
      <c r="K8" s="67">
        <f t="shared" si="2"/>
        <v>2.8334165987599622E-3</v>
      </c>
      <c r="L8" s="67">
        <f t="shared" si="3"/>
        <v>1.8025423617428599E-3</v>
      </c>
      <c r="M8" s="67">
        <f t="shared" si="8"/>
        <v>7.2939214883285539E-3</v>
      </c>
    </row>
    <row r="9" spans="1:13" s="43" customFormat="1" ht="16">
      <c r="A9" s="10" t="str">
        <f>'Sovereign Ratings (Moody''s,S&amp;P)'!A36</f>
        <v>Congo (Republic of)</v>
      </c>
      <c r="B9" s="138">
        <f>'Country GDP'!B36</f>
        <v>10.89</v>
      </c>
      <c r="C9" s="11" t="str">
        <f>'Sovereign Ratings (Moody''s,S&amp;P)'!C36</f>
        <v>Caa2</v>
      </c>
      <c r="D9" s="23">
        <f>'ERPs by country'!D42</f>
        <v>7.6607836383099148E-2</v>
      </c>
      <c r="E9" s="12">
        <f>'ERPs by country'!E42</f>
        <v>0.13143795319409429</v>
      </c>
      <c r="F9" s="16">
        <f>'ERPs by country'!F42</f>
        <v>8.9037953194094299E-2</v>
      </c>
      <c r="G9" s="16">
        <f>'Country Tax Rates'!C36</f>
        <v>0.28000000000000003</v>
      </c>
      <c r="H9" s="17" t="str">
        <f>VLOOKUP(A9,'Regional lookup table'!$A$2:$B$161,2)</f>
        <v>Africa</v>
      </c>
      <c r="I9" s="67">
        <f t="shared" si="0"/>
        <v>5.3091908968583628E-3</v>
      </c>
      <c r="J9" s="67">
        <f t="shared" si="1"/>
        <v>4.067256275531649E-4</v>
      </c>
      <c r="K9" s="67">
        <f t="shared" si="2"/>
        <v>6.9782918459978095E-4</v>
      </c>
      <c r="L9" s="67">
        <f t="shared" si="3"/>
        <v>4.7271949057298645E-4</v>
      </c>
      <c r="M9" s="67">
        <f t="shared" si="8"/>
        <v>1.4865734511203418E-3</v>
      </c>
    </row>
    <row r="10" spans="1:13" s="43" customFormat="1" ht="16">
      <c r="A10" s="10" t="str">
        <f>'Sovereign Ratings (Moody''s,S&amp;P)'!A39</f>
        <v>Côte d'Ivoire</v>
      </c>
      <c r="B10" s="138">
        <f>'Country GDP'!B39</f>
        <v>61.348999999999997</v>
      </c>
      <c r="C10" s="11" t="str">
        <f>'Sovereign Ratings (Moody''s,S&amp;P)'!C39</f>
        <v>Ba3</v>
      </c>
      <c r="D10" s="23">
        <f>'ERPs by country'!D45</f>
        <v>3.0627782281419401E-2</v>
      </c>
      <c r="E10" s="12">
        <f>'ERPs by country'!E45</f>
        <v>7.7997338000444505E-2</v>
      </c>
      <c r="F10" s="16">
        <f>'ERPs by country'!F45</f>
        <v>3.5597338000444512E-2</v>
      </c>
      <c r="G10" s="16">
        <f>'Country Tax Rates'!C39</f>
        <v>0.25</v>
      </c>
      <c r="H10" s="17" t="str">
        <f>VLOOKUP(A10,'Regional lookup table'!$A$2:$B$161,2)</f>
        <v>Africa</v>
      </c>
      <c r="I10" s="67">
        <f t="shared" si="0"/>
        <v>2.9909417110318057E-2</v>
      </c>
      <c r="J10" s="67">
        <f t="shared" si="1"/>
        <v>9.1605911541898166E-4</v>
      </c>
      <c r="K10" s="67">
        <f t="shared" si="2"/>
        <v>2.3328549157497556E-3</v>
      </c>
      <c r="L10" s="67">
        <f t="shared" si="3"/>
        <v>1.0646956302722702E-3</v>
      </c>
      <c r="M10" s="67">
        <f t="shared" si="8"/>
        <v>7.4773542775795144E-3</v>
      </c>
    </row>
    <row r="11" spans="1:13" s="43" customFormat="1" ht="16">
      <c r="A11" s="10" t="str">
        <f>'Sovereign Ratings (Moody''s,S&amp;P)'!A48</f>
        <v>Egypt</v>
      </c>
      <c r="B11" s="138">
        <f>'Country GDP'!B48</f>
        <v>363.09</v>
      </c>
      <c r="C11" s="11" t="str">
        <f>'Sovereign Ratings (Moody''s,S&amp;P)'!C48</f>
        <v>B2</v>
      </c>
      <c r="D11" s="23">
        <f>'ERPs by country'!D54</f>
        <v>4.6824429051794063E-2</v>
      </c>
      <c r="E11" s="12">
        <f>'ERPs by country'!E54</f>
        <v>9.6821995439276054E-2</v>
      </c>
      <c r="F11" s="16">
        <f>'ERPs by country'!F54</f>
        <v>5.4421995439276061E-2</v>
      </c>
      <c r="G11" s="16">
        <f>'Country Tax Rates'!C48</f>
        <v>0.22500000000000001</v>
      </c>
      <c r="H11" s="17" t="str">
        <f>VLOOKUP(A11,'Regional lookup table'!$A$2:$B$161,2)</f>
        <v>Africa</v>
      </c>
      <c r="I11" s="67">
        <f t="shared" si="0"/>
        <v>0.17701690750599658</v>
      </c>
      <c r="J11" s="67">
        <f t="shared" si="1"/>
        <v>8.2887156264825294E-3</v>
      </c>
      <c r="K11" s="67">
        <f t="shared" si="2"/>
        <v>1.7139130211220353E-2</v>
      </c>
      <c r="L11" s="67">
        <f t="shared" si="3"/>
        <v>9.6336133329660983E-3</v>
      </c>
      <c r="M11" s="67">
        <f t="shared" si="8"/>
        <v>3.982880418884923E-2</v>
      </c>
    </row>
    <row r="12" spans="1:13" s="43" customFormat="1" ht="16">
      <c r="A12" s="10" t="str">
        <f>'Sovereign Ratings (Moody''s,S&amp;P)'!A51</f>
        <v>Ethiopia</v>
      </c>
      <c r="B12" s="138">
        <f>'Country GDP'!B51</f>
        <v>107.645</v>
      </c>
      <c r="C12" s="11" t="str">
        <f>'Sovereign Ratings (Moody''s,S&amp;P)'!C51</f>
        <v>Caa2</v>
      </c>
      <c r="D12" s="23">
        <f>'ERPs by country'!D57</f>
        <v>7.6607836383099148E-2</v>
      </c>
      <c r="E12" s="12">
        <f>'ERPs by country'!E57</f>
        <v>0.13143795319409429</v>
      </c>
      <c r="F12" s="16">
        <f>'ERPs by country'!F57</f>
        <v>8.9037953194094299E-2</v>
      </c>
      <c r="G12" s="16">
        <f>'Country Tax Rates'!C51</f>
        <v>0.3</v>
      </c>
      <c r="H12" s="17" t="str">
        <f>VLOOKUP(A12,'Regional lookup table'!$A$2:$B$161,2)</f>
        <v>Africa</v>
      </c>
      <c r="I12" s="67">
        <f t="shared" si="0"/>
        <v>5.2480060063573773E-2</v>
      </c>
      <c r="J12" s="67">
        <f t="shared" si="1"/>
        <v>4.0203838547254759E-3</v>
      </c>
      <c r="K12" s="67">
        <f t="shared" si="2"/>
        <v>6.8978716782592663E-3</v>
      </c>
      <c r="L12" s="67">
        <f t="shared" si="3"/>
        <v>4.6727171315637389E-3</v>
      </c>
      <c r="M12" s="67">
        <f t="shared" si="8"/>
        <v>1.5744018019072131E-2</v>
      </c>
    </row>
    <row r="13" spans="1:13" s="43" customFormat="1" ht="16">
      <c r="A13" s="10" t="str">
        <f>'Sovereign Ratings (Moody''s,S&amp;P)'!A55</f>
        <v>Gabon</v>
      </c>
      <c r="B13" s="138">
        <f>'Country GDP'!B55</f>
        <v>15.593</v>
      </c>
      <c r="C13" s="11" t="str">
        <f>'Sovereign Ratings (Moody''s,S&amp;P)'!C55</f>
        <v>Caa1</v>
      </c>
      <c r="D13" s="23">
        <f>'ERPs by country'!D61</f>
        <v>6.3788689413181762E-2</v>
      </c>
      <c r="E13" s="12">
        <f>'ERPs by country'!E61</f>
        <v>0.11653881673776789</v>
      </c>
      <c r="F13" s="16">
        <f>'ERPs by country'!F61</f>
        <v>7.4138816737767899E-2</v>
      </c>
      <c r="G13" s="16">
        <f>'Country Tax Rates'!C55</f>
        <v>0.3</v>
      </c>
      <c r="H13" s="17" t="str">
        <f>VLOOKUP(A13,'Regional lookup table'!$A$2:$B$161,2)</f>
        <v>Africa</v>
      </c>
      <c r="I13" s="67">
        <f t="shared" si="0"/>
        <v>7.6020398213693706E-3</v>
      </c>
      <c r="J13" s="67">
        <f t="shared" si="1"/>
        <v>4.8492415707197052E-4</v>
      </c>
      <c r="K13" s="67">
        <f t="shared" si="2"/>
        <v>8.859327255757788E-4</v>
      </c>
      <c r="L13" s="67">
        <f t="shared" si="3"/>
        <v>5.6360623714971753E-4</v>
      </c>
      <c r="M13" s="67">
        <f t="shared" si="8"/>
        <v>2.2806119464108109E-3</v>
      </c>
    </row>
    <row r="14" spans="1:13" s="43" customFormat="1" ht="16">
      <c r="A14" s="10" t="str">
        <f>'Sovereign Ratings (Moody''s,S&amp;P)'!A58</f>
        <v>Ghana</v>
      </c>
      <c r="B14" s="138">
        <f>'Country GDP'!B58</f>
        <v>72.353999999999999</v>
      </c>
      <c r="C14" s="11" t="str">
        <f>'Sovereign Ratings (Moody''s,S&amp;P)'!C58</f>
        <v>B3</v>
      </c>
      <c r="D14" s="23">
        <f>'ERPs by country'!D64</f>
        <v>5.5344939912038545E-2</v>
      </c>
      <c r="E14" s="12">
        <f>'ERPs by country'!E64</f>
        <v>0.10672501428150497</v>
      </c>
      <c r="F14" s="16">
        <f>'ERPs by country'!F64</f>
        <v>6.4325014281504972E-2</v>
      </c>
      <c r="G14" s="16">
        <f>'Country Tax Rates'!C58</f>
        <v>0.25</v>
      </c>
      <c r="H14" s="17" t="str">
        <f>VLOOKUP(A14,'Regional lookup table'!$A$2:$B$161,2)</f>
        <v>Africa</v>
      </c>
      <c r="I14" s="67">
        <f t="shared" si="0"/>
        <v>3.5274673843093657E-2</v>
      </c>
      <c r="J14" s="67">
        <f t="shared" si="1"/>
        <v>1.9522747042627763E-3</v>
      </c>
      <c r="K14" s="67">
        <f t="shared" si="2"/>
        <v>3.7646900696796E-3</v>
      </c>
      <c r="L14" s="67">
        <f t="shared" si="3"/>
        <v>2.2690438987324293E-3</v>
      </c>
      <c r="M14" s="67">
        <f t="shared" si="8"/>
        <v>8.8186684607734142E-3</v>
      </c>
    </row>
    <row r="15" spans="1:13" s="43" customFormat="1" ht="16">
      <c r="A15" s="10" t="str">
        <f>'Sovereign Ratings (Moody''s,S&amp;P)'!A78</f>
        <v>Kenya</v>
      </c>
      <c r="B15" s="138">
        <f>'Country GDP'!B78</f>
        <v>98.843000000000004</v>
      </c>
      <c r="C15" s="11" t="str">
        <f>'Sovereign Ratings (Moody''s,S&amp;P)'!C78</f>
        <v>B2</v>
      </c>
      <c r="D15" s="23">
        <f>'ERPs by country'!D84</f>
        <v>4.6824429051794063E-2</v>
      </c>
      <c r="E15" s="12">
        <f>'ERPs by country'!E84</f>
        <v>9.6821995439276054E-2</v>
      </c>
      <c r="F15" s="16">
        <f>'ERPs by country'!F84</f>
        <v>5.4421995439276061E-2</v>
      </c>
      <c r="G15" s="16">
        <f>'Country Tax Rates'!C78</f>
        <v>0.3</v>
      </c>
      <c r="H15" s="17" t="str">
        <f>VLOOKUP(A15,'Regional lookup table'!$A$2:$B$161,2)</f>
        <v>Africa</v>
      </c>
      <c r="I15" s="67">
        <f t="shared" si="0"/>
        <v>4.8188829735369247E-2</v>
      </c>
      <c r="J15" s="67">
        <f t="shared" si="1"/>
        <v>2.2564144390327815E-3</v>
      </c>
      <c r="K15" s="67">
        <f t="shared" si="2"/>
        <v>4.665738652861972E-3</v>
      </c>
      <c r="L15" s="67">
        <f t="shared" si="3"/>
        <v>2.6225322720823158E-3</v>
      </c>
      <c r="M15" s="67">
        <f t="shared" si="8"/>
        <v>1.4456648920610774E-2</v>
      </c>
    </row>
    <row r="16" spans="1:13" s="43" customFormat="1" ht="16">
      <c r="A16" s="10" t="str">
        <f>'Sovereign Ratings (Moody''s,S&amp;P)'!A92</f>
        <v>Mali</v>
      </c>
      <c r="B16" s="138">
        <f>'Country GDP'!B92</f>
        <v>17.393999999999998</v>
      </c>
      <c r="C16" s="11" t="str">
        <f>'Sovereign Ratings (Moody''s,S&amp;P)'!C92</f>
        <v>Caa1</v>
      </c>
      <c r="D16" s="23">
        <f>'ERPs by country'!D98</f>
        <v>6.3788689413181762E-2</v>
      </c>
      <c r="E16" s="12">
        <f>'ERPs by country'!E98</f>
        <v>0.11653881673776789</v>
      </c>
      <c r="F16" s="16">
        <f>'ERPs by country'!F98</f>
        <v>7.4138816737767899E-2</v>
      </c>
      <c r="G16" s="16">
        <f>'Country Tax Rates'!C92</f>
        <v>0.2281</v>
      </c>
      <c r="H16" s="17" t="str">
        <f>VLOOKUP(A16,'Regional lookup table'!$A$2:$B$161,2)</f>
        <v>Africa</v>
      </c>
      <c r="I16" s="67">
        <f t="shared" si="0"/>
        <v>8.4800795647340995E-3</v>
      </c>
      <c r="J16" s="67">
        <f t="shared" si="1"/>
        <v>5.4093316155389305E-4</v>
      </c>
      <c r="K16" s="67">
        <f t="shared" si="2"/>
        <v>9.8825843831623779E-4</v>
      </c>
      <c r="L16" s="67">
        <f t="shared" si="3"/>
        <v>6.2870306477151193E-4</v>
      </c>
      <c r="M16" s="67">
        <f t="shared" si="8"/>
        <v>1.934306148715848E-3</v>
      </c>
    </row>
    <row r="17" spans="1:13" s="43" customFormat="1" ht="16">
      <c r="A17" s="10" t="str">
        <f>'Sovereign Ratings (Moody''s,S&amp;P)'!A94</f>
        <v>Mauritius</v>
      </c>
      <c r="B17" s="138">
        <f>'Country GDP'!B94</f>
        <v>10.914</v>
      </c>
      <c r="C17" s="11" t="str">
        <f>'Sovereign Ratings (Moody''s,S&amp;P)'!C94</f>
        <v>Baa2</v>
      </c>
      <c r="D17" s="23">
        <f>'ERPs by country'!D100</f>
        <v>1.6196646770374669E-2</v>
      </c>
      <c r="E17" s="12">
        <f>'ERPs by country'!E100</f>
        <v>6.1224657438831556E-2</v>
      </c>
      <c r="F17" s="16">
        <f>'ERPs by country'!F100</f>
        <v>1.8824657438831559E-2</v>
      </c>
      <c r="G17" s="16">
        <f>'Country Tax Rates'!C94</f>
        <v>0.15</v>
      </c>
      <c r="H17" s="17" t="str">
        <f>VLOOKUP(A17,'Regional lookup table'!$A$2:$B$161,2)</f>
        <v>Africa</v>
      </c>
      <c r="I17" s="67">
        <f>B17/$B$32</f>
        <v>5.3208915930497858E-3</v>
      </c>
      <c r="J17" s="67">
        <f t="shared" si="1"/>
        <v>8.6180601636083541E-5</v>
      </c>
      <c r="K17" s="67">
        <f t="shared" si="2"/>
        <v>3.2576976505363183E-4</v>
      </c>
      <c r="L17" s="67">
        <f t="shared" si="3"/>
        <v>1.0016396150832096E-4</v>
      </c>
      <c r="M17" s="67">
        <f t="shared" ref="M17" si="9">I17*G17</f>
        <v>7.9813373895746783E-4</v>
      </c>
    </row>
    <row r="18" spans="1:13" s="43" customFormat="1" ht="16">
      <c r="A18" s="10" t="str">
        <f>'Sovereign Ratings (Moody''s,S&amp;P)'!A100</f>
        <v>Morocco</v>
      </c>
      <c r="B18" s="138">
        <f>'Country GDP'!B100</f>
        <v>112.871</v>
      </c>
      <c r="C18" s="11" t="str">
        <f>'Sovereign Ratings (Moody''s,S&amp;P)'!C100</f>
        <v>Ba1</v>
      </c>
      <c r="D18" s="23">
        <f>'ERPs by country'!D106</f>
        <v>2.1262896471060586E-2</v>
      </c>
      <c r="E18" s="12">
        <f>'ERPs by country'!E106</f>
        <v>6.7112938912589293E-2</v>
      </c>
      <c r="F18" s="16">
        <f>'ERPs by country'!F106</f>
        <v>2.47129389125893E-2</v>
      </c>
      <c r="G18" s="16">
        <f>'Country Tax Rates'!C100</f>
        <v>0.31</v>
      </c>
      <c r="H18" s="17" t="str">
        <f>VLOOKUP(A18,'Regional lookup table'!$A$2:$B$161,2)</f>
        <v>Africa</v>
      </c>
      <c r="I18" s="67">
        <f t="shared" si="0"/>
        <v>5.5027886659256217E-2</v>
      </c>
      <c r="J18" s="67">
        <f t="shared" si="1"/>
        <v>1.1700522570570208E-3</v>
      </c>
      <c r="K18" s="67">
        <f t="shared" si="2"/>
        <v>3.6930831958515496E-3</v>
      </c>
      <c r="L18" s="67">
        <f t="shared" si="3"/>
        <v>1.3599008014990865E-3</v>
      </c>
      <c r="M18" s="67">
        <f t="shared" si="8"/>
        <v>1.7058644864369428E-2</v>
      </c>
    </row>
    <row r="19" spans="1:13" s="43" customFormat="1" ht="16">
      <c r="A19" s="10" t="str">
        <f>'Sovereign Ratings (Moody''s,S&amp;P)'!A101</f>
        <v>Mozambique</v>
      </c>
      <c r="B19" s="138">
        <f>'Country GDP'!B101</f>
        <v>14.021000000000001</v>
      </c>
      <c r="C19" s="11" t="str">
        <f>'Sovereign Ratings (Moody''s,S&amp;P)'!C101</f>
        <v>Caa2</v>
      </c>
      <c r="D19" s="23">
        <f>'ERPs by country'!D107</f>
        <v>7.6607836383099148E-2</v>
      </c>
      <c r="E19" s="12">
        <f>'ERPs by country'!E107</f>
        <v>0.13143795319409429</v>
      </c>
      <c r="F19" s="16">
        <f>'ERPs by country'!F107</f>
        <v>8.9037953194094299E-2</v>
      </c>
      <c r="G19" s="16">
        <f>'Country Tax Rates'!C101</f>
        <v>0.32</v>
      </c>
      <c r="H19" s="17" t="str">
        <f>VLOOKUP(A19,'Regional lookup table'!$A$2:$B$161,2)</f>
        <v>Africa</v>
      </c>
      <c r="I19" s="67">
        <f t="shared" si="0"/>
        <v>6.8356442208311391E-3</v>
      </c>
      <c r="J19" s="67">
        <f t="shared" si="1"/>
        <v>5.2366391404250917E-4</v>
      </c>
      <c r="K19" s="67">
        <f t="shared" si="2"/>
        <v>8.9846308514908446E-4</v>
      </c>
      <c r="L19" s="67">
        <f t="shared" si="3"/>
        <v>6.0863177018584413E-4</v>
      </c>
      <c r="M19" s="67">
        <f t="shared" si="8"/>
        <v>2.1874061506659648E-3</v>
      </c>
    </row>
    <row r="20" spans="1:13" s="43" customFormat="1" ht="16">
      <c r="A20" s="10" t="str">
        <f>'Sovereign Ratings (Moody''s,S&amp;P)'!A102</f>
        <v>Namibia</v>
      </c>
      <c r="B20" s="138">
        <f>'Country GDP'!B102</f>
        <v>10.7</v>
      </c>
      <c r="C20" s="11" t="str">
        <f>'Sovereign Ratings (Moody''s,S&amp;P)'!C102</f>
        <v>Ba3</v>
      </c>
      <c r="D20" s="23">
        <f>'ERPs by country'!D108</f>
        <v>3.0627782281419401E-2</v>
      </c>
      <c r="E20" s="12">
        <f>'ERPs by country'!E108</f>
        <v>7.7997338000444505E-2</v>
      </c>
      <c r="F20" s="16">
        <f>'ERPs by country'!F108</f>
        <v>3.5597338000444512E-2</v>
      </c>
      <c r="G20" s="16">
        <f>'Country Tax Rates'!C102</f>
        <v>0.32</v>
      </c>
      <c r="H20" s="17" t="str">
        <f>VLOOKUP(A20,'Regional lookup table'!$A$2:$B$161,2)</f>
        <v>Africa</v>
      </c>
      <c r="I20" s="67">
        <f t="shared" si="0"/>
        <v>5.2165603853429271E-3</v>
      </c>
      <c r="J20" s="67">
        <f t="shared" si="1"/>
        <v>1.5977167574016045E-4</v>
      </c>
      <c r="K20" s="67">
        <f t="shared" si="2"/>
        <v>4.0687782357532132E-4</v>
      </c>
      <c r="L20" s="67">
        <f t="shared" si="3"/>
        <v>1.8569566323678124E-4</v>
      </c>
      <c r="M20" s="67">
        <f t="shared" si="8"/>
        <v>1.6692993233097368E-3</v>
      </c>
    </row>
    <row r="21" spans="1:13" s="43" customFormat="1" ht="16">
      <c r="A21" s="10" t="str">
        <f>'Sovereign Ratings (Moody''s,S&amp;P)'!A106</f>
        <v>Niger</v>
      </c>
      <c r="B21" s="138">
        <f>'Country GDP'!B106</f>
        <v>13.678000000000001</v>
      </c>
      <c r="C21" s="11" t="str">
        <f>'Sovereign Ratings (Moody''s,S&amp;P)'!C106</f>
        <v>B3</v>
      </c>
      <c r="D21" s="23">
        <f>'ERPs by country'!D112</f>
        <v>5.5344939912038545E-2</v>
      </c>
      <c r="E21" s="12">
        <f>'ERPs by country'!E112</f>
        <v>0.10672501428150497</v>
      </c>
      <c r="F21" s="16">
        <f>'ERPs by country'!F112</f>
        <v>6.4325014281504972E-2</v>
      </c>
      <c r="G21" s="16">
        <f>'Country Tax Rates'!C106</f>
        <v>0.2281</v>
      </c>
      <c r="H21" s="17" t="str">
        <f>VLOOKUP(A21,'Regional lookup table'!$A$2:$B$161,2)</f>
        <v>Africa</v>
      </c>
      <c r="I21" s="67">
        <f t="shared" ref="I21" si="10">B21/$B$32</f>
        <v>6.6684217710953793E-3</v>
      </c>
      <c r="J21" s="67">
        <f t="shared" ref="J21" si="11">I21*D21</f>
        <v>3.6906340222940342E-4</v>
      </c>
      <c r="K21" s="67">
        <f t="shared" ref="K21" si="12">I21*E21</f>
        <v>7.1168740875525297E-4</v>
      </c>
      <c r="L21" s="67">
        <f t="shared" ref="L21" si="13">I21*F21</f>
        <v>4.2894632566080896E-4</v>
      </c>
      <c r="M21" s="67">
        <f t="shared" ref="M21" si="14">I21*G21</f>
        <v>1.5210670059868561E-3</v>
      </c>
    </row>
    <row r="22" spans="1:13" s="43" customFormat="1" ht="16">
      <c r="A22" s="10" t="str">
        <f>'Sovereign Ratings (Moody''s,S&amp;P)'!A107</f>
        <v>Nigeria</v>
      </c>
      <c r="B22" s="138">
        <f>'Country GDP'!B107</f>
        <v>432.29399999999998</v>
      </c>
      <c r="C22" s="11" t="str">
        <f>'Sovereign Ratings (Moody''s,S&amp;P)'!C107</f>
        <v>B2</v>
      </c>
      <c r="D22" s="23">
        <f>'ERPs by country'!D113</f>
        <v>4.6824429051794063E-2</v>
      </c>
      <c r="E22" s="12">
        <f>'ERPs by country'!E113</f>
        <v>9.6821995439276054E-2</v>
      </c>
      <c r="F22" s="16">
        <f>'ERPs by country'!F113</f>
        <v>5.4421995439276061E-2</v>
      </c>
      <c r="G22" s="16">
        <f>'Country Tax Rates'!C107</f>
        <v>0.3</v>
      </c>
      <c r="H22" s="17" t="str">
        <f>VLOOKUP(A22,'Regional lookup table'!$A$2:$B$161,2)</f>
        <v>Africa</v>
      </c>
      <c r="I22" s="67">
        <f t="shared" si="0"/>
        <v>0.21075586497396592</v>
      </c>
      <c r="J22" s="67">
        <f t="shared" si="1"/>
        <v>9.8685230467229559E-3</v>
      </c>
      <c r="K22" s="67">
        <f t="shared" si="2"/>
        <v>2.0405803397310008E-2</v>
      </c>
      <c r="L22" s="67">
        <f t="shared" si="3"/>
        <v>1.1469754722413855E-2</v>
      </c>
      <c r="M22" s="67">
        <f t="shared" si="8"/>
        <v>6.3226759492189769E-2</v>
      </c>
    </row>
    <row r="23" spans="1:13" s="43" customFormat="1" ht="16">
      <c r="A23" s="10" t="str">
        <f>'Sovereign Ratings (Moody''s,S&amp;P)'!A122</f>
        <v>Rwanda</v>
      </c>
      <c r="B23" s="138">
        <f>'Country GDP'!B122</f>
        <v>10.334</v>
      </c>
      <c r="C23" s="11" t="str">
        <f>'Sovereign Ratings (Moody''s,S&amp;P)'!C122</f>
        <v>B2</v>
      </c>
      <c r="D23" s="23">
        <f>'ERPs by country'!D128</f>
        <v>4.6824429051794063E-2</v>
      </c>
      <c r="E23" s="12">
        <f>'ERPs by country'!E128</f>
        <v>9.6821995439276054E-2</v>
      </c>
      <c r="F23" s="16">
        <f>'ERPs by country'!F128</f>
        <v>5.4421995439276061E-2</v>
      </c>
      <c r="G23" s="16">
        <f>'Country Tax Rates'!C122</f>
        <v>0.3</v>
      </c>
      <c r="H23" s="17" t="str">
        <f>VLOOKUP(A23,'Regional lookup table'!$A$2:$B$161,2)</f>
        <v>Africa</v>
      </c>
      <c r="I23" s="67">
        <f t="shared" si="0"/>
        <v>5.0381247684237202E-3</v>
      </c>
      <c r="J23" s="67">
        <f t="shared" si="1"/>
        <v>2.3590731577314289E-4</v>
      </c>
      <c r="K23" s="67">
        <f t="shared" si="2"/>
        <v>4.8780129335082519E-4</v>
      </c>
      <c r="L23" s="67">
        <f t="shared" si="3"/>
        <v>2.7418480316965949E-4</v>
      </c>
      <c r="M23" s="67">
        <f t="shared" si="8"/>
        <v>1.5114374305271159E-3</v>
      </c>
    </row>
    <row r="24" spans="1:13" s="43" customFormat="1" ht="16">
      <c r="A24" s="10" t="str">
        <f>'Sovereign Ratings (Moody''s,S&amp;P)'!A124</f>
        <v>Senegal</v>
      </c>
      <c r="B24" s="138">
        <f>'Country GDP'!B124</f>
        <v>24.911000000000001</v>
      </c>
      <c r="C24" s="11" t="str">
        <f>'Sovereign Ratings (Moody''s,S&amp;P)'!C124</f>
        <v>Ba3</v>
      </c>
      <c r="D24" s="23">
        <f>'ERPs by country'!D130</f>
        <v>3.0627782281419401E-2</v>
      </c>
      <c r="E24" s="12">
        <f>'ERPs by country'!E130</f>
        <v>7.7997338000444505E-2</v>
      </c>
      <c r="F24" s="16">
        <f>'ERPs by country'!F130</f>
        <v>3.5597338000444512E-2</v>
      </c>
      <c r="G24" s="16">
        <f>'Country Tax Rates'!C124</f>
        <v>0.3</v>
      </c>
      <c r="H24" s="17" t="str">
        <f>VLOOKUP(A24,'Regional lookup table'!$A$2:$B$161,2)</f>
        <v>Africa</v>
      </c>
      <c r="I24" s="67">
        <f t="shared" si="0"/>
        <v>1.2144835117689502E-2</v>
      </c>
      <c r="J24" s="67">
        <f t="shared" si="1"/>
        <v>3.7196936582833062E-4</v>
      </c>
      <c r="K24" s="67">
        <f t="shared" si="2"/>
        <v>9.4726480963409627E-4</v>
      </c>
      <c r="L24" s="67">
        <f t="shared" si="3"/>
        <v>4.3232380064406149E-4</v>
      </c>
      <c r="M24" s="67">
        <f t="shared" si="8"/>
        <v>3.6434505353068504E-3</v>
      </c>
    </row>
    <row r="25" spans="1:13" s="43" customFormat="1" ht="16">
      <c r="A25" s="10" t="str">
        <f>'Sovereign Ratings (Moody''s,S&amp;P)'!A131</f>
        <v>South Africa</v>
      </c>
      <c r="B25" s="138">
        <f>'Country GDP'!B131</f>
        <v>301.92399999999998</v>
      </c>
      <c r="C25" s="11" t="str">
        <f>'Sovereign Ratings (Moody''s,S&amp;P)'!C131</f>
        <v>Ba2</v>
      </c>
      <c r="D25" s="23">
        <f>'ERPs by country'!D137</f>
        <v>2.5561532580733477E-2</v>
      </c>
      <c r="E25" s="12">
        <f>'ERPs by country'!E137</f>
        <v>7.2109056526686768E-2</v>
      </c>
      <c r="F25" s="16">
        <f>'ERPs by country'!F137</f>
        <v>2.9709056526686765E-2</v>
      </c>
      <c r="G25" s="16">
        <f>'Country Tax Rates'!C131</f>
        <v>0.28000000000000003</v>
      </c>
      <c r="H25" s="17" t="str">
        <f>VLOOKUP(A25,'Regional lookup table'!$A$2:$B$161,2)</f>
        <v>Africa</v>
      </c>
      <c r="I25" s="67">
        <f t="shared" si="0"/>
        <v>0.1471967082041381</v>
      </c>
      <c r="J25" s="67">
        <f t="shared" si="1"/>
        <v>3.7625734525367949E-3</v>
      </c>
      <c r="K25" s="67">
        <f t="shared" si="2"/>
        <v>1.0614215752434413E-2</v>
      </c>
      <c r="L25" s="67">
        <f t="shared" si="3"/>
        <v>4.3730753245789563E-3</v>
      </c>
      <c r="M25" s="67">
        <f t="shared" si="8"/>
        <v>4.1215078297158675E-2</v>
      </c>
    </row>
    <row r="26" spans="1:13" ht="16">
      <c r="A26" s="10" t="str">
        <f>'Sovereign Ratings (Moody''s,S&amp;P)'!A137</f>
        <v>Swaziland</v>
      </c>
      <c r="B26" s="138">
        <f>'Country GDP'!B137</f>
        <v>3.96</v>
      </c>
      <c r="C26" s="11" t="str">
        <f>'Sovereign Ratings (Moody''s,S&amp;P)'!C137</f>
        <v>B3</v>
      </c>
      <c r="D26" s="23">
        <f>'ERPs by country'!D143</f>
        <v>5.5344939912038545E-2</v>
      </c>
      <c r="E26" s="12">
        <f>'ERPs by country'!E143</f>
        <v>0.10672501428150497</v>
      </c>
      <c r="F26" s="16">
        <f>'ERPs by country'!F143</f>
        <v>6.4325014281504972E-2</v>
      </c>
      <c r="G26" s="16">
        <f>'Country Tax Rates'!C137</f>
        <v>0.27500000000000002</v>
      </c>
      <c r="H26" s="17" t="str">
        <f>VLOOKUP(A26,'Regional lookup table'!$A$2:$B$161,2)</f>
        <v>Africa</v>
      </c>
      <c r="I26" s="67">
        <f t="shared" ref="I26" si="15">B26/$B$32</f>
        <v>1.930614871584859E-3</v>
      </c>
      <c r="J26" s="67">
        <f t="shared" ref="J26" si="16">I26*D26</f>
        <v>1.0684976406115203E-4</v>
      </c>
      <c r="K26" s="67">
        <f t="shared" ref="K26" si="17">I26*E26</f>
        <v>2.0604489974197996E-4</v>
      </c>
      <c r="L26" s="67">
        <f t="shared" ref="L26" si="18">I26*F26</f>
        <v>1.2418682918678193E-4</v>
      </c>
      <c r="M26" s="67">
        <f t="shared" ref="M26" si="19">I26*G26</f>
        <v>5.3091908968583626E-4</v>
      </c>
    </row>
    <row r="27" spans="1:13" s="43" customFormat="1" ht="16">
      <c r="A27" s="10" t="str">
        <f>'Sovereign Ratings (Moody''s,S&amp;P)'!A142</f>
        <v>Tanzania</v>
      </c>
      <c r="B27" s="138">
        <f>'Country GDP'!B142</f>
        <v>62.41</v>
      </c>
      <c r="C27" s="11" t="str">
        <f>'Sovereign Ratings (Moody''s,S&amp;P)'!C142</f>
        <v>B2</v>
      </c>
      <c r="D27" s="23">
        <f>'ERPs by country'!D148</f>
        <v>4.6824429051794063E-2</v>
      </c>
      <c r="E27" s="12">
        <f>'ERPs by country'!E148</f>
        <v>9.6821995439276054E-2</v>
      </c>
      <c r="F27" s="16">
        <f>'ERPs by country'!F148</f>
        <v>5.4421995439276061E-2</v>
      </c>
      <c r="G27" s="16">
        <f>'Country Tax Rates'!C142</f>
        <v>0.3</v>
      </c>
      <c r="H27" s="17" t="str">
        <f>VLOOKUP(A27,'Regional lookup table'!$A$2:$B$161,2)</f>
        <v>Africa</v>
      </c>
      <c r="I27" s="67">
        <f t="shared" si="0"/>
        <v>3.0426685387780567E-2</v>
      </c>
      <c r="J27" s="67">
        <f t="shared" si="1"/>
        <v>1.4247121712213902E-3</v>
      </c>
      <c r="K27" s="67">
        <f t="shared" si="2"/>
        <v>2.9459723938479775E-3</v>
      </c>
      <c r="L27" s="67">
        <f t="shared" si="3"/>
        <v>1.6558809334060816E-3</v>
      </c>
      <c r="M27" s="67">
        <f t="shared" si="8"/>
        <v>9.1280056163341693E-3</v>
      </c>
    </row>
    <row r="28" spans="1:13" s="43" customFormat="1" ht="16">
      <c r="A28" s="10" t="str">
        <f>'Sovereign Ratings (Moody''s,S&amp;P)'!A144</f>
        <v>Togo</v>
      </c>
      <c r="B28" s="138">
        <f>'Country GDP'!B144</f>
        <v>7.5750000000000002</v>
      </c>
      <c r="C28" s="11" t="str">
        <f>'Sovereign Ratings (Moody''s,S&amp;P)'!C144</f>
        <v>B3</v>
      </c>
      <c r="D28" s="23">
        <f>'ERPs by country'!D150</f>
        <v>5.5344939912038545E-2</v>
      </c>
      <c r="E28" s="12">
        <f>'ERPs by country'!E150</f>
        <v>0.10672501428150497</v>
      </c>
      <c r="F28" s="16">
        <f>'ERPs by country'!F150</f>
        <v>6.4325014281504972E-2</v>
      </c>
      <c r="G28" s="16">
        <f>'Country Tax Rates'!C144</f>
        <v>0.2281</v>
      </c>
      <c r="H28" s="17" t="str">
        <f>VLOOKUP(A28,'Regional lookup table'!$A$2:$B$161,2)</f>
        <v>Africa</v>
      </c>
      <c r="I28" s="67">
        <f>B28/$B$32</f>
        <v>3.6930322354180069E-3</v>
      </c>
      <c r="J28" s="67">
        <f>I28*D28</f>
        <v>2.0439064716243097E-4</v>
      </c>
      <c r="K28" s="67">
        <f>I28*E28</f>
        <v>3.9413891806704501E-4</v>
      </c>
      <c r="L28" s="67">
        <f>I28*F28</f>
        <v>2.3755435128532153E-4</v>
      </c>
      <c r="M28" s="67">
        <f>I28*G28</f>
        <v>8.4238065289884739E-4</v>
      </c>
    </row>
    <row r="29" spans="1:13" s="43" customFormat="1" ht="16">
      <c r="A29" s="10" t="str">
        <f>'Sovereign Ratings (Moody''s,S&amp;P)'!A146</f>
        <v>Tunisia</v>
      </c>
      <c r="B29" s="138">
        <f>'Country GDP'!B146</f>
        <v>39.235999999999997</v>
      </c>
      <c r="C29" s="11" t="str">
        <f>'Sovereign Ratings (Moody''s,S&amp;P)'!C146</f>
        <v>Caa1</v>
      </c>
      <c r="D29" s="23">
        <f>'ERPs by country'!D152</f>
        <v>6.3788689413181762E-2</v>
      </c>
      <c r="E29" s="12">
        <f>'ERPs by country'!E152</f>
        <v>0.11653881673776789</v>
      </c>
      <c r="F29" s="16">
        <f>'ERPs by country'!F152</f>
        <v>7.4138816737767899E-2</v>
      </c>
      <c r="G29" s="16">
        <f>'Country Tax Rates'!C146</f>
        <v>0.15</v>
      </c>
      <c r="H29" s="17" t="str">
        <f>VLOOKUP(A29,'Regional lookup table'!$A$2:$B$161,2)</f>
        <v>Africa</v>
      </c>
      <c r="I29" s="67">
        <f t="shared" si="0"/>
        <v>1.9128688156945333E-2</v>
      </c>
      <c r="J29" s="67">
        <f t="shared" si="1"/>
        <v>1.220193947724994E-3</v>
      </c>
      <c r="K29" s="67">
        <f t="shared" si="2"/>
        <v>2.2292346835561631E-3</v>
      </c>
      <c r="L29" s="67">
        <f t="shared" si="3"/>
        <v>1.4181783057016812E-3</v>
      </c>
      <c r="M29" s="67">
        <f t="shared" si="8"/>
        <v>2.8693032235417998E-3</v>
      </c>
    </row>
    <row r="30" spans="1:13" s="43" customFormat="1" ht="16">
      <c r="A30" s="10" t="str">
        <f>'Sovereign Ratings (Moody''s,S&amp;P)'!A149</f>
        <v>Uganda</v>
      </c>
      <c r="B30" s="138">
        <f>'Country GDP'!B149</f>
        <v>37.372</v>
      </c>
      <c r="C30" s="11" t="str">
        <f>'Sovereign Ratings (Moody''s,S&amp;P)'!C149</f>
        <v>B2</v>
      </c>
      <c r="D30" s="23">
        <f>'ERPs by country'!D155</f>
        <v>4.6824429051794063E-2</v>
      </c>
      <c r="E30" s="12">
        <f>'ERPs by country'!E155</f>
        <v>9.6821995439276054E-2</v>
      </c>
      <c r="F30" s="16">
        <f>'ERPs by country'!F155</f>
        <v>5.4421995439276061E-2</v>
      </c>
      <c r="G30" s="16">
        <f>'Country Tax Rates'!C149</f>
        <v>0.3</v>
      </c>
      <c r="H30" s="17" t="str">
        <f>VLOOKUP(A30,'Regional lookup table'!$A$2:$B$161,2)</f>
        <v>Africa</v>
      </c>
      <c r="I30" s="67">
        <f t="shared" ref="I30:I31" si="20">B30/$B$32</f>
        <v>1.821993408607812E-2</v>
      </c>
      <c r="J30" s="67">
        <f t="shared" ref="J30:J31" si="21">I30*D30</f>
        <v>8.5313801094192925E-4</v>
      </c>
      <c r="K30" s="67">
        <f t="shared" ref="K30:K31" si="22">I30*E30</f>
        <v>1.7640903749861661E-3</v>
      </c>
      <c r="L30" s="67">
        <f t="shared" ref="L30:L31" si="23">I30*F30</f>
        <v>9.9156516973645387E-4</v>
      </c>
      <c r="M30" s="67">
        <f t="shared" ref="M30:M31" si="24">I30*G30</f>
        <v>5.465980225823436E-3</v>
      </c>
    </row>
    <row r="31" spans="1:13" s="43" customFormat="1" ht="16">
      <c r="A31" s="10" t="str">
        <f>'Sovereign Ratings (Moody''s,S&amp;P)'!A158</f>
        <v>Zambia</v>
      </c>
      <c r="B31" s="138">
        <f>'Country GDP'!B158</f>
        <v>19.32</v>
      </c>
      <c r="C31" s="11" t="str">
        <f>'Sovereign Ratings (Moody''s,S&amp;P)'!C158</f>
        <v>Ca</v>
      </c>
      <c r="D31" s="23">
        <f>'ERPs by country'!D164</f>
        <v>0.10209260760473131</v>
      </c>
      <c r="E31" s="12">
        <f>'ERPs by country'!E164</f>
        <v>0.16105779333481501</v>
      </c>
      <c r="F31" s="16">
        <f>'ERPs by country'!F164</f>
        <v>0.11865779333481502</v>
      </c>
      <c r="G31" s="16">
        <f>'Country Tax Rates'!C158</f>
        <v>0.35</v>
      </c>
      <c r="H31" s="17" t="str">
        <f>VLOOKUP(A31,'Regional lookup table'!$A$2:$B$161,2)</f>
        <v>Africa</v>
      </c>
      <c r="I31" s="67">
        <f t="shared" si="20"/>
        <v>9.4190604340958269E-3</v>
      </c>
      <c r="J31" s="67">
        <f t="shared" si="21"/>
        <v>9.6161644090339538E-4</v>
      </c>
      <c r="K31" s="67">
        <f t="shared" si="22"/>
        <v>1.5170130888027386E-3</v>
      </c>
      <c r="L31" s="67">
        <f t="shared" si="23"/>
        <v>1.1176449263970757E-3</v>
      </c>
      <c r="M31" s="67">
        <f t="shared" si="24"/>
        <v>3.2966711519335393E-3</v>
      </c>
    </row>
    <row r="32" spans="1:13" s="35" customFormat="1" ht="16">
      <c r="A32" s="65" t="s">
        <v>128</v>
      </c>
      <c r="B32" s="170">
        <f>SUM(B2:B31)</f>
        <v>2051.1600000000003</v>
      </c>
      <c r="C32" s="60"/>
      <c r="D32" s="61">
        <f>SUM(J2:J31)</f>
        <v>4.5138945914060154E-2</v>
      </c>
      <c r="E32" s="61">
        <f>SUM(K2:K31)</f>
        <v>9.486303176385634E-2</v>
      </c>
      <c r="F32" s="61">
        <f>SUM(L2:L31)</f>
        <v>5.2463031763856346E-2</v>
      </c>
      <c r="G32" s="61">
        <f>SUM(M2:M31)</f>
        <v>0.27463605993681611</v>
      </c>
      <c r="H32" s="65"/>
      <c r="I32" s="68">
        <f>SUM(I2:I31)</f>
        <v>0.99999999999999989</v>
      </c>
    </row>
    <row r="33" spans="1:13" s="43" customFormat="1" ht="16">
      <c r="A33" s="10" t="s">
        <v>132</v>
      </c>
      <c r="B33" s="138">
        <v>324.23899999999998</v>
      </c>
      <c r="C33" s="11" t="s">
        <v>81</v>
      </c>
      <c r="D33" s="23">
        <v>3.0627782281419401E-2</v>
      </c>
      <c r="E33" s="12">
        <v>7.7997338000444505E-2</v>
      </c>
      <c r="F33" s="16">
        <v>3.5597338000444512E-2</v>
      </c>
      <c r="G33" s="16">
        <v>0.32500000000000001</v>
      </c>
      <c r="H33" s="17" t="s">
        <v>129</v>
      </c>
      <c r="I33" s="67">
        <f t="shared" ref="I33:I50" si="25">B33/$B$56</f>
        <v>1.127350766899205E-2</v>
      </c>
      <c r="J33" s="67">
        <f t="shared" ref="J33:J55" si="26">I33*D33</f>
        <v>3.4528253843380045E-4</v>
      </c>
      <c r="K33" s="67">
        <f t="shared" ref="K33:K55" si="27">I33*E33</f>
        <v>8.7930358810897613E-4</v>
      </c>
      <c r="L33" s="67">
        <f t="shared" ref="L33:L55" si="28">I33*F33</f>
        <v>4.0130686294371332E-4</v>
      </c>
      <c r="M33" s="67">
        <f t="shared" si="8"/>
        <v>3.6638899924224164E-3</v>
      </c>
    </row>
    <row r="34" spans="1:13" s="43" customFormat="1" ht="16">
      <c r="A34" s="10" t="s">
        <v>6</v>
      </c>
      <c r="B34" s="138">
        <v>25.291</v>
      </c>
      <c r="C34" s="11" t="s">
        <v>49</v>
      </c>
      <c r="D34" s="23">
        <v>4.6824429051794063E-2</v>
      </c>
      <c r="E34" s="12">
        <v>9.6821995439276054E-2</v>
      </c>
      <c r="F34" s="16">
        <v>5.4421995439276061E-2</v>
      </c>
      <c r="G34" s="16">
        <v>0.2</v>
      </c>
      <c r="H34" s="17" t="s">
        <v>129</v>
      </c>
      <c r="I34" s="67">
        <f t="shared" si="25"/>
        <v>8.7934604552961841E-4</v>
      </c>
      <c r="J34" s="67">
        <f t="shared" si="26"/>
        <v>4.1174876520877292E-5</v>
      </c>
      <c r="K34" s="67">
        <f t="shared" si="27"/>
        <v>8.5140038809814142E-5</v>
      </c>
      <c r="L34" s="67">
        <f t="shared" si="28"/>
        <v>4.7855766479358331E-5</v>
      </c>
      <c r="M34" s="67">
        <f t="shared" si="8"/>
        <v>1.758692091059237E-4</v>
      </c>
    </row>
    <row r="35" spans="1:13" s="43" customFormat="1" ht="16">
      <c r="A35" s="10" t="s">
        <v>97</v>
      </c>
      <c r="B35" s="138">
        <v>14722.731</v>
      </c>
      <c r="C35" s="11" t="s">
        <v>41</v>
      </c>
      <c r="D35" s="23">
        <v>5.987386009901537E-3</v>
      </c>
      <c r="E35" s="12">
        <v>4.9358878105350057E-2</v>
      </c>
      <c r="F35" s="16">
        <v>6.958878105350055E-3</v>
      </c>
      <c r="G35" s="16">
        <v>0.25</v>
      </c>
      <c r="H35" s="17" t="s">
        <v>129</v>
      </c>
      <c r="I35" s="67">
        <f t="shared" si="25"/>
        <v>0.51189653569437055</v>
      </c>
      <c r="J35" s="67">
        <f t="shared" si="26"/>
        <v>3.0649221563335371E-3</v>
      </c>
      <c r="K35" s="67">
        <f t="shared" si="27"/>
        <v>2.5266638707889411E-2</v>
      </c>
      <c r="L35" s="67">
        <f t="shared" si="28"/>
        <v>3.562225594448098E-3</v>
      </c>
      <c r="M35" s="67">
        <f t="shared" si="8"/>
        <v>0.12797413392359264</v>
      </c>
    </row>
    <row r="36" spans="1:13" s="43" customFormat="1" ht="16">
      <c r="A36" s="10" t="s">
        <v>219</v>
      </c>
      <c r="B36" s="138">
        <v>4.3760000000000003</v>
      </c>
      <c r="C36" s="11" t="s">
        <v>48</v>
      </c>
      <c r="D36" s="23">
        <v>3.8303918191549574E-2</v>
      </c>
      <c r="E36" s="12">
        <v>8.6918976597047143E-2</v>
      </c>
      <c r="F36" s="16">
        <v>4.451897659704715E-2</v>
      </c>
      <c r="G36" s="16">
        <v>0.2</v>
      </c>
      <c r="H36" s="17" t="s">
        <v>129</v>
      </c>
      <c r="I36" s="67">
        <f t="shared" si="25"/>
        <v>1.5214970919448067E-4</v>
      </c>
      <c r="J36" s="67">
        <f t="shared" si="26"/>
        <v>5.8279300138534459E-6</v>
      </c>
      <c r="K36" s="67">
        <f t="shared" si="27"/>
        <v>1.3224697012722593E-5</v>
      </c>
      <c r="L36" s="67">
        <f t="shared" si="28"/>
        <v>6.7735493428766148E-6</v>
      </c>
      <c r="M36" s="67">
        <f t="shared" si="8"/>
        <v>3.0429941838896136E-5</v>
      </c>
    </row>
    <row r="37" spans="1:13" s="43" customFormat="1" ht="16">
      <c r="A37" s="10" t="s">
        <v>59</v>
      </c>
      <c r="B37" s="138">
        <v>346.6</v>
      </c>
      <c r="C37" s="11" t="s">
        <v>46</v>
      </c>
      <c r="D37" s="23">
        <v>5.1430110597872171E-3</v>
      </c>
      <c r="E37" s="12">
        <v>4.8377497859723763E-2</v>
      </c>
      <c r="F37" s="16">
        <v>5.9774978597237644E-3</v>
      </c>
      <c r="G37" s="16">
        <v>0.16500000000000001</v>
      </c>
      <c r="H37" s="17" t="s">
        <v>129</v>
      </c>
      <c r="I37" s="67">
        <f t="shared" si="25"/>
        <v>1.205098016608935E-2</v>
      </c>
      <c r="J37" s="67">
        <f t="shared" si="26"/>
        <v>6.1978324275473927E-5</v>
      </c>
      <c r="K37" s="67">
        <f t="shared" si="27"/>
        <v>5.8299626719256106E-4</v>
      </c>
      <c r="L37" s="67">
        <f t="shared" si="28"/>
        <v>7.2034708150372619E-5</v>
      </c>
      <c r="M37" s="67">
        <f t="shared" si="8"/>
        <v>1.988411727404743E-3</v>
      </c>
    </row>
    <row r="38" spans="1:13" s="43" customFormat="1" ht="16">
      <c r="A38" s="10" t="s">
        <v>111</v>
      </c>
      <c r="B38" s="138">
        <v>2622.9839999999999</v>
      </c>
      <c r="C38" s="11" t="s">
        <v>124</v>
      </c>
      <c r="D38" s="23">
        <v>1.8729771620717626E-2</v>
      </c>
      <c r="E38" s="12">
        <v>6.4168798175710431E-2</v>
      </c>
      <c r="F38" s="16">
        <v>2.1768798175710428E-2</v>
      </c>
      <c r="G38" s="16">
        <v>0.3</v>
      </c>
      <c r="H38" s="17" t="s">
        <v>129</v>
      </c>
      <c r="I38" s="67">
        <f t="shared" si="25"/>
        <v>9.1198869474811622E-2</v>
      </c>
      <c r="J38" s="67">
        <f t="shared" si="26"/>
        <v>1.7081339973308578E-3</v>
      </c>
      <c r="K38" s="67">
        <f t="shared" si="27"/>
        <v>5.8521218491821457E-3</v>
      </c>
      <c r="L38" s="67">
        <f t="shared" si="28"/>
        <v>1.9852897834501328E-3</v>
      </c>
      <c r="M38" s="67">
        <f t="shared" si="8"/>
        <v>2.7359660842443487E-2</v>
      </c>
    </row>
    <row r="39" spans="1:13" s="43" customFormat="1" ht="16">
      <c r="A39" s="10" t="s">
        <v>112</v>
      </c>
      <c r="B39" s="138">
        <v>1058.424</v>
      </c>
      <c r="C39" s="11" t="s">
        <v>83</v>
      </c>
      <c r="D39" s="23">
        <v>1.6196646770374669E-2</v>
      </c>
      <c r="E39" s="12">
        <v>6.1224657438831556E-2</v>
      </c>
      <c r="F39" s="16">
        <v>1.8824657438831559E-2</v>
      </c>
      <c r="G39" s="16">
        <v>0.35</v>
      </c>
      <c r="H39" s="17" t="s">
        <v>129</v>
      </c>
      <c r="I39" s="67">
        <f t="shared" si="25"/>
        <v>3.6800480759702693E-2</v>
      </c>
      <c r="J39" s="67">
        <f t="shared" si="26"/>
        <v>5.9604438784487373E-4</v>
      </c>
      <c r="K39" s="67">
        <f t="shared" si="27"/>
        <v>2.2530968280971091E-3</v>
      </c>
      <c r="L39" s="67">
        <f t="shared" si="28"/>
        <v>6.9275644388571496E-4</v>
      </c>
      <c r="M39" s="67">
        <f t="shared" si="8"/>
        <v>1.2880168265895942E-2</v>
      </c>
    </row>
    <row r="40" spans="1:13" s="43" customFormat="1" ht="16">
      <c r="A40" s="10" t="s">
        <v>116</v>
      </c>
      <c r="B40" s="138">
        <v>5064.8729999999996</v>
      </c>
      <c r="C40" s="11" t="s">
        <v>41</v>
      </c>
      <c r="D40" s="23">
        <v>5.987386009901537E-3</v>
      </c>
      <c r="E40" s="12">
        <v>4.9358878105350057E-2</v>
      </c>
      <c r="F40" s="16">
        <v>6.958878105350055E-3</v>
      </c>
      <c r="G40" s="16">
        <v>0.30620000000000003</v>
      </c>
      <c r="H40" s="17" t="s">
        <v>129</v>
      </c>
      <c r="I40" s="67">
        <f t="shared" si="25"/>
        <v>0.1761012235047936</v>
      </c>
      <c r="J40" s="67">
        <f t="shared" si="26"/>
        <v>1.0543860019391448E-3</v>
      </c>
      <c r="K40" s="67">
        <f t="shared" si="27"/>
        <v>8.6921588251761134E-3</v>
      </c>
      <c r="L40" s="67">
        <f t="shared" si="28"/>
        <v>1.2254669485728647E-3</v>
      </c>
      <c r="M40" s="67">
        <f t="shared" si="8"/>
        <v>5.3922194637167804E-2</v>
      </c>
    </row>
    <row r="41" spans="1:13" s="43" customFormat="1" ht="16">
      <c r="A41" s="10" t="s">
        <v>119</v>
      </c>
      <c r="B41" s="138">
        <v>1630.53</v>
      </c>
      <c r="C41" s="11" t="s">
        <v>45</v>
      </c>
      <c r="D41" s="23">
        <v>4.2218747505715949E-3</v>
      </c>
      <c r="E41" s="12">
        <v>4.730690122813145E-2</v>
      </c>
      <c r="F41" s="16">
        <v>4.9069012281314477E-3</v>
      </c>
      <c r="G41" s="16">
        <v>0.25</v>
      </c>
      <c r="H41" s="17" t="s">
        <v>129</v>
      </c>
      <c r="I41" s="67">
        <f t="shared" si="25"/>
        <v>5.6692108165648201E-2</v>
      </c>
      <c r="J41" s="67">
        <f t="shared" si="26"/>
        <v>2.3934698002122388E-4</v>
      </c>
      <c r="K41" s="67">
        <f t="shared" si="27"/>
        <v>2.681927961406864E-3</v>
      </c>
      <c r="L41" s="67">
        <f t="shared" si="28"/>
        <v>2.7818257518338001E-4</v>
      </c>
      <c r="M41" s="67">
        <f t="shared" si="8"/>
        <v>1.417302704141205E-2</v>
      </c>
    </row>
    <row r="42" spans="1:13" s="43" customFormat="1" ht="16">
      <c r="A42" s="10" t="s">
        <v>343</v>
      </c>
      <c r="B42" s="138">
        <v>19.14</v>
      </c>
      <c r="C42" s="11" t="s">
        <v>58</v>
      </c>
      <c r="D42" s="23">
        <v>7.6607836383099148E-2</v>
      </c>
      <c r="E42" s="12">
        <v>0.13143795319409429</v>
      </c>
      <c r="F42" s="16">
        <v>8.9037953194094299E-2</v>
      </c>
      <c r="G42" s="16">
        <v>0.2281</v>
      </c>
      <c r="H42" s="17" t="s">
        <v>129</v>
      </c>
      <c r="I42" s="67">
        <f t="shared" si="25"/>
        <v>6.6548113208006389E-4</v>
      </c>
      <c r="J42" s="67">
        <f t="shared" ref="J42" si="29">I42*D42</f>
        <v>5.098106968242913E-5</v>
      </c>
      <c r="K42" s="67">
        <f t="shared" ref="K42" si="30">I42*E42</f>
        <v>8.7469477889892317E-5</v>
      </c>
      <c r="L42" s="67">
        <f t="shared" ref="L42" si="31">I42*F42</f>
        <v>5.9253077889697618E-5</v>
      </c>
      <c r="M42" s="67">
        <f t="shared" ref="M42" si="32">I42*G42</f>
        <v>1.5179624622746257E-4</v>
      </c>
    </row>
    <row r="43" spans="1:13" s="43" customFormat="1" ht="16">
      <c r="A43" s="10" t="s">
        <v>32</v>
      </c>
      <c r="B43" s="138">
        <v>55.15</v>
      </c>
      <c r="C43" s="11" t="s">
        <v>46</v>
      </c>
      <c r="D43" s="23">
        <v>5.1430110597872171E-3</v>
      </c>
      <c r="E43" s="12">
        <v>4.8377497859723763E-2</v>
      </c>
      <c r="F43" s="16">
        <v>5.9774978597237644E-3</v>
      </c>
      <c r="G43" s="16">
        <v>0.2281</v>
      </c>
      <c r="H43" s="17" t="s">
        <v>129</v>
      </c>
      <c r="I43" s="67">
        <f t="shared" si="25"/>
        <v>1.9175174730520128E-3</v>
      </c>
      <c r="J43" s="67">
        <f t="shared" si="26"/>
        <v>9.8618135712417385E-6</v>
      </c>
      <c r="K43" s="67">
        <f t="shared" si="27"/>
        <v>9.2764697448556666E-5</v>
      </c>
      <c r="L43" s="67">
        <f t="shared" si="28"/>
        <v>1.1461956591151327E-5</v>
      </c>
      <c r="M43" s="67">
        <f t="shared" si="8"/>
        <v>4.3738573560316409E-4</v>
      </c>
    </row>
    <row r="44" spans="1:13" s="43" customFormat="1" ht="16">
      <c r="A44" s="10" t="s">
        <v>14</v>
      </c>
      <c r="B44" s="138">
        <v>336.66399999999999</v>
      </c>
      <c r="C44" s="11" t="s">
        <v>43</v>
      </c>
      <c r="D44" s="23">
        <v>1.0209260760473134E-2</v>
      </c>
      <c r="E44" s="12">
        <v>5.4265779333481506E-2</v>
      </c>
      <c r="F44" s="16">
        <v>1.1865779333481504E-2</v>
      </c>
      <c r="G44" s="16">
        <v>0.24</v>
      </c>
      <c r="H44" s="17" t="s">
        <v>129</v>
      </c>
      <c r="I44" s="67">
        <f t="shared" si="25"/>
        <v>1.1705514098777566E-2</v>
      </c>
      <c r="J44" s="67">
        <f t="shared" si="26"/>
        <v>1.1950464576981485E-4</v>
      </c>
      <c r="K44" s="67">
        <f t="shared" si="27"/>
        <v>6.3520884506922007E-4</v>
      </c>
      <c r="L44" s="67">
        <f t="shared" si="28"/>
        <v>1.3889504728105122E-4</v>
      </c>
      <c r="M44" s="67">
        <f t="shared" si="8"/>
        <v>2.8093233837066158E-3</v>
      </c>
    </row>
    <row r="45" spans="1:13" s="43" customFormat="1" ht="16">
      <c r="A45" s="10" t="s">
        <v>414</v>
      </c>
      <c r="B45" s="138">
        <v>4.03</v>
      </c>
      <c r="C45" s="11" t="s">
        <v>100</v>
      </c>
      <c r="D45" s="23">
        <v>6.3788689413181762E-2</v>
      </c>
      <c r="E45" s="12">
        <v>0.11653881673776789</v>
      </c>
      <c r="F45" s="16">
        <v>7.4138816737767899E-2</v>
      </c>
      <c r="G45" s="16">
        <v>0.2281</v>
      </c>
      <c r="H45" s="17" t="s">
        <v>129</v>
      </c>
      <c r="I45" s="67">
        <f t="shared" si="25"/>
        <v>1.4011959050588599E-4</v>
      </c>
      <c r="J45" s="67">
        <f t="shared" ref="J45" si="33">I45*D45</f>
        <v>8.9380450394821737E-6</v>
      </c>
      <c r="K45" s="67">
        <f t="shared" ref="K45" si="34">I45*E45</f>
        <v>1.6329371279336528E-5</v>
      </c>
      <c r="L45" s="67">
        <f t="shared" ref="L45" si="35">I45*F45</f>
        <v>1.0388300641886965E-5</v>
      </c>
      <c r="M45" s="67">
        <f t="shared" ref="M45" si="36">I45*G45</f>
        <v>3.1961278594392592E-5</v>
      </c>
    </row>
    <row r="46" spans="1:13" s="43" customFormat="1" ht="16">
      <c r="A46" s="10" t="s">
        <v>63</v>
      </c>
      <c r="B46" s="138">
        <v>13.137</v>
      </c>
      <c r="C46" s="11" t="s">
        <v>78</v>
      </c>
      <c r="D46" s="23">
        <v>5.5344939912038545E-2</v>
      </c>
      <c r="E46" s="12">
        <v>0.10672501428150497</v>
      </c>
      <c r="F46" s="16">
        <v>6.4325014281504972E-2</v>
      </c>
      <c r="G46" s="16">
        <v>0.25</v>
      </c>
      <c r="H46" s="17" t="s">
        <v>129</v>
      </c>
      <c r="I46" s="67">
        <f t="shared" si="25"/>
        <v>4.5676204974586209E-4</v>
      </c>
      <c r="J46" s="67">
        <f t="shared" si="26"/>
        <v>2.5279468197284297E-5</v>
      </c>
      <c r="K46" s="67">
        <f t="shared" si="27"/>
        <v>4.8747936282376613E-5</v>
      </c>
      <c r="L46" s="67">
        <f t="shared" si="28"/>
        <v>2.9381225373152065E-5</v>
      </c>
      <c r="M46" s="67">
        <f t="shared" si="8"/>
        <v>1.1419051243646552E-4</v>
      </c>
    </row>
    <row r="47" spans="1:13" s="43" customFormat="1" ht="16">
      <c r="A47" s="10" t="s">
        <v>25</v>
      </c>
      <c r="B47" s="138">
        <v>263.68700000000001</v>
      </c>
      <c r="C47" s="11" t="s">
        <v>78</v>
      </c>
      <c r="D47" s="23">
        <v>5.5344939912038545E-2</v>
      </c>
      <c r="E47" s="12">
        <v>0.10672501428150497</v>
      </c>
      <c r="F47" s="16">
        <v>6.4325014281504972E-2</v>
      </c>
      <c r="G47" s="16">
        <v>0.28999999999999998</v>
      </c>
      <c r="H47" s="17" t="s">
        <v>129</v>
      </c>
      <c r="I47" s="67">
        <f t="shared" si="25"/>
        <v>9.1681673602296669E-3</v>
      </c>
      <c r="J47" s="67">
        <f t="shared" si="26"/>
        <v>5.0741167165542392E-4</v>
      </c>
      <c r="K47" s="67">
        <f t="shared" si="27"/>
        <v>9.7847279245573881E-4</v>
      </c>
      <c r="L47" s="67">
        <f t="shared" si="28"/>
        <v>5.8974249638200102E-4</v>
      </c>
      <c r="M47" s="67">
        <f t="shared" si="8"/>
        <v>2.6587685344666031E-3</v>
      </c>
    </row>
    <row r="48" spans="1:13" s="43" customFormat="1" ht="16">
      <c r="A48" s="10" t="s">
        <v>9</v>
      </c>
      <c r="B48" s="138">
        <v>23.591999999999999</v>
      </c>
      <c r="C48" s="11" t="s">
        <v>49</v>
      </c>
      <c r="D48" s="23">
        <v>4.6824429051794063E-2</v>
      </c>
      <c r="E48" s="12">
        <v>9.6821995439276054E-2</v>
      </c>
      <c r="F48" s="16">
        <v>5.4421995439276061E-2</v>
      </c>
      <c r="G48" s="16">
        <v>0.3</v>
      </c>
      <c r="H48" s="17" t="s">
        <v>129</v>
      </c>
      <c r="I48" s="67">
        <f t="shared" si="25"/>
        <v>8.2027329509053637E-4</v>
      </c>
      <c r="J48" s="67">
        <f t="shared" si="26"/>
        <v>3.8408828709048157E-5</v>
      </c>
      <c r="K48" s="67">
        <f t="shared" si="27"/>
        <v>7.9420497236215847E-5</v>
      </c>
      <c r="L48" s="67">
        <f t="shared" si="28"/>
        <v>4.4640909524377118E-5</v>
      </c>
      <c r="M48" s="67">
        <f t="shared" si="8"/>
        <v>2.4608198852716089E-4</v>
      </c>
    </row>
    <row r="49" spans="1:13" s="43" customFormat="1" ht="16">
      <c r="A49" s="10" t="s">
        <v>29</v>
      </c>
      <c r="B49" s="138">
        <v>361.48899999999998</v>
      </c>
      <c r="C49" s="11" t="s">
        <v>83</v>
      </c>
      <c r="D49" s="23">
        <v>1.6196646770374669E-2</v>
      </c>
      <c r="E49" s="12">
        <v>6.1224657438831556E-2</v>
      </c>
      <c r="F49" s="16">
        <v>1.8824657438831559E-2</v>
      </c>
      <c r="G49" s="16">
        <v>0.3</v>
      </c>
      <c r="H49" s="17" t="s">
        <v>129</v>
      </c>
      <c r="I49" s="67">
        <f t="shared" si="25"/>
        <v>1.2568657730119656E-2</v>
      </c>
      <c r="J49" s="67">
        <f t="shared" si="26"/>
        <v>2.0357010963248715E-4</v>
      </c>
      <c r="K49" s="67">
        <f t="shared" si="27"/>
        <v>7.6951176399249813E-4</v>
      </c>
      <c r="L49" s="67">
        <f t="shared" si="28"/>
        <v>2.3660067623542476E-4</v>
      </c>
      <c r="M49" s="67">
        <f t="shared" si="8"/>
        <v>3.7705973190358968E-3</v>
      </c>
    </row>
    <row r="50" spans="1:13" s="43" customFormat="1" ht="16">
      <c r="A50" s="10" t="s">
        <v>3</v>
      </c>
      <c r="B50" s="138">
        <v>339.99799999999999</v>
      </c>
      <c r="C50" s="11" t="s">
        <v>47</v>
      </c>
      <c r="D50" s="23">
        <v>0</v>
      </c>
      <c r="E50" s="12">
        <v>4.24E-2</v>
      </c>
      <c r="F50" s="16">
        <v>0</v>
      </c>
      <c r="G50" s="16">
        <v>0.17</v>
      </c>
      <c r="H50" s="17" t="s">
        <v>129</v>
      </c>
      <c r="I50" s="67">
        <f t="shared" si="25"/>
        <v>1.1821434375389633E-2</v>
      </c>
      <c r="J50" s="67">
        <f t="shared" si="26"/>
        <v>0</v>
      </c>
      <c r="K50" s="67">
        <f t="shared" si="27"/>
        <v>5.0122881751652045E-4</v>
      </c>
      <c r="L50" s="67">
        <f t="shared" si="28"/>
        <v>0</v>
      </c>
      <c r="M50" s="67">
        <f t="shared" si="8"/>
        <v>2.0096438438162376E-3</v>
      </c>
    </row>
    <row r="51" spans="1:13" s="43" customFormat="1" ht="16">
      <c r="A51" s="10" t="s">
        <v>426</v>
      </c>
      <c r="B51" s="138">
        <v>1.5509999999999999</v>
      </c>
      <c r="C51" s="11" t="s">
        <v>100</v>
      </c>
      <c r="D51" s="23">
        <v>6.3788689413181762E-2</v>
      </c>
      <c r="E51" s="12">
        <v>0.11653881673776789</v>
      </c>
      <c r="F51" s="16">
        <v>7.4138816737767899E-2</v>
      </c>
      <c r="G51" s="16">
        <v>0.3</v>
      </c>
      <c r="H51" s="17" t="s">
        <v>129</v>
      </c>
      <c r="I51" s="67">
        <f t="shared" ref="I51" si="37">B51/$B$56</f>
        <v>5.3926919323729317E-5</v>
      </c>
      <c r="J51" s="67">
        <f t="shared" ref="J51" si="38">I51*D51</f>
        <v>3.4399275077510792E-6</v>
      </c>
      <c r="K51" s="67">
        <f t="shared" ref="K51" si="39">I51*E51</f>
        <v>6.2845793683004846E-6</v>
      </c>
      <c r="L51" s="67">
        <f t="shared" ref="L51" si="40">I51*F51</f>
        <v>3.9980779889743624E-6</v>
      </c>
      <c r="M51" s="67">
        <f t="shared" ref="M51" si="41">I51*G51</f>
        <v>1.6178075797118795E-5</v>
      </c>
    </row>
    <row r="52" spans="1:13" s="43" customFormat="1" ht="16">
      <c r="A52" s="10" t="s">
        <v>134</v>
      </c>
      <c r="B52" s="138">
        <v>80.706999999999994</v>
      </c>
      <c r="C52" s="11" t="s">
        <v>58</v>
      </c>
      <c r="D52" s="23">
        <v>7.6607836383099148E-2</v>
      </c>
      <c r="E52" s="12">
        <v>0.13143795319409429</v>
      </c>
      <c r="F52" s="16">
        <v>8.9037953194094299E-2</v>
      </c>
      <c r="G52" s="16">
        <v>0.24</v>
      </c>
      <c r="H52" s="17" t="s">
        <v>129</v>
      </c>
      <c r="I52" s="67">
        <f>B52/$B$56</f>
        <v>2.8061121069376028E-3</v>
      </c>
      <c r="J52" s="67">
        <f t="shared" si="26"/>
        <v>2.1497017716090949E-4</v>
      </c>
      <c r="K52" s="67">
        <f t="shared" si="27"/>
        <v>3.6882963176904597E-4</v>
      </c>
      <c r="L52" s="67">
        <f t="shared" si="28"/>
        <v>2.4985047843489161E-4</v>
      </c>
      <c r="M52" s="67">
        <f t="shared" si="8"/>
        <v>6.734669056650247E-4</v>
      </c>
    </row>
    <row r="53" spans="1:13" s="43" customFormat="1" ht="16">
      <c r="A53" s="10" t="s">
        <v>64</v>
      </c>
      <c r="B53" s="138">
        <v>689</v>
      </c>
      <c r="C53" s="11" t="s">
        <v>46</v>
      </c>
      <c r="D53" s="23">
        <v>5.1430110597872171E-3</v>
      </c>
      <c r="E53" s="12">
        <v>4.8377497859723763E-2</v>
      </c>
      <c r="F53" s="16">
        <v>5.9774978597237644E-3</v>
      </c>
      <c r="G53" s="16">
        <v>0.2</v>
      </c>
      <c r="H53" s="17" t="s">
        <v>129</v>
      </c>
      <c r="I53" s="67">
        <f>B53/$B$56</f>
        <v>2.3955929989715991E-2</v>
      </c>
      <c r="J53" s="67">
        <f t="shared" si="26"/>
        <v>1.232056128845976E-4</v>
      </c>
      <c r="K53" s="67">
        <f t="shared" si="27"/>
        <v>1.1589279518051776E-3</v>
      </c>
      <c r="L53" s="67">
        <f t="shared" si="28"/>
        <v>1.4319652024121968E-4</v>
      </c>
      <c r="M53" s="67">
        <f t="shared" si="8"/>
        <v>4.7911859979431985E-3</v>
      </c>
    </row>
    <row r="54" spans="1:13" s="43" customFormat="1" ht="16">
      <c r="A54" s="10" t="s">
        <v>65</v>
      </c>
      <c r="B54" s="138">
        <v>501.79500000000002</v>
      </c>
      <c r="C54" s="11" t="s">
        <v>82</v>
      </c>
      <c r="D54" s="23">
        <v>1.358676056093041E-2</v>
      </c>
      <c r="E54" s="12">
        <v>5.8191300315986662E-2</v>
      </c>
      <c r="F54" s="16">
        <v>1.5791300315986662E-2</v>
      </c>
      <c r="G54" s="16">
        <v>0.2</v>
      </c>
      <c r="H54" s="17" t="s">
        <v>129</v>
      </c>
      <c r="I54" s="67">
        <f>B54/$B$56</f>
        <v>1.7446975165732272E-2</v>
      </c>
      <c r="J54" s="67">
        <f t="shared" si="26"/>
        <v>2.3704787408930354E-4</v>
      </c>
      <c r="K54" s="67">
        <f t="shared" si="27"/>
        <v>1.0152621714746878E-3</v>
      </c>
      <c r="L54" s="67">
        <f t="shared" si="28"/>
        <v>2.7551042444763944E-4</v>
      </c>
      <c r="M54" s="67">
        <f t="shared" si="8"/>
        <v>3.4893950331464545E-3</v>
      </c>
    </row>
    <row r="55" spans="1:13" s="43" customFormat="1" ht="16">
      <c r="A55" s="10" t="s">
        <v>71</v>
      </c>
      <c r="B55" s="138">
        <v>271.15800000000002</v>
      </c>
      <c r="C55" s="11" t="s">
        <v>81</v>
      </c>
      <c r="D55" s="23">
        <v>3.0627782281419401E-2</v>
      </c>
      <c r="E55" s="12">
        <v>7.7997338000444505E-2</v>
      </c>
      <c r="F55" s="16">
        <v>3.5597338000444512E-2</v>
      </c>
      <c r="G55" s="16">
        <v>0.2</v>
      </c>
      <c r="H55" s="17" t="s">
        <v>129</v>
      </c>
      <c r="I55" s="67">
        <f>B55/$B$56</f>
        <v>9.4279275241675019E-3</v>
      </c>
      <c r="J55" s="67">
        <f t="shared" si="26"/>
        <v>2.8875651157520368E-4</v>
      </c>
      <c r="K55" s="67">
        <f t="shared" si="27"/>
        <v>7.3535324974618663E-4</v>
      </c>
      <c r="L55" s="67">
        <f t="shared" si="28"/>
        <v>3.3560912272148456E-4</v>
      </c>
      <c r="M55" s="67">
        <f t="shared" si="8"/>
        <v>1.8855855048335005E-3</v>
      </c>
    </row>
    <row r="56" spans="1:13" s="35" customFormat="1" ht="16">
      <c r="A56" s="65" t="s">
        <v>129</v>
      </c>
      <c r="B56" s="60">
        <f>SUM(B33:B55)</f>
        <v>28761.145999999997</v>
      </c>
      <c r="C56" s="60"/>
      <c r="D56" s="61">
        <f>SUM(J33:J55)</f>
        <v>8.9484729481886186E-3</v>
      </c>
      <c r="E56" s="61">
        <f>SUM(K33:K55)</f>
        <v>5.2800420546209467E-2</v>
      </c>
      <c r="F56" s="62">
        <f>SUM(L33:L55)</f>
        <v>1.0400420546209462E-2</v>
      </c>
      <c r="G56" s="62">
        <f>SUM(M33:M55)</f>
        <v>0.26525334594108319</v>
      </c>
      <c r="H56" s="65"/>
      <c r="I56" s="68">
        <f>SUM(I33:I55)</f>
        <v>0.99999999999999989</v>
      </c>
    </row>
    <row r="57" spans="1:13" s="43" customFormat="1" ht="16">
      <c r="A57" s="10" t="s">
        <v>85</v>
      </c>
      <c r="B57" s="138">
        <v>1330.9010000000001</v>
      </c>
      <c r="C57" s="11" t="s">
        <v>47</v>
      </c>
      <c r="D57" s="23">
        <v>0</v>
      </c>
      <c r="E57" s="12">
        <v>4.24E-2</v>
      </c>
      <c r="F57" s="16">
        <v>0</v>
      </c>
      <c r="G57" s="16">
        <v>0.3</v>
      </c>
      <c r="H57" s="17" t="s">
        <v>53</v>
      </c>
      <c r="I57" s="67">
        <f>B57/$B$60</f>
        <v>0.86211261155342744</v>
      </c>
      <c r="J57" s="67">
        <f>I57*D57</f>
        <v>0</v>
      </c>
      <c r="K57" s="67">
        <f>I57*E57</f>
        <v>3.6553574729865326E-2</v>
      </c>
      <c r="L57" s="67">
        <f>I57*F57</f>
        <v>0</v>
      </c>
      <c r="M57" s="67">
        <f t="shared" si="8"/>
        <v>0.25863378346602822</v>
      </c>
    </row>
    <row r="58" spans="1:13" s="43" customFormat="1" ht="16">
      <c r="A58" s="10" t="s">
        <v>214</v>
      </c>
      <c r="B58" s="138">
        <v>0.38400000000000001</v>
      </c>
      <c r="C58" s="11" t="s">
        <v>48</v>
      </c>
      <c r="D58" s="23">
        <v>3.8303918191549574E-2</v>
      </c>
      <c r="E58" s="12">
        <v>8.6918976597047143E-2</v>
      </c>
      <c r="F58" s="16">
        <v>4.451897659704715E-2</v>
      </c>
      <c r="G58" s="16">
        <v>0.2843</v>
      </c>
      <c r="H58" s="17" t="s">
        <v>53</v>
      </c>
      <c r="I58" s="67">
        <f>B58/$B$60</f>
        <v>2.487422000858938E-4</v>
      </c>
      <c r="J58" s="67">
        <f>I58*D58</f>
        <v>9.5278008828761312E-6</v>
      </c>
      <c r="K58" s="67">
        <f>I58*E58</f>
        <v>2.162041746796382E-5</v>
      </c>
      <c r="L58" s="67">
        <f>I58*F58</f>
        <v>1.1073748184321925E-5</v>
      </c>
      <c r="M58" s="67">
        <f t="shared" si="8"/>
        <v>7.0717407484419614E-5</v>
      </c>
    </row>
    <row r="59" spans="1:13" s="43" customFormat="1" ht="16">
      <c r="A59" s="10" t="s">
        <v>21</v>
      </c>
      <c r="B59" s="138">
        <v>212.482</v>
      </c>
      <c r="C59" s="11" t="s">
        <v>47</v>
      </c>
      <c r="D59" s="23">
        <v>0</v>
      </c>
      <c r="E59" s="12">
        <v>4.24E-2</v>
      </c>
      <c r="F59" s="16">
        <v>0</v>
      </c>
      <c r="G59" s="16">
        <v>0.28000000000000003</v>
      </c>
      <c r="H59" s="17" t="s">
        <v>53</v>
      </c>
      <c r="I59" s="67">
        <f>B59/$B$60</f>
        <v>0.13763864624648667</v>
      </c>
      <c r="J59" s="67">
        <f>I59*D59</f>
        <v>0</v>
      </c>
      <c r="K59" s="67">
        <f>I59*E59</f>
        <v>5.8358786008510348E-3</v>
      </c>
      <c r="L59" s="67">
        <f>I59*F59</f>
        <v>0</v>
      </c>
      <c r="M59" s="67">
        <f t="shared" si="8"/>
        <v>3.853882094901627E-2</v>
      </c>
    </row>
    <row r="60" spans="1:13" s="35" customFormat="1" ht="16">
      <c r="A60" s="65" t="s">
        <v>53</v>
      </c>
      <c r="B60" s="60">
        <f>SUM(B57:B59)</f>
        <v>1543.7670000000001</v>
      </c>
      <c r="C60" s="60"/>
      <c r="D60" s="61">
        <f>SUM(J57:J59)</f>
        <v>9.5278008828761312E-6</v>
      </c>
      <c r="E60" s="61">
        <f>SUM(K57:K59)</f>
        <v>4.2411073748184328E-2</v>
      </c>
      <c r="F60" s="61">
        <f>SUM(L57:L59)</f>
        <v>1.1073748184321925E-5</v>
      </c>
      <c r="G60" s="61">
        <f>SUM(M57:M59)</f>
        <v>0.29724332182252894</v>
      </c>
      <c r="H60" s="65"/>
      <c r="I60" s="68">
        <f>SUM(I57:I59)</f>
        <v>1</v>
      </c>
    </row>
    <row r="61" spans="1:13" s="43" customFormat="1" ht="16">
      <c r="A61" s="10" t="s">
        <v>201</v>
      </c>
      <c r="B61" s="138">
        <v>3.202</v>
      </c>
      <c r="C61" s="11" t="s">
        <v>83</v>
      </c>
      <c r="D61" s="23">
        <v>1.6196646770374669E-2</v>
      </c>
      <c r="E61" s="12">
        <v>6.1224657438831556E-2</v>
      </c>
      <c r="F61" s="16">
        <v>1.8824657438831559E-2</v>
      </c>
      <c r="G61" s="16">
        <v>0.25</v>
      </c>
      <c r="H61" s="17" t="s">
        <v>54</v>
      </c>
      <c r="I61" s="67">
        <f t="shared" ref="I61:I73" si="42">B61/$B$75</f>
        <v>1.2516075065179747E-2</v>
      </c>
      <c r="J61" s="67">
        <f t="shared" ref="J61:J73" si="43">I61*D61</f>
        <v>2.0271844678221046E-4</v>
      </c>
      <c r="K61" s="67">
        <f t="shared" ref="K61:K73" si="44">I61*E61</f>
        <v>7.6629240834433135E-4</v>
      </c>
      <c r="L61" s="67">
        <f t="shared" ref="L61:L73" si="45">I61*F61</f>
        <v>2.3561082558071011E-4</v>
      </c>
      <c r="M61" s="67">
        <f t="shared" si="8"/>
        <v>3.1290187662949367E-3</v>
      </c>
    </row>
    <row r="62" spans="1:13" s="43" customFormat="1" ht="16">
      <c r="A62" s="10" t="s">
        <v>86</v>
      </c>
      <c r="B62" s="138">
        <v>11.25</v>
      </c>
      <c r="C62" s="11" t="s">
        <v>81</v>
      </c>
      <c r="D62" s="23">
        <v>3.0627782281419401E-2</v>
      </c>
      <c r="E62" s="12">
        <v>7.7997338000444505E-2</v>
      </c>
      <c r="F62" s="16">
        <v>3.5597338000444512E-2</v>
      </c>
      <c r="G62" s="16">
        <v>0</v>
      </c>
      <c r="H62" s="17" t="s">
        <v>54</v>
      </c>
      <c r="I62" s="67">
        <f t="shared" si="42"/>
        <v>4.3974342436999422E-2</v>
      </c>
      <c r="J62" s="67">
        <f t="shared" si="43"/>
        <v>1.3468365861290001E-3</v>
      </c>
      <c r="K62" s="67">
        <f t="shared" si="44"/>
        <v>3.4298816504059345E-3</v>
      </c>
      <c r="L62" s="67">
        <f t="shared" si="45"/>
        <v>1.5653695310771593E-3</v>
      </c>
      <c r="M62" s="67">
        <f t="shared" si="8"/>
        <v>0</v>
      </c>
    </row>
    <row r="63" spans="1:13" s="43" customFormat="1" ht="16">
      <c r="A63" s="10" t="s">
        <v>88</v>
      </c>
      <c r="B63" s="138">
        <v>4.3659999999999997</v>
      </c>
      <c r="C63" s="11" t="s">
        <v>100</v>
      </c>
      <c r="D63" s="23">
        <v>6.3788689413181762E-2</v>
      </c>
      <c r="E63" s="12">
        <v>0.11653881673776789</v>
      </c>
      <c r="F63" s="16">
        <v>7.4138816737767899E-2</v>
      </c>
      <c r="G63" s="16">
        <v>5.5E-2</v>
      </c>
      <c r="H63" s="17" t="s">
        <v>54</v>
      </c>
      <c r="I63" s="67">
        <f t="shared" si="42"/>
        <v>1.7065953695994618E-2</v>
      </c>
      <c r="J63" s="67">
        <f t="shared" si="43"/>
        <v>1.0886148198535419E-3</v>
      </c>
      <c r="K63" s="67">
        <f t="shared" si="44"/>
        <v>1.9888460502327492E-3</v>
      </c>
      <c r="L63" s="67">
        <f t="shared" si="45"/>
        <v>1.2652496135225778E-3</v>
      </c>
      <c r="M63" s="67">
        <f t="shared" si="8"/>
        <v>9.3862745327970396E-4</v>
      </c>
    </row>
    <row r="64" spans="1:13" s="43" customFormat="1" ht="16">
      <c r="A64" s="10" t="s">
        <v>90</v>
      </c>
      <c r="B64" s="138">
        <v>7.484</v>
      </c>
      <c r="C64" s="11" t="s">
        <v>42</v>
      </c>
      <c r="D64" s="23">
        <v>7.2155677555223634E-3</v>
      </c>
      <c r="E64" s="12">
        <v>5.0786340280806475E-2</v>
      </c>
      <c r="F64" s="16">
        <v>8.3863402808064744E-3</v>
      </c>
      <c r="G64" s="16">
        <v>0</v>
      </c>
      <c r="H64" s="17" t="s">
        <v>54</v>
      </c>
      <c r="I64" s="67">
        <f t="shared" si="42"/>
        <v>2.9253687004311437E-2</v>
      </c>
      <c r="J64" s="67">
        <f t="shared" si="43"/>
        <v>2.1108196067845322E-4</v>
      </c>
      <c r="K64" s="67">
        <f t="shared" si="44"/>
        <v>1.4856877026691669E-3</v>
      </c>
      <c r="L64" s="67">
        <f t="shared" si="45"/>
        <v>2.4533137368636191E-4</v>
      </c>
      <c r="M64" s="67">
        <f t="shared" si="8"/>
        <v>0</v>
      </c>
    </row>
    <row r="65" spans="1:13" s="43" customFormat="1" ht="16">
      <c r="A65" s="10" t="s">
        <v>55</v>
      </c>
      <c r="B65" s="138">
        <v>5.9359999999999999</v>
      </c>
      <c r="C65" s="11" t="s">
        <v>46</v>
      </c>
      <c r="D65" s="23">
        <v>5.1430110597872171E-3</v>
      </c>
      <c r="E65" s="12">
        <v>4.8377497859723763E-2</v>
      </c>
      <c r="F65" s="16">
        <v>5.9774978597237644E-3</v>
      </c>
      <c r="G65" s="16">
        <v>0</v>
      </c>
      <c r="H65" s="17" t="s">
        <v>54</v>
      </c>
      <c r="I65" s="67">
        <f t="shared" si="42"/>
        <v>2.3202817484980317E-2</v>
      </c>
      <c r="J65" s="67">
        <f t="shared" si="43"/>
        <v>1.1933234694347799E-4</v>
      </c>
      <c r="K65" s="67">
        <f t="shared" si="44"/>
        <v>1.1224942532191964E-3</v>
      </c>
      <c r="L65" s="67">
        <f t="shared" si="45"/>
        <v>1.3869479185603099E-4</v>
      </c>
      <c r="M65" s="67">
        <f t="shared" si="8"/>
        <v>0</v>
      </c>
    </row>
    <row r="66" spans="1:13" s="43" customFormat="1" ht="16">
      <c r="A66" s="10" t="s">
        <v>99</v>
      </c>
      <c r="B66" s="138">
        <v>103.131</v>
      </c>
      <c r="C66" s="11" t="s">
        <v>346</v>
      </c>
      <c r="D66" s="23">
        <v>0.10209260760473131</v>
      </c>
      <c r="E66" s="12">
        <v>0.16105779333481501</v>
      </c>
      <c r="F66" s="16">
        <v>0.11865779333481502</v>
      </c>
      <c r="G66" s="16">
        <v>0.27179999999999999</v>
      </c>
      <c r="H66" s="17" t="s">
        <v>54</v>
      </c>
      <c r="I66" s="67">
        <f t="shared" si="42"/>
        <v>0.40312159198846109</v>
      </c>
      <c r="J66" s="67">
        <f t="shared" si="43"/>
        <v>4.1155734507872556E-2</v>
      </c>
      <c r="K66" s="67">
        <f t="shared" si="44"/>
        <v>6.4925874051279184E-2</v>
      </c>
      <c r="L66" s="67">
        <f t="shared" si="45"/>
        <v>4.7833518550968436E-2</v>
      </c>
      <c r="M66" s="67">
        <f t="shared" si="8"/>
        <v>0.10956844870246372</v>
      </c>
    </row>
    <row r="67" spans="1:13" s="43" customFormat="1" ht="16">
      <c r="A67" s="10" t="s">
        <v>217</v>
      </c>
      <c r="B67" s="138">
        <v>3.1</v>
      </c>
      <c r="C67" s="11" t="s">
        <v>83</v>
      </c>
      <c r="D67" s="23">
        <v>1.6196646770374669E-2</v>
      </c>
      <c r="E67" s="12">
        <v>6.1224657438831556E-2</v>
      </c>
      <c r="F67" s="16">
        <v>1.8824657438831559E-2</v>
      </c>
      <c r="G67" s="16">
        <v>0.22</v>
      </c>
      <c r="H67" s="17" t="s">
        <v>54</v>
      </c>
      <c r="I67" s="67">
        <f t="shared" si="42"/>
        <v>1.211737436041762E-2</v>
      </c>
      <c r="J67" s="67">
        <f t="shared" si="43"/>
        <v>1.9626083230007887E-4</v>
      </c>
      <c r="K67" s="67">
        <f t="shared" si="44"/>
        <v>7.4188209427464942E-4</v>
      </c>
      <c r="L67" s="67">
        <f t="shared" si="45"/>
        <v>2.2810542139294236E-4</v>
      </c>
      <c r="M67" s="67">
        <f t="shared" si="8"/>
        <v>2.6658223592918762E-3</v>
      </c>
    </row>
    <row r="68" spans="1:13" s="43" customFormat="1" ht="16">
      <c r="A68" s="10" t="s">
        <v>103</v>
      </c>
      <c r="B68" s="138">
        <v>78.844999999999999</v>
      </c>
      <c r="C68" s="11" t="s">
        <v>81</v>
      </c>
      <c r="D68" s="23">
        <v>3.0627782281419401E-2</v>
      </c>
      <c r="E68" s="12">
        <v>7.7997338000444505E-2</v>
      </c>
      <c r="F68" s="16">
        <v>3.5597338000444512E-2</v>
      </c>
      <c r="G68" s="16">
        <v>0.27</v>
      </c>
      <c r="H68" s="17" t="s">
        <v>54</v>
      </c>
      <c r="I68" s="67">
        <f t="shared" si="42"/>
        <v>0.30819173595068616</v>
      </c>
      <c r="J68" s="67">
        <f t="shared" si="43"/>
        <v>9.4392293896303128E-3</v>
      </c>
      <c r="K68" s="67">
        <f t="shared" si="44"/>
        <v>2.4038134997889413E-2</v>
      </c>
      <c r="L68" s="67">
        <f t="shared" si="45"/>
        <v>1.0970805393580321E-2</v>
      </c>
      <c r="M68" s="67">
        <f t="shared" si="8"/>
        <v>8.3211768706685271E-2</v>
      </c>
    </row>
    <row r="69" spans="1:13" s="43" customFormat="1" ht="16">
      <c r="A69" s="10" t="s">
        <v>115</v>
      </c>
      <c r="B69" s="138">
        <v>13.811999999999999</v>
      </c>
      <c r="C69" s="11" t="s">
        <v>49</v>
      </c>
      <c r="D69" s="23">
        <v>4.6824429051794063E-2</v>
      </c>
      <c r="E69" s="12">
        <v>9.6821995439276054E-2</v>
      </c>
      <c r="F69" s="16">
        <v>5.4421995439276061E-2</v>
      </c>
      <c r="G69" s="16">
        <v>0.25</v>
      </c>
      <c r="H69" s="17" t="s">
        <v>54</v>
      </c>
      <c r="I69" s="67">
        <f t="shared" si="42"/>
        <v>5.3988766021318753E-2</v>
      </c>
      <c r="J69" s="67">
        <f t="shared" si="43"/>
        <v>2.52799314415915E-3</v>
      </c>
      <c r="K69" s="67">
        <f t="shared" si="44"/>
        <v>5.2273000574882666E-3</v>
      </c>
      <c r="L69" s="67">
        <f t="shared" si="45"/>
        <v>2.9381763781843517E-3</v>
      </c>
      <c r="M69" s="67">
        <f t="shared" si="8"/>
        <v>1.3497191505329688E-2</v>
      </c>
    </row>
    <row r="70" spans="1:13" s="43" customFormat="1" ht="16">
      <c r="A70" s="10" t="s">
        <v>225</v>
      </c>
      <c r="B70" s="138">
        <v>0.25</v>
      </c>
      <c r="C70" s="11" t="s">
        <v>124</v>
      </c>
      <c r="D70" s="23">
        <v>1.8729771620717626E-2</v>
      </c>
      <c r="E70" s="12">
        <v>6.4168798175710431E-2</v>
      </c>
      <c r="F70" s="16">
        <v>2.1768798175710428E-2</v>
      </c>
      <c r="G70" s="16">
        <v>0.27179999999999999</v>
      </c>
      <c r="H70" s="17" t="s">
        <v>54</v>
      </c>
      <c r="I70" s="67">
        <f t="shared" si="42"/>
        <v>9.7720760971109835E-4</v>
      </c>
      <c r="J70" s="67">
        <f t="shared" si="43"/>
        <v>1.8302875355916237E-5</v>
      </c>
      <c r="K70" s="67">
        <f t="shared" si="44"/>
        <v>6.2706237883319873E-5</v>
      </c>
      <c r="L70" s="67">
        <f t="shared" si="45"/>
        <v>2.1272635231569307E-5</v>
      </c>
      <c r="M70" s="67">
        <f t="shared" si="8"/>
        <v>2.6560502831947651E-4</v>
      </c>
    </row>
    <row r="71" spans="1:13" s="43" customFormat="1" ht="16">
      <c r="A71" s="10" t="s">
        <v>191</v>
      </c>
      <c r="B71" s="138">
        <v>1.19</v>
      </c>
      <c r="C71" s="11" t="s">
        <v>80</v>
      </c>
      <c r="D71" s="23">
        <v>2.5561532580733477E-2</v>
      </c>
      <c r="E71" s="12">
        <v>7.2109056526686768E-2</v>
      </c>
      <c r="F71" s="16">
        <v>2.9709056526686765E-2</v>
      </c>
      <c r="G71" s="16">
        <v>0.27179999999999999</v>
      </c>
      <c r="H71" s="17" t="s">
        <v>54</v>
      </c>
      <c r="I71" s="67">
        <f t="shared" si="42"/>
        <v>4.6515082222248275E-3</v>
      </c>
      <c r="J71" s="67">
        <f t="shared" si="43"/>
        <v>1.1889967897194957E-4</v>
      </c>
      <c r="K71" s="67">
        <f t="shared" si="44"/>
        <v>3.3541586933075835E-4</v>
      </c>
      <c r="L71" s="67">
        <f t="shared" si="45"/>
        <v>1.3819192070842567E-4</v>
      </c>
      <c r="M71" s="67">
        <f t="shared" si="8"/>
        <v>1.2642799348007081E-3</v>
      </c>
    </row>
    <row r="72" spans="1:13" s="43" customFormat="1" ht="16">
      <c r="A72" s="10" t="s">
        <v>10</v>
      </c>
      <c r="B72" s="138">
        <v>0.81</v>
      </c>
      <c r="C72" s="11" t="s">
        <v>78</v>
      </c>
      <c r="D72" s="23">
        <v>5.5344939912038545E-2</v>
      </c>
      <c r="E72" s="12">
        <v>0.10672501428150497</v>
      </c>
      <c r="F72" s="16">
        <v>6.4325014281504972E-2</v>
      </c>
      <c r="G72" s="16">
        <v>0.27179999999999999</v>
      </c>
      <c r="H72" s="17" t="s">
        <v>54</v>
      </c>
      <c r="I72" s="67">
        <f t="shared" si="42"/>
        <v>3.1661526554639585E-3</v>
      </c>
      <c r="J72" s="67">
        <f t="shared" si="43"/>
        <v>1.7523052846899406E-4</v>
      </c>
      <c r="K72" s="67">
        <f t="shared" si="44"/>
        <v>3.3790768737181585E-4</v>
      </c>
      <c r="L72" s="67">
        <f t="shared" si="45"/>
        <v>2.0366281478014403E-4</v>
      </c>
      <c r="M72" s="67">
        <f t="shared" si="8"/>
        <v>8.6056029175510392E-4</v>
      </c>
    </row>
    <row r="73" spans="1:13" s="43" customFormat="1" ht="16">
      <c r="A73" s="10" t="s">
        <v>11</v>
      </c>
      <c r="B73" s="138">
        <v>21.53</v>
      </c>
      <c r="C73" s="11" t="s">
        <v>80</v>
      </c>
      <c r="D73" s="23">
        <v>2.5561532580733477E-2</v>
      </c>
      <c r="E73" s="12">
        <v>7.2109056526686768E-2</v>
      </c>
      <c r="F73" s="16">
        <v>2.9709056526686765E-2</v>
      </c>
      <c r="G73" s="16">
        <v>0.3</v>
      </c>
      <c r="H73" s="17" t="s">
        <v>54</v>
      </c>
      <c r="I73" s="67">
        <f t="shared" si="42"/>
        <v>8.4157119348319792E-2</v>
      </c>
      <c r="J73" s="67">
        <f t="shared" si="43"/>
        <v>2.1511849481227522E-3</v>
      </c>
      <c r="K73" s="67">
        <f t="shared" si="44"/>
        <v>6.0684904762111167E-3</v>
      </c>
      <c r="L73" s="67">
        <f t="shared" si="45"/>
        <v>2.5002286158423573E-3</v>
      </c>
      <c r="M73" s="67">
        <f t="shared" si="8"/>
        <v>2.5247135804495936E-2</v>
      </c>
    </row>
    <row r="74" spans="1:13" s="43" customFormat="1" ht="16">
      <c r="A74" s="10" t="s">
        <v>292</v>
      </c>
      <c r="B74" s="138">
        <v>0.92500000000000004</v>
      </c>
      <c r="C74" s="11" t="s">
        <v>82</v>
      </c>
      <c r="D74" s="23">
        <v>1.358676056093041E-2</v>
      </c>
      <c r="E74" s="12">
        <v>5.8191300315986662E-2</v>
      </c>
      <c r="F74" s="16">
        <v>1.5791300315986662E-2</v>
      </c>
      <c r="G74" s="16">
        <v>0</v>
      </c>
      <c r="H74" s="17" t="s">
        <v>54</v>
      </c>
      <c r="I74" s="67">
        <f>B74/$B$75</f>
        <v>3.6156681559310639E-3</v>
      </c>
      <c r="J74" s="67">
        <f>I74*D74</f>
        <v>4.9125217502416165E-5</v>
      </c>
      <c r="K74" s="67">
        <f>I74*E74</f>
        <v>2.1040043150473422E-4</v>
      </c>
      <c r="L74" s="67">
        <f>I74*F74</f>
        <v>5.7096101693257117E-5</v>
      </c>
      <c r="M74" s="67">
        <f>I74*G74</f>
        <v>0</v>
      </c>
    </row>
    <row r="75" spans="1:13" s="35" customFormat="1" ht="16">
      <c r="A75" s="65" t="s">
        <v>54</v>
      </c>
      <c r="B75" s="60">
        <f>SUM(B61:B74)</f>
        <v>255.83100000000002</v>
      </c>
      <c r="C75" s="60"/>
      <c r="D75" s="61">
        <f>SUM(J61:J74)</f>
        <v>5.8800545282770816E-2</v>
      </c>
      <c r="E75" s="61">
        <f>SUM(K61:K74)</f>
        <v>0.11074131396810462</v>
      </c>
      <c r="F75" s="61">
        <f>SUM(L61:L74)</f>
        <v>6.8341313968104625E-2</v>
      </c>
      <c r="G75" s="61">
        <f>SUM(M61:M74)</f>
        <v>0.24064845855271644</v>
      </c>
      <c r="H75" s="65"/>
      <c r="I75" s="68">
        <f>SUM(I61:I74)</f>
        <v>0.99999999999999989</v>
      </c>
      <c r="J75" s="68"/>
      <c r="K75" s="68"/>
      <c r="L75" s="68">
        <f>SUM(L61:L74)</f>
        <v>6.8341313968104625E-2</v>
      </c>
    </row>
    <row r="76" spans="1:13" s="43" customFormat="1" ht="16">
      <c r="A76" s="10" t="s">
        <v>84</v>
      </c>
      <c r="B76" s="138">
        <v>383.06700000000001</v>
      </c>
      <c r="C76" s="11" t="s">
        <v>346</v>
      </c>
      <c r="D76" s="23">
        <v>0.10209260760473131</v>
      </c>
      <c r="E76" s="12">
        <v>0.16105779333481501</v>
      </c>
      <c r="F76" s="16">
        <v>0.11865779333481502</v>
      </c>
      <c r="G76" s="16">
        <v>0.25</v>
      </c>
      <c r="H76" s="17" t="s">
        <v>51</v>
      </c>
      <c r="I76" s="67">
        <f t="shared" ref="I76:I94" si="46">B76/$B$95</f>
        <v>9.095051115693982E-2</v>
      </c>
      <c r="J76" s="67">
        <f t="shared" ref="J76:J94" si="47">I76*D76</f>
        <v>9.2853748469951935E-3</v>
      </c>
      <c r="K76" s="67">
        <f t="shared" ref="K76:K94" si="48">I76*E76</f>
        <v>1.4648288629610201E-2</v>
      </c>
      <c r="L76" s="67">
        <f t="shared" ref="L76:L94" si="49">I76*F76</f>
        <v>1.0791986956555952E-2</v>
      </c>
      <c r="M76" s="67">
        <f t="shared" si="8"/>
        <v>2.2737627789234955E-2</v>
      </c>
    </row>
    <row r="77" spans="1:13" s="43" customFormat="1" ht="16">
      <c r="A77" s="10" t="s">
        <v>89</v>
      </c>
      <c r="B77" s="138">
        <v>1.764</v>
      </c>
      <c r="C77" s="11" t="s">
        <v>62</v>
      </c>
      <c r="D77" s="23">
        <v>8.5051585884242345E-2</v>
      </c>
      <c r="E77" s="12">
        <v>0.14125175565035719</v>
      </c>
      <c r="F77" s="16">
        <v>9.8851755650357198E-2</v>
      </c>
      <c r="G77" s="16">
        <v>0.27179999999999999</v>
      </c>
      <c r="H77" s="17" t="s">
        <v>51</v>
      </c>
      <c r="I77" s="67">
        <f t="shared" si="46"/>
        <v>4.1882151602942003E-4</v>
      </c>
      <c r="J77" s="67">
        <f t="shared" si="47"/>
        <v>3.5621434140744801E-5</v>
      </c>
      <c r="K77" s="67">
        <f t="shared" si="48"/>
        <v>5.9159274443299799E-5</v>
      </c>
      <c r="L77" s="67">
        <f t="shared" si="49"/>
        <v>4.1401242163652391E-5</v>
      </c>
      <c r="M77" s="67">
        <f t="shared" ref="M77:M144" si="50">I77*G77</f>
        <v>1.1383568805679636E-4</v>
      </c>
    </row>
    <row r="78" spans="1:13" s="43" customFormat="1" ht="16">
      <c r="A78" s="10" t="s">
        <v>91</v>
      </c>
      <c r="B78" s="138">
        <v>36.689</v>
      </c>
      <c r="C78" s="11" t="s">
        <v>49</v>
      </c>
      <c r="D78" s="23">
        <v>4.6824429051794063E-2</v>
      </c>
      <c r="E78" s="12">
        <v>9.6821995439276054E-2</v>
      </c>
      <c r="F78" s="16">
        <v>5.4421995439276061E-2</v>
      </c>
      <c r="G78" s="16">
        <v>0.25</v>
      </c>
      <c r="H78" s="17" t="s">
        <v>51</v>
      </c>
      <c r="I78" s="67">
        <f t="shared" si="46"/>
        <v>8.7109651936527165E-3</v>
      </c>
      <c r="J78" s="67">
        <f t="shared" si="47"/>
        <v>4.0788597168283915E-4</v>
      </c>
      <c r="K78" s="67">
        <f t="shared" si="48"/>
        <v>8.4341303225153575E-4</v>
      </c>
      <c r="L78" s="67">
        <f t="shared" si="49"/>
        <v>4.7406810804066063E-4</v>
      </c>
      <c r="M78" s="67">
        <f t="shared" si="50"/>
        <v>2.1777412984131791E-3</v>
      </c>
    </row>
    <row r="79" spans="1:13" s="43" customFormat="1" ht="16">
      <c r="A79" s="10" t="s">
        <v>92</v>
      </c>
      <c r="B79" s="138">
        <v>1444.7329999999999</v>
      </c>
      <c r="C79" s="11" t="s">
        <v>80</v>
      </c>
      <c r="D79" s="23">
        <v>2.5561532580733477E-2</v>
      </c>
      <c r="E79" s="12">
        <v>7.2109056526686768E-2</v>
      </c>
      <c r="F79" s="16">
        <v>2.9709056526686765E-2</v>
      </c>
      <c r="G79" s="16">
        <v>0.34</v>
      </c>
      <c r="H79" s="17" t="s">
        <v>51</v>
      </c>
      <c r="I79" s="67">
        <f t="shared" si="46"/>
        <v>0.3430188578898708</v>
      </c>
      <c r="J79" s="67">
        <f t="shared" si="47"/>
        <v>8.768087711757919E-3</v>
      </c>
      <c r="K79" s="67">
        <f t="shared" si="48"/>
        <v>2.473476621330023E-2</v>
      </c>
      <c r="L79" s="67">
        <f t="shared" si="49"/>
        <v>1.0190766638769706E-2</v>
      </c>
      <c r="M79" s="67">
        <f t="shared" si="50"/>
        <v>0.11662641168255608</v>
      </c>
    </row>
    <row r="80" spans="1:13" s="43" customFormat="1" ht="16">
      <c r="A80" s="10" t="s">
        <v>96</v>
      </c>
      <c r="B80" s="138">
        <v>252.94</v>
      </c>
      <c r="C80" s="11" t="s">
        <v>41</v>
      </c>
      <c r="D80" s="23">
        <v>5.987386009901537E-3</v>
      </c>
      <c r="E80" s="12">
        <v>4.9358878105350057E-2</v>
      </c>
      <c r="F80" s="16">
        <v>6.958878105350055E-3</v>
      </c>
      <c r="G80" s="16">
        <v>0.27</v>
      </c>
      <c r="H80" s="17" t="s">
        <v>51</v>
      </c>
      <c r="I80" s="67">
        <f t="shared" si="46"/>
        <v>6.005482668054507E-2</v>
      </c>
      <c r="J80" s="67">
        <f t="shared" si="47"/>
        <v>3.5957142909415711E-4</v>
      </c>
      <c r="K80" s="67">
        <f t="shared" si="48"/>
        <v>2.9642388697629484E-3</v>
      </c>
      <c r="L80" s="67">
        <f t="shared" si="49"/>
        <v>4.1791421850783739E-4</v>
      </c>
      <c r="M80" s="67">
        <f t="shared" si="50"/>
        <v>1.6214803203747172E-2</v>
      </c>
    </row>
    <row r="81" spans="1:13" s="43" customFormat="1" ht="16">
      <c r="A81" s="10" t="s">
        <v>50</v>
      </c>
      <c r="B81" s="138">
        <v>271.34699999999998</v>
      </c>
      <c r="C81" s="11" t="s">
        <v>83</v>
      </c>
      <c r="D81" s="23">
        <v>1.6196646770374669E-2</v>
      </c>
      <c r="E81" s="12">
        <v>6.1224657438831556E-2</v>
      </c>
      <c r="F81" s="16">
        <v>1.8824657438831559E-2</v>
      </c>
      <c r="G81" s="16">
        <v>0.31</v>
      </c>
      <c r="H81" s="17" t="s">
        <v>51</v>
      </c>
      <c r="I81" s="67">
        <f t="shared" si="46"/>
        <v>6.4425148475076549E-2</v>
      </c>
      <c r="J81" s="67">
        <f t="shared" si="47"/>
        <v>1.0434713729797571E-3</v>
      </c>
      <c r="K81" s="67">
        <f t="shared" si="48"/>
        <v>3.9444076458324227E-3</v>
      </c>
      <c r="L81" s="67">
        <f t="shared" si="49"/>
        <v>1.2127813504891774E-3</v>
      </c>
      <c r="M81" s="67">
        <f t="shared" si="50"/>
        <v>1.9971796027273728E-2</v>
      </c>
    </row>
    <row r="82" spans="1:13" s="43" customFormat="1" ht="16">
      <c r="A82" s="10" t="s">
        <v>56</v>
      </c>
      <c r="B82" s="138">
        <v>61.521000000000001</v>
      </c>
      <c r="C82" s="11" t="s">
        <v>49</v>
      </c>
      <c r="D82" s="23">
        <v>4.6824429051794063E-2</v>
      </c>
      <c r="E82" s="12">
        <v>9.6821995439276054E-2</v>
      </c>
      <c r="F82" s="16">
        <v>5.4421995439276061E-2</v>
      </c>
      <c r="G82" s="16">
        <v>0.3</v>
      </c>
      <c r="H82" s="17" t="s">
        <v>51</v>
      </c>
      <c r="I82" s="67">
        <f t="shared" si="46"/>
        <v>1.4606756512270948E-2</v>
      </c>
      <c r="J82" s="67">
        <f t="shared" si="47"/>
        <v>6.8395303398566189E-4</v>
      </c>
      <c r="K82" s="67">
        <f t="shared" si="48"/>
        <v>1.4142553124137135E-3</v>
      </c>
      <c r="L82" s="67">
        <f t="shared" si="49"/>
        <v>7.9492883629342544E-4</v>
      </c>
      <c r="M82" s="67">
        <f t="shared" si="50"/>
        <v>4.3820269536812839E-3</v>
      </c>
    </row>
    <row r="83" spans="1:13" s="43" customFormat="1" ht="16">
      <c r="A83" s="10" t="s">
        <v>104</v>
      </c>
      <c r="B83" s="138">
        <v>98.808000000000007</v>
      </c>
      <c r="C83" s="11" t="s">
        <v>62</v>
      </c>
      <c r="D83" s="23">
        <v>8.5051585884242345E-2</v>
      </c>
      <c r="E83" s="12">
        <v>0.14125175565035719</v>
      </c>
      <c r="F83" s="16">
        <v>9.8851755650357198E-2</v>
      </c>
      <c r="G83" s="16">
        <v>0.25</v>
      </c>
      <c r="H83" s="17" t="s">
        <v>51</v>
      </c>
      <c r="I83" s="67">
        <f t="shared" si="46"/>
        <v>2.3459703149566292E-2</v>
      </c>
      <c r="J83" s="67">
        <f t="shared" si="47"/>
        <v>1.995284957244168E-3</v>
      </c>
      <c r="K83" s="67">
        <f t="shared" si="48"/>
        <v>3.3137242569124528E-3</v>
      </c>
      <c r="L83" s="67">
        <f t="shared" si="49"/>
        <v>2.3190328433708423E-3</v>
      </c>
      <c r="M83" s="67">
        <f t="shared" si="50"/>
        <v>5.8649257873915729E-3</v>
      </c>
    </row>
    <row r="84" spans="1:13" s="43" customFormat="1" ht="16">
      <c r="A84" s="10" t="s">
        <v>31</v>
      </c>
      <c r="B84" s="138">
        <v>24.638999999999999</v>
      </c>
      <c r="C84" s="11" t="s">
        <v>100</v>
      </c>
      <c r="D84" s="23">
        <v>6.3788689413181762E-2</v>
      </c>
      <c r="E84" s="12">
        <v>0.11653881673776789</v>
      </c>
      <c r="F84" s="16">
        <v>7.4138816737767899E-2</v>
      </c>
      <c r="G84" s="16">
        <v>0.3</v>
      </c>
      <c r="H84" s="17" t="s">
        <v>51</v>
      </c>
      <c r="I84" s="67">
        <f t="shared" si="46"/>
        <v>5.8499678761048078E-3</v>
      </c>
      <c r="J84" s="67">
        <f t="shared" si="47"/>
        <v>3.7316178392594017E-4</v>
      </c>
      <c r="K84" s="67">
        <f t="shared" si="48"/>
        <v>6.8174833423520747E-4</v>
      </c>
      <c r="L84" s="67">
        <f t="shared" si="49"/>
        <v>4.3370969628836367E-4</v>
      </c>
      <c r="M84" s="67">
        <f t="shared" si="50"/>
        <v>1.7549903628314423E-3</v>
      </c>
    </row>
    <row r="85" spans="1:13" s="43" customFormat="1" ht="16">
      <c r="A85" s="10" t="s">
        <v>107</v>
      </c>
      <c r="B85" s="138">
        <v>77.605000000000004</v>
      </c>
      <c r="C85" s="11" t="s">
        <v>79</v>
      </c>
      <c r="D85" s="23">
        <v>2.1262896471060586E-2</v>
      </c>
      <c r="E85" s="12">
        <v>6.7112938912589293E-2</v>
      </c>
      <c r="F85" s="16">
        <v>2.47129389125893E-2</v>
      </c>
      <c r="G85" s="16">
        <v>0.25</v>
      </c>
      <c r="H85" s="17" t="s">
        <v>51</v>
      </c>
      <c r="I85" s="67">
        <f t="shared" si="46"/>
        <v>1.8425535006498382E-2</v>
      </c>
      <c r="J85" s="67">
        <f t="shared" si="47"/>
        <v>3.9178024326707775E-4</v>
      </c>
      <c r="K85" s="67">
        <f t="shared" si="48"/>
        <v>1.2365918053229015E-3</v>
      </c>
      <c r="L85" s="67">
        <f t="shared" si="49"/>
        <v>4.5534912104737017E-4</v>
      </c>
      <c r="M85" s="67">
        <f t="shared" si="50"/>
        <v>4.6063837516245954E-3</v>
      </c>
    </row>
    <row r="86" spans="1:13" s="43" customFormat="1" ht="16">
      <c r="A86" s="10" t="s">
        <v>108</v>
      </c>
      <c r="B86" s="138">
        <v>23.827999999999999</v>
      </c>
      <c r="C86" s="11" t="s">
        <v>48</v>
      </c>
      <c r="D86" s="23">
        <v>3.8303918191549574E-2</v>
      </c>
      <c r="E86" s="12">
        <v>8.6918976597047143E-2</v>
      </c>
      <c r="F86" s="16">
        <v>4.451897659704715E-2</v>
      </c>
      <c r="G86" s="16">
        <v>0.25</v>
      </c>
      <c r="H86" s="17" t="s">
        <v>51</v>
      </c>
      <c r="I86" s="67">
        <f t="shared" si="46"/>
        <v>5.6574144466831179E-3</v>
      </c>
      <c r="J86" s="67">
        <f t="shared" si="47"/>
        <v>2.1670114014144085E-4</v>
      </c>
      <c r="K86" s="67">
        <f t="shared" si="48"/>
        <v>4.9173667389104637E-4</v>
      </c>
      <c r="L86" s="67">
        <f t="shared" si="49"/>
        <v>2.5186230135168216E-4</v>
      </c>
      <c r="M86" s="67">
        <f t="shared" si="50"/>
        <v>1.4143536116707795E-3</v>
      </c>
    </row>
    <row r="87" spans="1:13" s="43" customFormat="1" ht="16">
      <c r="A87" s="10" t="s">
        <v>16</v>
      </c>
      <c r="B87" s="138">
        <v>1076.163</v>
      </c>
      <c r="C87" s="11" t="s">
        <v>82</v>
      </c>
      <c r="D87" s="23">
        <v>1.358676056093041E-2</v>
      </c>
      <c r="E87" s="12">
        <v>5.8191300315986662E-2</v>
      </c>
      <c r="F87" s="16">
        <v>1.5791300315986662E-2</v>
      </c>
      <c r="G87" s="16">
        <v>0.3</v>
      </c>
      <c r="H87" s="17" t="s">
        <v>51</v>
      </c>
      <c r="I87" s="67">
        <f t="shared" si="46"/>
        <v>0.25551032831902992</v>
      </c>
      <c r="J87" s="67">
        <f t="shared" si="47"/>
        <v>3.4715576517153762E-3</v>
      </c>
      <c r="K87" s="67">
        <f t="shared" si="48"/>
        <v>1.4868478249049022E-2</v>
      </c>
      <c r="L87" s="67">
        <f t="shared" si="49"/>
        <v>4.0348403283221529E-3</v>
      </c>
      <c r="M87" s="67">
        <f t="shared" si="50"/>
        <v>7.6653098495708977E-2</v>
      </c>
    </row>
    <row r="88" spans="1:13" s="43" customFormat="1" ht="16">
      <c r="A88" s="10" t="s">
        <v>22</v>
      </c>
      <c r="B88" s="138">
        <v>12.621</v>
      </c>
      <c r="C88" s="11" t="s">
        <v>78</v>
      </c>
      <c r="D88" s="23">
        <v>5.5344939912038545E-2</v>
      </c>
      <c r="E88" s="12">
        <v>0.10672501428150497</v>
      </c>
      <c r="F88" s="16">
        <v>6.4325014281504972E-2</v>
      </c>
      <c r="G88" s="16">
        <v>0.3</v>
      </c>
      <c r="H88" s="17" t="s">
        <v>51</v>
      </c>
      <c r="I88" s="67">
        <f t="shared" si="46"/>
        <v>2.996568227781922E-3</v>
      </c>
      <c r="J88" s="67">
        <f t="shared" si="47"/>
        <v>1.6584488850891432E-4</v>
      </c>
      <c r="K88" s="67">
        <f t="shared" si="48"/>
        <v>3.1980878690552965E-4</v>
      </c>
      <c r="L88" s="67">
        <f t="shared" si="49"/>
        <v>1.9275429404757617E-4</v>
      </c>
      <c r="M88" s="67">
        <f t="shared" si="50"/>
        <v>8.9897046833457654E-4</v>
      </c>
    </row>
    <row r="89" spans="1:13" s="43" customFormat="1" ht="16">
      <c r="A89" s="10" t="s">
        <v>26</v>
      </c>
      <c r="B89" s="138">
        <v>52.938000000000002</v>
      </c>
      <c r="C89" s="11" t="s">
        <v>83</v>
      </c>
      <c r="D89" s="23">
        <v>1.6196646770374669E-2</v>
      </c>
      <c r="E89" s="12">
        <v>6.1224657438831556E-2</v>
      </c>
      <c r="F89" s="16">
        <v>1.8824657438831559E-2</v>
      </c>
      <c r="G89" s="16">
        <v>0.25</v>
      </c>
      <c r="H89" s="17" t="s">
        <v>51</v>
      </c>
      <c r="I89" s="67">
        <f t="shared" si="46"/>
        <v>1.2568919169821677E-2</v>
      </c>
      <c r="J89" s="67">
        <f t="shared" si="47"/>
        <v>2.0357434407899252E-4</v>
      </c>
      <c r="K89" s="67">
        <f t="shared" si="48"/>
        <v>7.6952777054869526E-4</v>
      </c>
      <c r="L89" s="67">
        <f t="shared" si="49"/>
        <v>2.3660559774825622E-4</v>
      </c>
      <c r="M89" s="67">
        <f t="shared" si="50"/>
        <v>3.1422297924554193E-3</v>
      </c>
    </row>
    <row r="90" spans="1:13" s="43" customFormat="1" ht="16">
      <c r="A90" s="10" t="s">
        <v>27</v>
      </c>
      <c r="B90" s="138">
        <v>35.304000000000002</v>
      </c>
      <c r="C90" s="11" t="s">
        <v>79</v>
      </c>
      <c r="D90" s="23">
        <v>2.1262896471060586E-2</v>
      </c>
      <c r="E90" s="12">
        <v>6.7112938912589293E-2</v>
      </c>
      <c r="F90" s="16">
        <v>2.47129389125893E-2</v>
      </c>
      <c r="G90" s="16">
        <v>0.1</v>
      </c>
      <c r="H90" s="17" t="s">
        <v>51</v>
      </c>
      <c r="I90" s="67">
        <f t="shared" si="46"/>
        <v>8.3821285725071693E-3</v>
      </c>
      <c r="J90" s="67">
        <f t="shared" si="47"/>
        <v>1.782283320443388E-4</v>
      </c>
      <c r="K90" s="67">
        <f t="shared" si="48"/>
        <v>5.6254928284414293E-4</v>
      </c>
      <c r="L90" s="67">
        <f t="shared" si="49"/>
        <v>2.0714703136983902E-4</v>
      </c>
      <c r="M90" s="67">
        <f t="shared" si="50"/>
        <v>8.3821285725071699E-4</v>
      </c>
    </row>
    <row r="91" spans="1:13" s="43" customFormat="1" ht="16">
      <c r="A91" s="10" t="s">
        <v>28</v>
      </c>
      <c r="B91" s="138">
        <v>202.01400000000001</v>
      </c>
      <c r="C91" s="11" t="s">
        <v>82</v>
      </c>
      <c r="D91" s="23">
        <v>1.358676056093041E-2</v>
      </c>
      <c r="E91" s="12">
        <v>5.8191300315986662E-2</v>
      </c>
      <c r="F91" s="16">
        <v>1.5791300315986662E-2</v>
      </c>
      <c r="G91" s="16">
        <v>0.29499999999999998</v>
      </c>
      <c r="H91" s="17" t="s">
        <v>51</v>
      </c>
      <c r="I91" s="67">
        <f t="shared" si="46"/>
        <v>4.796361096324675E-2</v>
      </c>
      <c r="J91" s="67">
        <f t="shared" si="47"/>
        <v>6.5167009779525033E-4</v>
      </c>
      <c r="K91" s="67">
        <f t="shared" si="48"/>
        <v>2.7910648898014419E-3</v>
      </c>
      <c r="L91" s="67">
        <f t="shared" si="49"/>
        <v>7.5740778495977967E-4</v>
      </c>
      <c r="M91" s="67">
        <f t="shared" si="50"/>
        <v>1.414926523415779E-2</v>
      </c>
    </row>
    <row r="92" spans="1:13" s="43" customFormat="1" ht="16">
      <c r="A92" s="10" t="s">
        <v>33</v>
      </c>
      <c r="B92" s="138">
        <v>3.8079999999999998</v>
      </c>
      <c r="C92" s="11" t="s">
        <v>62</v>
      </c>
      <c r="D92" s="23">
        <v>8.5051585884242345E-2</v>
      </c>
      <c r="E92" s="12">
        <v>0.14125175565035719</v>
      </c>
      <c r="F92" s="16">
        <v>9.8851755650357198E-2</v>
      </c>
      <c r="G92" s="16">
        <v>0.36</v>
      </c>
      <c r="H92" s="17" t="s">
        <v>51</v>
      </c>
      <c r="I92" s="67">
        <f t="shared" si="46"/>
        <v>9.0412263777779568E-4</v>
      </c>
      <c r="J92" s="67">
        <f t="shared" si="47"/>
        <v>7.6897064176845918E-5</v>
      </c>
      <c r="K92" s="67">
        <f t="shared" si="48"/>
        <v>1.277089099093456E-4</v>
      </c>
      <c r="L92" s="67">
        <f t="shared" si="49"/>
        <v>8.9374110067567069E-5</v>
      </c>
      <c r="M92" s="67">
        <f t="shared" si="50"/>
        <v>3.2548414960000644E-4</v>
      </c>
    </row>
    <row r="93" spans="1:13" s="43" customFormat="1" ht="16">
      <c r="A93" s="10" t="s">
        <v>69</v>
      </c>
      <c r="B93" s="138">
        <v>53.628999999999998</v>
      </c>
      <c r="C93" s="11" t="s">
        <v>83</v>
      </c>
      <c r="D93" s="23">
        <v>1.6196646770374669E-2</v>
      </c>
      <c r="E93" s="12">
        <v>6.1224657438831556E-2</v>
      </c>
      <c r="F93" s="16">
        <v>1.8824657438831559E-2</v>
      </c>
      <c r="G93" s="16">
        <v>0.25</v>
      </c>
      <c r="H93" s="17" t="s">
        <v>51</v>
      </c>
      <c r="I93" s="67">
        <f t="shared" si="46"/>
        <v>1.2732981339649528E-2</v>
      </c>
      <c r="J93" s="67">
        <f t="shared" si="47"/>
        <v>2.0623160109207544E-4</v>
      </c>
      <c r="K93" s="67">
        <f t="shared" si="48"/>
        <v>7.7957242069507683E-4</v>
      </c>
      <c r="L93" s="67">
        <f t="shared" si="49"/>
        <v>2.3969401189393691E-4</v>
      </c>
      <c r="M93" s="67">
        <f t="shared" si="50"/>
        <v>3.183245334912382E-3</v>
      </c>
    </row>
    <row r="94" spans="1:13" s="43" customFormat="1" ht="16">
      <c r="A94" s="10" t="s">
        <v>70</v>
      </c>
      <c r="B94" s="138">
        <v>98.4</v>
      </c>
      <c r="C94" s="11" t="s">
        <v>137</v>
      </c>
      <c r="D94" s="23">
        <v>0.17499999999999999</v>
      </c>
      <c r="E94" s="12">
        <v>0.24579488157642376</v>
      </c>
      <c r="F94" s="16">
        <v>0.20339488157642377</v>
      </c>
      <c r="G94" s="16">
        <v>0.34</v>
      </c>
      <c r="H94" s="17" t="s">
        <v>51</v>
      </c>
      <c r="I94" s="67">
        <f t="shared" si="46"/>
        <v>2.3362832866947243E-2</v>
      </c>
      <c r="J94" s="67">
        <f t="shared" si="47"/>
        <v>4.088495751715767E-3</v>
      </c>
      <c r="K94" s="67">
        <f t="shared" si="48"/>
        <v>5.7424647378210786E-3</v>
      </c>
      <c r="L94" s="67">
        <f t="shared" si="49"/>
        <v>4.7518806242625158E-3</v>
      </c>
      <c r="M94" s="67">
        <f t="shared" si="50"/>
        <v>7.9433631747620626E-3</v>
      </c>
    </row>
    <row r="95" spans="1:13" s="35" customFormat="1" ht="16">
      <c r="A95" s="65" t="s">
        <v>51</v>
      </c>
      <c r="B95" s="60">
        <f>SUM(B76:B94)</f>
        <v>4211.8180000000002</v>
      </c>
      <c r="C95" s="60"/>
      <c r="D95" s="61">
        <f>SUM(J76:J94)</f>
        <v>3.2603393656342468E-2</v>
      </c>
      <c r="E95" s="61">
        <f>SUM(K76:K94)</f>
        <v>8.0293505095550319E-2</v>
      </c>
      <c r="F95" s="61">
        <f>SUM(L76:L94)</f>
        <v>3.7893505095550298E-2</v>
      </c>
      <c r="G95" s="61">
        <f>SUM(M76:M94)</f>
        <v>0.30299876566366352</v>
      </c>
      <c r="H95" s="65"/>
      <c r="I95" s="68">
        <f>SUM(I76:I94)</f>
        <v>1</v>
      </c>
    </row>
    <row r="96" spans="1:13" s="43" customFormat="1" ht="16">
      <c r="A96" s="10" t="s">
        <v>4</v>
      </c>
      <c r="B96" s="138">
        <v>14.8</v>
      </c>
      <c r="C96" s="11" t="s">
        <v>48</v>
      </c>
      <c r="D96" s="23">
        <v>3.8303918191549574E-2</v>
      </c>
      <c r="E96" s="12">
        <v>8.6918976597047143E-2</v>
      </c>
      <c r="F96" s="16">
        <v>4.451897659704715E-2</v>
      </c>
      <c r="G96" s="16">
        <v>0.15</v>
      </c>
      <c r="H96" s="17" t="s">
        <v>125</v>
      </c>
      <c r="I96" s="67">
        <f t="shared" ref="I96:I121" si="51">B96/$B$123</f>
        <v>3.9206970151574681E-3</v>
      </c>
      <c r="J96" s="67">
        <f t="shared" ref="J96:J121" si="52">I96*D96</f>
        <v>1.5017805772244425E-4</v>
      </c>
      <c r="K96" s="67">
        <f t="shared" ref="K96:K121" si="53">I96*E96</f>
        <v>3.4078297210458458E-4</v>
      </c>
      <c r="L96" s="67">
        <f t="shared" ref="L96:L121" si="54">I96*F96</f>
        <v>1.7454541866190795E-4</v>
      </c>
      <c r="M96" s="67">
        <f t="shared" si="50"/>
        <v>5.8810455227362017E-4</v>
      </c>
    </row>
    <row r="97" spans="1:13" s="43" customFormat="1" ht="16">
      <c r="A97" s="10" t="s">
        <v>19</v>
      </c>
      <c r="B97" s="138">
        <v>12.645</v>
      </c>
      <c r="C97" s="11" t="s">
        <v>81</v>
      </c>
      <c r="D97" s="23">
        <v>3.0627782281419401E-2</v>
      </c>
      <c r="E97" s="12">
        <v>7.7997338000444505E-2</v>
      </c>
      <c r="F97" s="16">
        <v>3.5597338000444512E-2</v>
      </c>
      <c r="G97" s="16">
        <v>0.18</v>
      </c>
      <c r="H97" s="17" t="s">
        <v>125</v>
      </c>
      <c r="I97" s="67">
        <f t="shared" si="51"/>
        <v>3.3498117403152824E-3</v>
      </c>
      <c r="J97" s="67">
        <f t="shared" si="52"/>
        <v>1.025973046661191E-4</v>
      </c>
      <c r="K97" s="67">
        <f t="shared" si="53"/>
        <v>2.6127639854722832E-4</v>
      </c>
      <c r="L97" s="67">
        <f t="shared" si="54"/>
        <v>1.1924438075786037E-4</v>
      </c>
      <c r="M97" s="67">
        <f t="shared" si="50"/>
        <v>6.0296611325675079E-4</v>
      </c>
    </row>
    <row r="98" spans="1:13" s="43" customFormat="1" ht="16">
      <c r="A98" s="10" t="s">
        <v>20</v>
      </c>
      <c r="B98" s="138">
        <v>42.606999999999999</v>
      </c>
      <c r="C98" s="11" t="s">
        <v>80</v>
      </c>
      <c r="D98" s="23">
        <v>2.5561532580733477E-2</v>
      </c>
      <c r="E98" s="12">
        <v>7.2109056526686768E-2</v>
      </c>
      <c r="F98" s="16">
        <v>2.9709056526686765E-2</v>
      </c>
      <c r="G98" s="16">
        <v>0.2</v>
      </c>
      <c r="H98" s="17" t="s">
        <v>125</v>
      </c>
      <c r="I98" s="67">
        <f t="shared" si="51"/>
        <v>1.1287103900325285E-2</v>
      </c>
      <c r="J98" s="67">
        <f t="shared" si="52"/>
        <v>2.8851567409028867E-4</v>
      </c>
      <c r="K98" s="67">
        <f t="shared" si="53"/>
        <v>8.1390241317114262E-4</v>
      </c>
      <c r="L98" s="67">
        <f t="shared" si="54"/>
        <v>3.3532920779735055E-4</v>
      </c>
      <c r="M98" s="67">
        <f t="shared" si="50"/>
        <v>2.2574207800650568E-3</v>
      </c>
    </row>
    <row r="99" spans="1:13" s="43" customFormat="1" ht="16">
      <c r="A99" s="10" t="s">
        <v>5</v>
      </c>
      <c r="B99" s="138">
        <v>60.258000000000003</v>
      </c>
      <c r="C99" s="11" t="s">
        <v>78</v>
      </c>
      <c r="D99" s="23">
        <v>5.5344939912038545E-2</v>
      </c>
      <c r="E99" s="12">
        <v>0.10672501428150497</v>
      </c>
      <c r="F99" s="16">
        <v>6.4325014281504972E-2</v>
      </c>
      <c r="G99" s="16">
        <v>0.18</v>
      </c>
      <c r="H99" s="17" t="s">
        <v>125</v>
      </c>
      <c r="I99" s="67">
        <f t="shared" si="51"/>
        <v>1.5963064914821534E-2</v>
      </c>
      <c r="J99" s="67">
        <f t="shared" si="52"/>
        <v>8.8347486852276844E-4</v>
      </c>
      <c r="K99" s="67">
        <f t="shared" si="53"/>
        <v>1.703658331010919E-3</v>
      </c>
      <c r="L99" s="67">
        <f t="shared" si="54"/>
        <v>1.0268243786224862E-3</v>
      </c>
      <c r="M99" s="67">
        <f t="shared" si="50"/>
        <v>2.8733516846678759E-3</v>
      </c>
    </row>
    <row r="100" spans="1:13" s="43" customFormat="1" ht="16">
      <c r="A100" s="10" t="s">
        <v>7</v>
      </c>
      <c r="B100" s="138">
        <v>19.788</v>
      </c>
      <c r="C100" s="11" t="s">
        <v>78</v>
      </c>
      <c r="D100" s="23">
        <v>5.5344939912038545E-2</v>
      </c>
      <c r="E100" s="12">
        <v>0.10672501428150497</v>
      </c>
      <c r="F100" s="16">
        <v>6.4325014281504972E-2</v>
      </c>
      <c r="G100" s="16">
        <v>0.1</v>
      </c>
      <c r="H100" s="17" t="s">
        <v>125</v>
      </c>
      <c r="I100" s="67">
        <f t="shared" si="51"/>
        <v>5.2420778740497279E-3</v>
      </c>
      <c r="J100" s="67">
        <f t="shared" si="52"/>
        <v>2.9012248495350896E-4</v>
      </c>
      <c r="K100" s="67">
        <f t="shared" si="53"/>
        <v>5.5946083597271836E-4</v>
      </c>
      <c r="L100" s="67">
        <f t="shared" si="54"/>
        <v>3.3719673411300997E-4</v>
      </c>
      <c r="M100" s="67">
        <f t="shared" si="50"/>
        <v>5.2420778740497277E-4</v>
      </c>
    </row>
    <row r="101" spans="1:13" s="43" customFormat="1" ht="16">
      <c r="A101" s="10" t="s">
        <v>94</v>
      </c>
      <c r="B101" s="138">
        <v>69.105000000000004</v>
      </c>
      <c r="C101" s="11" t="s">
        <v>82</v>
      </c>
      <c r="D101" s="23">
        <v>1.358676056093041E-2</v>
      </c>
      <c r="E101" s="12">
        <v>5.8191300315986662E-2</v>
      </c>
      <c r="F101" s="16">
        <v>1.5791300315986662E-2</v>
      </c>
      <c r="G101" s="16">
        <v>0.1</v>
      </c>
      <c r="H101" s="17" t="s">
        <v>125</v>
      </c>
      <c r="I101" s="67">
        <f t="shared" si="51"/>
        <v>1.8306741029220055E-2</v>
      </c>
      <c r="J101" s="67">
        <f t="shared" si="52"/>
        <v>2.4872930701497361E-4</v>
      </c>
      <c r="K101" s="67">
        <f t="shared" si="53"/>
        <v>1.065293065038339E-3</v>
      </c>
      <c r="L101" s="67">
        <f t="shared" si="54"/>
        <v>2.8908724539940863E-4</v>
      </c>
      <c r="M101" s="67">
        <f t="shared" si="50"/>
        <v>1.8306741029220056E-3</v>
      </c>
    </row>
    <row r="102" spans="1:13" s="43" customFormat="1" ht="16">
      <c r="A102" s="10" t="s">
        <v>98</v>
      </c>
      <c r="B102" s="138">
        <v>55.966999999999999</v>
      </c>
      <c r="C102" s="11" t="s">
        <v>79</v>
      </c>
      <c r="D102" s="23">
        <v>2.1262896471060586E-2</v>
      </c>
      <c r="E102" s="12">
        <v>6.7112938912589293E-2</v>
      </c>
      <c r="F102" s="16">
        <v>2.47129389125893E-2</v>
      </c>
      <c r="G102" s="16">
        <v>0.18</v>
      </c>
      <c r="H102" s="17" t="s">
        <v>125</v>
      </c>
      <c r="I102" s="67">
        <f t="shared" si="51"/>
        <v>1.482632769238635E-2</v>
      </c>
      <c r="J102" s="67">
        <f t="shared" si="52"/>
        <v>3.1525067076922954E-4</v>
      </c>
      <c r="K102" s="67">
        <f t="shared" si="53"/>
        <v>9.9503842471715615E-4</v>
      </c>
      <c r="L102" s="67">
        <f t="shared" si="54"/>
        <v>3.6640213055997493E-4</v>
      </c>
      <c r="M102" s="67">
        <f t="shared" si="50"/>
        <v>2.6687389846295428E-3</v>
      </c>
    </row>
    <row r="103" spans="1:13" s="43" customFormat="1" ht="16">
      <c r="A103" s="10" t="s">
        <v>101</v>
      </c>
      <c r="B103" s="138">
        <v>243.53</v>
      </c>
      <c r="C103" s="11" t="s">
        <v>46</v>
      </c>
      <c r="D103" s="23">
        <v>5.1430110597872171E-3</v>
      </c>
      <c r="E103" s="12">
        <v>4.8377497859723763E-2</v>
      </c>
      <c r="F103" s="16">
        <v>5.9774978597237644E-3</v>
      </c>
      <c r="G103" s="16">
        <v>0.19</v>
      </c>
      <c r="H103" s="17" t="s">
        <v>125</v>
      </c>
      <c r="I103" s="67">
        <f t="shared" si="51"/>
        <v>6.4514009736574202E-2</v>
      </c>
      <c r="J103" s="67">
        <f t="shared" si="52"/>
        <v>3.3179626558642132E-4</v>
      </c>
      <c r="K103" s="67">
        <f t="shared" si="53"/>
        <v>3.1210263679533165E-3</v>
      </c>
      <c r="L103" s="67">
        <f t="shared" si="54"/>
        <v>3.8563235512257041E-4</v>
      </c>
      <c r="M103" s="67">
        <f t="shared" si="50"/>
        <v>1.2257661849949099E-2</v>
      </c>
    </row>
    <row r="104" spans="1:13" s="43" customFormat="1" ht="16">
      <c r="A104" s="10" t="s">
        <v>106</v>
      </c>
      <c r="B104" s="138">
        <v>31.03</v>
      </c>
      <c r="C104" s="11" t="s">
        <v>41</v>
      </c>
      <c r="D104" s="23">
        <v>5.987386009901537E-3</v>
      </c>
      <c r="E104" s="12">
        <v>4.9358878105350057E-2</v>
      </c>
      <c r="F104" s="16">
        <v>6.958878105350055E-3</v>
      </c>
      <c r="G104" s="16">
        <v>0.2</v>
      </c>
      <c r="H104" s="17" t="s">
        <v>125</v>
      </c>
      <c r="I104" s="67">
        <f t="shared" si="51"/>
        <v>8.220218133806502E-3</v>
      </c>
      <c r="J104" s="67">
        <f t="shared" si="52"/>
        <v>4.9217619052691968E-5</v>
      </c>
      <c r="K104" s="67">
        <f t="shared" si="53"/>
        <v>4.0574074486594326E-4</v>
      </c>
      <c r="L104" s="67">
        <f t="shared" si="54"/>
        <v>5.7203495992547558E-5</v>
      </c>
      <c r="M104" s="67">
        <f t="shared" si="50"/>
        <v>1.6440436267613004E-3</v>
      </c>
    </row>
    <row r="105" spans="1:13" s="43" customFormat="1" ht="16">
      <c r="A105" s="10" t="s">
        <v>133</v>
      </c>
      <c r="B105" s="138">
        <v>15.891999999999999</v>
      </c>
      <c r="C105" s="11" t="s">
        <v>80</v>
      </c>
      <c r="D105" s="23">
        <v>2.5561532580733477E-2</v>
      </c>
      <c r="E105" s="12">
        <v>7.2109056526686768E-2</v>
      </c>
      <c r="F105" s="16">
        <v>2.9709056526686765E-2</v>
      </c>
      <c r="G105" s="16">
        <v>0.15</v>
      </c>
      <c r="H105" s="17" t="s">
        <v>125</v>
      </c>
      <c r="I105" s="67">
        <f t="shared" si="51"/>
        <v>4.2099808760055722E-3</v>
      </c>
      <c r="J105" s="67">
        <f t="shared" si="52"/>
        <v>1.0761356332628129E-4</v>
      </c>
      <c r="K105" s="67">
        <f t="shared" si="53"/>
        <v>3.0357774896415607E-4</v>
      </c>
      <c r="L105" s="67">
        <f t="shared" si="54"/>
        <v>1.2507455982151982E-4</v>
      </c>
      <c r="M105" s="67">
        <f t="shared" si="50"/>
        <v>6.3149713140083581E-4</v>
      </c>
    </row>
    <row r="106" spans="1:13" s="43" customFormat="1" ht="16">
      <c r="A106" s="10" t="s">
        <v>109</v>
      </c>
      <c r="B106" s="138">
        <v>155.01300000000001</v>
      </c>
      <c r="C106" s="11" t="s">
        <v>83</v>
      </c>
      <c r="D106" s="23">
        <v>1.6196646770374669E-2</v>
      </c>
      <c r="E106" s="12">
        <v>6.1224657438831556E-2</v>
      </c>
      <c r="F106" s="16">
        <v>1.8824657438831559E-2</v>
      </c>
      <c r="G106" s="16">
        <v>0.09</v>
      </c>
      <c r="H106" s="17" t="s">
        <v>125</v>
      </c>
      <c r="I106" s="67">
        <f t="shared" si="51"/>
        <v>4.1064797730446252E-2</v>
      </c>
      <c r="J106" s="67">
        <f t="shared" si="52"/>
        <v>6.6511202353692137E-4</v>
      </c>
      <c r="K106" s="67">
        <f t="shared" si="53"/>
        <v>2.5141781738414791E-3</v>
      </c>
      <c r="L106" s="67">
        <f t="shared" si="54"/>
        <v>7.7303075007055836E-4</v>
      </c>
      <c r="M106" s="67">
        <f t="shared" si="50"/>
        <v>3.6958317957401627E-3</v>
      </c>
    </row>
    <row r="107" spans="1:13" s="43" customFormat="1" ht="16">
      <c r="A107" s="10" t="s">
        <v>118</v>
      </c>
      <c r="B107" s="138">
        <v>169.83500000000001</v>
      </c>
      <c r="C107" s="11" t="s">
        <v>83</v>
      </c>
      <c r="D107" s="23">
        <v>1.6196646770374669E-2</v>
      </c>
      <c r="E107" s="12">
        <v>6.1224657438831556E-2</v>
      </c>
      <c r="F107" s="16">
        <v>1.8824657438831559E-2</v>
      </c>
      <c r="G107" s="16">
        <v>0.2</v>
      </c>
      <c r="H107" s="17" t="s">
        <v>125</v>
      </c>
      <c r="I107" s="67">
        <f t="shared" si="51"/>
        <v>4.4991322808734364E-2</v>
      </c>
      <c r="J107" s="67">
        <f t="shared" si="52"/>
        <v>7.2870856326497167E-4</v>
      </c>
      <c r="K107" s="67">
        <f t="shared" si="53"/>
        <v>2.7545783266846504E-3</v>
      </c>
      <c r="L107" s="67">
        <f t="shared" si="54"/>
        <v>8.4694623959431336E-4</v>
      </c>
      <c r="M107" s="67">
        <f t="shared" si="50"/>
        <v>8.9982645617468736E-3</v>
      </c>
    </row>
    <row r="108" spans="1:13" s="43" customFormat="1" ht="16">
      <c r="A108" s="10" t="s">
        <v>353</v>
      </c>
      <c r="B108" s="138">
        <v>7.74</v>
      </c>
      <c r="C108" s="11" t="s">
        <v>49</v>
      </c>
      <c r="D108" s="23">
        <v>4.6824429051794063E-2</v>
      </c>
      <c r="E108" s="12">
        <v>9.6821995439276054E-2</v>
      </c>
      <c r="F108" s="16">
        <v>5.4421995439276061E-2</v>
      </c>
      <c r="G108" s="16">
        <v>0.1</v>
      </c>
      <c r="H108" s="17" t="s">
        <v>125</v>
      </c>
      <c r="I108" s="67">
        <f t="shared" si="51"/>
        <v>2.0504185741431623E-3</v>
      </c>
      <c r="J108" s="67">
        <f t="shared" si="52"/>
        <v>9.6009679051447242E-5</v>
      </c>
      <c r="K108" s="67">
        <f t="shared" si="53"/>
        <v>1.9852561783429616E-4</v>
      </c>
      <c r="L108" s="67">
        <f t="shared" si="54"/>
        <v>1.1158787029062611E-4</v>
      </c>
      <c r="M108" s="67">
        <f t="shared" si="50"/>
        <v>2.0504185741431624E-4</v>
      </c>
    </row>
    <row r="109" spans="1:13" s="43" customFormat="1" ht="16">
      <c r="A109" s="10" t="s">
        <v>121</v>
      </c>
      <c r="B109" s="138">
        <v>33.505000000000003</v>
      </c>
      <c r="C109" s="11" t="s">
        <v>43</v>
      </c>
      <c r="D109" s="23">
        <v>1.0209260760473134E-2</v>
      </c>
      <c r="E109" s="12">
        <v>5.4265779333481506E-2</v>
      </c>
      <c r="F109" s="16">
        <v>1.1865779333481504E-2</v>
      </c>
      <c r="G109" s="16">
        <v>0.2</v>
      </c>
      <c r="H109" s="17" t="s">
        <v>125</v>
      </c>
      <c r="I109" s="67">
        <f t="shared" si="51"/>
        <v>8.8758752360034443E-3</v>
      </c>
      <c r="J109" s="67">
        <f t="shared" si="52"/>
        <v>9.0616124761785173E-5</v>
      </c>
      <c r="K109" s="67">
        <f t="shared" si="53"/>
        <v>4.8165628694847601E-4</v>
      </c>
      <c r="L109" s="67">
        <f t="shared" si="54"/>
        <v>1.0531917694192994E-4</v>
      </c>
      <c r="M109" s="67">
        <f t="shared" si="50"/>
        <v>1.775175047200689E-3</v>
      </c>
    </row>
    <row r="110" spans="1:13" s="43" customFormat="1" ht="16">
      <c r="A110" s="10" t="s">
        <v>13</v>
      </c>
      <c r="B110" s="138">
        <v>55.887</v>
      </c>
      <c r="C110" s="11" t="s">
        <v>42</v>
      </c>
      <c r="D110" s="23">
        <v>7.2155677555223634E-3</v>
      </c>
      <c r="E110" s="12">
        <v>5.0786340280806475E-2</v>
      </c>
      <c r="F110" s="16">
        <v>8.3863402808064744E-3</v>
      </c>
      <c r="G110" s="16">
        <v>0.15</v>
      </c>
      <c r="H110" s="17" t="s">
        <v>125</v>
      </c>
      <c r="I110" s="67">
        <f t="shared" si="51"/>
        <v>1.4805134735547662E-2</v>
      </c>
      <c r="J110" s="67">
        <f t="shared" si="52"/>
        <v>1.0682745281398183E-4</v>
      </c>
      <c r="K110" s="67">
        <f t="shared" si="53"/>
        <v>7.5189861058271132E-4</v>
      </c>
      <c r="L110" s="67">
        <f t="shared" si="54"/>
        <v>1.2416089779549046E-4</v>
      </c>
      <c r="M110" s="67">
        <f t="shared" si="50"/>
        <v>2.2207702103321492E-3</v>
      </c>
    </row>
    <row r="111" spans="1:13" s="43" customFormat="1" ht="16">
      <c r="A111" s="10" t="s">
        <v>146</v>
      </c>
      <c r="B111" s="138">
        <v>12.27</v>
      </c>
      <c r="C111" s="11" t="s">
        <v>81</v>
      </c>
      <c r="D111" s="23">
        <v>3.0627782281419401E-2</v>
      </c>
      <c r="E111" s="12">
        <v>7.7997338000444505E-2</v>
      </c>
      <c r="F111" s="16">
        <v>3.5597338000444512E-2</v>
      </c>
      <c r="G111" s="16">
        <v>0.1</v>
      </c>
      <c r="H111" s="17" t="s">
        <v>125</v>
      </c>
      <c r="I111" s="67">
        <f t="shared" si="51"/>
        <v>3.2504697551339274E-3</v>
      </c>
      <c r="J111" s="67">
        <f t="shared" si="52"/>
        <v>9.9554679972580564E-5</v>
      </c>
      <c r="K111" s="67">
        <f t="shared" si="53"/>
        <v>2.5352798815140302E-4</v>
      </c>
      <c r="L111" s="67">
        <f t="shared" si="54"/>
        <v>1.1570807053372452E-4</v>
      </c>
      <c r="M111" s="67">
        <f t="shared" si="50"/>
        <v>3.2504697551339278E-4</v>
      </c>
    </row>
    <row r="112" spans="1:13" s="43" customFormat="1" ht="16">
      <c r="A112" s="10" t="s">
        <v>17</v>
      </c>
      <c r="B112" s="138">
        <v>11.914</v>
      </c>
      <c r="C112" s="11" t="s">
        <v>78</v>
      </c>
      <c r="D112" s="23">
        <v>5.5344939912038545E-2</v>
      </c>
      <c r="E112" s="12">
        <v>0.10672501428150497</v>
      </c>
      <c r="F112" s="16">
        <v>6.4325014281504972E-2</v>
      </c>
      <c r="G112" s="16">
        <v>0.12</v>
      </c>
      <c r="H112" s="17" t="s">
        <v>125</v>
      </c>
      <c r="I112" s="67">
        <f t="shared" si="51"/>
        <v>3.1561610972017616E-3</v>
      </c>
      <c r="J112" s="67">
        <f t="shared" si="52"/>
        <v>1.7467754627734514E-4</v>
      </c>
      <c r="K112" s="67">
        <f t="shared" si="53"/>
        <v>3.3684133817358841E-4</v>
      </c>
      <c r="L112" s="67">
        <f t="shared" si="54"/>
        <v>2.0302010765223372E-4</v>
      </c>
      <c r="M112" s="67">
        <f t="shared" si="50"/>
        <v>3.787393316642114E-4</v>
      </c>
    </row>
    <row r="113" spans="1:13" s="43" customFormat="1" ht="16">
      <c r="A113" s="10" t="s">
        <v>8</v>
      </c>
      <c r="B113" s="138">
        <v>4.7789999999999999</v>
      </c>
      <c r="C113" s="11" t="s">
        <v>48</v>
      </c>
      <c r="D113" s="23">
        <v>3.8303918191549574E-2</v>
      </c>
      <c r="E113" s="12">
        <v>8.6918976597047143E-2</v>
      </c>
      <c r="F113" s="16">
        <v>4.451897659704715E-2</v>
      </c>
      <c r="G113" s="16">
        <v>0.09</v>
      </c>
      <c r="H113" s="17" t="s">
        <v>125</v>
      </c>
      <c r="I113" s="67">
        <f t="shared" si="51"/>
        <v>1.2660142591511851E-3</v>
      </c>
      <c r="J113" s="67">
        <f t="shared" si="52"/>
        <v>4.8493306611862234E-5</v>
      </c>
      <c r="K113" s="67">
        <f t="shared" si="53"/>
        <v>1.1004066376268983E-4</v>
      </c>
      <c r="L113" s="67">
        <f t="shared" si="54"/>
        <v>5.6361659174679594E-5</v>
      </c>
      <c r="M113" s="67">
        <f t="shared" si="50"/>
        <v>1.1394128332360665E-4</v>
      </c>
    </row>
    <row r="114" spans="1:13" s="43" customFormat="1" ht="16">
      <c r="A114" s="10" t="s">
        <v>30</v>
      </c>
      <c r="B114" s="138">
        <v>594.16499999999996</v>
      </c>
      <c r="C114" s="11" t="s">
        <v>42</v>
      </c>
      <c r="D114" s="23">
        <v>7.2155677555223634E-3</v>
      </c>
      <c r="E114" s="12">
        <v>5.0786340280806475E-2</v>
      </c>
      <c r="F114" s="16">
        <v>8.3863402808064744E-3</v>
      </c>
      <c r="G114" s="16">
        <v>0.19</v>
      </c>
      <c r="H114" s="17" t="s">
        <v>125</v>
      </c>
      <c r="I114" s="67">
        <f t="shared" si="51"/>
        <v>0.15740141500074573</v>
      </c>
      <c r="J114" s="67">
        <f t="shared" si="52"/>
        <v>1.1357405747529749E-3</v>
      </c>
      <c r="K114" s="67">
        <f t="shared" si="53"/>
        <v>7.993841822908309E-3</v>
      </c>
      <c r="L114" s="67">
        <f t="shared" si="54"/>
        <v>1.3200218268766904E-3</v>
      </c>
      <c r="M114" s="67">
        <f t="shared" si="50"/>
        <v>2.9906268850141689E-2</v>
      </c>
    </row>
    <row r="115" spans="1:13" s="43" customFormat="1" ht="16">
      <c r="A115" s="10" t="s">
        <v>0</v>
      </c>
      <c r="B115" s="138">
        <v>248.71600000000001</v>
      </c>
      <c r="C115" s="11" t="s">
        <v>124</v>
      </c>
      <c r="D115" s="23">
        <v>1.8729771620717626E-2</v>
      </c>
      <c r="E115" s="12">
        <v>6.4168798175710431E-2</v>
      </c>
      <c r="F115" s="16">
        <v>2.1768798175710428E-2</v>
      </c>
      <c r="G115" s="16">
        <v>0.16</v>
      </c>
      <c r="H115" s="17" t="s">
        <v>125</v>
      </c>
      <c r="I115" s="67">
        <f t="shared" si="51"/>
        <v>6.5887843163642212E-2</v>
      </c>
      <c r="J115" s="67">
        <f t="shared" si="52"/>
        <v>1.2340642550366797E-3</v>
      </c>
      <c r="K115" s="67">
        <f t="shared" si="53"/>
        <v>4.2279437102006193E-3</v>
      </c>
      <c r="L115" s="67">
        <f t="shared" si="54"/>
        <v>1.4342991600621894E-3</v>
      </c>
      <c r="M115" s="67">
        <f t="shared" si="50"/>
        <v>1.0542054906182754E-2</v>
      </c>
    </row>
    <row r="116" spans="1:13" s="43" customFormat="1" ht="16">
      <c r="A116" s="10" t="s">
        <v>1</v>
      </c>
      <c r="B116" s="138">
        <v>1483.5</v>
      </c>
      <c r="C116" s="11" t="s">
        <v>124</v>
      </c>
      <c r="D116" s="23">
        <v>1.8729771620717626E-2</v>
      </c>
      <c r="E116" s="12">
        <v>6.4168798175710431E-2</v>
      </c>
      <c r="F116" s="16">
        <v>2.1768798175710428E-2</v>
      </c>
      <c r="G116" s="16">
        <v>0.2</v>
      </c>
      <c r="H116" s="17" t="s">
        <v>125</v>
      </c>
      <c r="I116" s="67">
        <f t="shared" si="51"/>
        <v>0.39299689337743943</v>
      </c>
      <c r="J116" s="67">
        <f t="shared" si="52"/>
        <v>7.3607420606109555E-3</v>
      </c>
      <c r="K116" s="67">
        <f t="shared" si="53"/>
        <v>2.5218138334818101E-2</v>
      </c>
      <c r="L116" s="67">
        <f t="shared" si="54"/>
        <v>8.5550700556146688E-3</v>
      </c>
      <c r="M116" s="67">
        <f t="shared" si="50"/>
        <v>7.8599378675487885E-2</v>
      </c>
    </row>
    <row r="117" spans="1:13" s="43" customFormat="1" ht="16">
      <c r="A117" s="10" t="s">
        <v>147</v>
      </c>
      <c r="B117" s="138">
        <v>52.96</v>
      </c>
      <c r="C117" s="11" t="s">
        <v>80</v>
      </c>
      <c r="D117" s="23">
        <v>2.5561532580733477E-2</v>
      </c>
      <c r="E117" s="12">
        <v>7.2109056526686768E-2</v>
      </c>
      <c r="F117" s="16">
        <v>2.9709056526686765E-2</v>
      </c>
      <c r="G117" s="16">
        <v>0.15</v>
      </c>
      <c r="H117" s="17" t="s">
        <v>125</v>
      </c>
      <c r="I117" s="67">
        <f t="shared" si="51"/>
        <v>1.4029737427212127E-2</v>
      </c>
      <c r="J117" s="67">
        <f t="shared" si="52"/>
        <v>3.5862159034481865E-4</v>
      </c>
      <c r="K117" s="67">
        <f t="shared" si="53"/>
        <v>1.0116711291934123E-3</v>
      </c>
      <c r="L117" s="67">
        <f t="shared" si="54"/>
        <v>4.1681026227961804E-4</v>
      </c>
      <c r="M117" s="67">
        <f t="shared" si="50"/>
        <v>2.1044606140818191E-3</v>
      </c>
    </row>
    <row r="118" spans="1:13" s="43" customFormat="1" ht="16">
      <c r="A118" s="10" t="s">
        <v>61</v>
      </c>
      <c r="B118" s="138">
        <v>104.57</v>
      </c>
      <c r="C118" s="11" t="s">
        <v>42</v>
      </c>
      <c r="D118" s="23">
        <v>7.2155677555223634E-3</v>
      </c>
      <c r="E118" s="12">
        <v>5.0786340280806475E-2</v>
      </c>
      <c r="F118" s="16">
        <v>8.3863402808064744E-3</v>
      </c>
      <c r="G118" s="16">
        <v>0.21</v>
      </c>
      <c r="H118" s="17" t="s">
        <v>125</v>
      </c>
      <c r="I118" s="67">
        <f t="shared" si="51"/>
        <v>2.7701843707771377E-2</v>
      </c>
      <c r="J118" s="67">
        <f t="shared" si="52"/>
        <v>1.9988453022631522E-4</v>
      </c>
      <c r="K118" s="67">
        <f t="shared" si="53"/>
        <v>1.4068752609485949E-3</v>
      </c>
      <c r="L118" s="67">
        <f t="shared" si="54"/>
        <v>2.3231708773908846E-4</v>
      </c>
      <c r="M118" s="67">
        <f t="shared" si="50"/>
        <v>5.8173871786319888E-3</v>
      </c>
    </row>
    <row r="119" spans="1:13" s="43" customFormat="1" ht="16">
      <c r="A119" s="10" t="s">
        <v>190</v>
      </c>
      <c r="B119" s="138">
        <v>52.88</v>
      </c>
      <c r="C119" s="11" t="s">
        <v>43</v>
      </c>
      <c r="D119" s="23">
        <v>1.0209260760473134E-2</v>
      </c>
      <c r="E119" s="12">
        <v>5.4265779333481506E-2</v>
      </c>
      <c r="F119" s="16">
        <v>1.1865779333481504E-2</v>
      </c>
      <c r="G119" s="16">
        <v>0.19</v>
      </c>
      <c r="H119" s="17" t="s">
        <v>125</v>
      </c>
      <c r="I119" s="67">
        <f>B119/$B$123</f>
        <v>1.4008544470373439E-2</v>
      </c>
      <c r="J119" s="67">
        <f>I119*D119</f>
        <v>1.4301688337272646E-4</v>
      </c>
      <c r="K119" s="67">
        <f>I119*E119</f>
        <v>7.6018458301254765E-4</v>
      </c>
      <c r="L119" s="67">
        <f>I119*F119</f>
        <v>1.6622229746871377E-4</v>
      </c>
      <c r="M119" s="67">
        <f>I119*G119</f>
        <v>2.6616234493709533E-3</v>
      </c>
    </row>
    <row r="120" spans="1:13" s="43" customFormat="1" ht="16">
      <c r="A120" s="10" t="s">
        <v>410</v>
      </c>
      <c r="B120" s="138">
        <v>8.1940000000000008</v>
      </c>
      <c r="C120" s="11" t="s">
        <v>78</v>
      </c>
      <c r="D120" s="23">
        <v>5.5344939912038545E-2</v>
      </c>
      <c r="E120" s="12">
        <v>0.10672501428150497</v>
      </c>
      <c r="F120" s="16">
        <v>6.4325014281504972E-2</v>
      </c>
      <c r="G120" s="16">
        <v>0.2281</v>
      </c>
      <c r="H120" s="17" t="s">
        <v>125</v>
      </c>
      <c r="I120" s="67">
        <f>B120/$B$123</f>
        <v>2.1706886042027226E-3</v>
      </c>
      <c r="J120" s="67">
        <f>I120*D120</f>
        <v>1.201366303673465E-4</v>
      </c>
      <c r="K120" s="67">
        <f>I120*E120</f>
        <v>2.3166677228423564E-4</v>
      </c>
      <c r="L120" s="67">
        <f>I120*F120</f>
        <v>1.3962957546604022E-4</v>
      </c>
      <c r="M120" s="67">
        <f>I120*G120</f>
        <v>4.9513407061864097E-4</v>
      </c>
    </row>
    <row r="121" spans="1:13" s="43" customFormat="1" ht="16">
      <c r="A121" s="10" t="s">
        <v>68</v>
      </c>
      <c r="B121" s="138">
        <v>155.58199999999999</v>
      </c>
      <c r="C121" s="11" t="s">
        <v>78</v>
      </c>
      <c r="D121" s="23">
        <v>5.5344939912038545E-2</v>
      </c>
      <c r="E121" s="12">
        <v>0.10672501428150497</v>
      </c>
      <c r="F121" s="16">
        <v>6.4325014281504972E-2</v>
      </c>
      <c r="G121" s="16">
        <v>0.18</v>
      </c>
      <c r="H121" s="17" t="s">
        <v>125</v>
      </c>
      <c r="I121" s="67">
        <f t="shared" si="51"/>
        <v>4.1215532635961429E-2</v>
      </c>
      <c r="J121" s="67">
        <f t="shared" si="52"/>
        <v>2.2810711771799491E-3</v>
      </c>
      <c r="K121" s="67">
        <f t="shared" si="53"/>
        <v>4.3987283091928174E-3</v>
      </c>
      <c r="L121" s="67">
        <f t="shared" si="54"/>
        <v>2.6511897254280531E-3</v>
      </c>
      <c r="M121" s="67">
        <f t="shared" si="50"/>
        <v>7.4187958744730571E-3</v>
      </c>
    </row>
    <row r="122" spans="1:13" s="43" customFormat="1" ht="16">
      <c r="A122" s="10" t="s">
        <v>402</v>
      </c>
      <c r="B122" s="138">
        <v>57.707000000000001</v>
      </c>
      <c r="C122" s="11" t="s">
        <v>48</v>
      </c>
      <c r="D122" s="23">
        <v>3.8303918191549574E-2</v>
      </c>
      <c r="E122" s="12">
        <v>8.6918976597047143E-2</v>
      </c>
      <c r="F122" s="16">
        <v>4.451897659704715E-2</v>
      </c>
      <c r="G122" s="16">
        <v>7.4999999999999997E-2</v>
      </c>
      <c r="H122" s="17" t="s">
        <v>125</v>
      </c>
      <c r="I122" s="67">
        <f t="shared" ref="I122" si="55">B122/$B$123</f>
        <v>1.5287274503627837E-2</v>
      </c>
      <c r="J122" s="67">
        <f t="shared" ref="J122" si="56">I122*D122</f>
        <v>5.8556251195872235E-4</v>
      </c>
      <c r="K122" s="67">
        <f t="shared" ref="K122" si="57">I122*E122</f>
        <v>1.3287542548134634E-3</v>
      </c>
      <c r="L122" s="67">
        <f t="shared" ref="L122" si="58">I122*F122</f>
        <v>6.8057381585964326E-4</v>
      </c>
      <c r="M122" s="67">
        <f t="shared" ref="M122" si="59">I122*G122</f>
        <v>1.1465455877720878E-3</v>
      </c>
    </row>
    <row r="123" spans="1:13" s="35" customFormat="1" ht="16">
      <c r="A123" s="65" t="s">
        <v>125</v>
      </c>
      <c r="B123" s="170">
        <f>SUM(B96:B122)</f>
        <v>3774.8389999999999</v>
      </c>
      <c r="C123" s="60"/>
      <c r="D123" s="61">
        <f>SUM(J96:J122)</f>
        <v>1.8196335405846111E-2</v>
      </c>
      <c r="E123" s="61">
        <f>SUM(K96:K122)</f>
        <v>6.3548808485696898E-2</v>
      </c>
      <c r="F123" s="61">
        <f>SUM(L96:L122)</f>
        <v>2.1148808485696901E-2</v>
      </c>
      <c r="G123" s="61">
        <f>SUM(M96:M122)</f>
        <v>0.18228312688302731</v>
      </c>
      <c r="H123" s="65"/>
      <c r="I123" s="68">
        <f>SUM(I96:I122)</f>
        <v>1.0000000000000002</v>
      </c>
    </row>
    <row r="124" spans="1:13" s="43" customFormat="1" ht="16">
      <c r="A124" s="10" t="s">
        <v>272</v>
      </c>
      <c r="B124" s="138">
        <v>268</v>
      </c>
      <c r="C124" s="11" t="s">
        <v>45</v>
      </c>
      <c r="D124" s="23">
        <v>4.2218747505715949E-3</v>
      </c>
      <c r="E124" s="12">
        <v>4.730690122813145E-2</v>
      </c>
      <c r="F124" s="16">
        <v>4.9069012281314477E-3</v>
      </c>
      <c r="G124" s="16">
        <v>0.55000000000000004</v>
      </c>
      <c r="H124" s="17" t="s">
        <v>127</v>
      </c>
      <c r="I124" s="67">
        <f t="shared" ref="I124:I136" si="60">B124/$B$137</f>
        <v>0.10888922025160723</v>
      </c>
      <c r="J124" s="67">
        <f t="shared" ref="J124:J136" si="61">I124*D124</f>
        <v>4.5971664958968975E-4</v>
      </c>
      <c r="K124" s="67">
        <f t="shared" ref="K124:K136" si="62">I124*E124</f>
        <v>5.1512115872510344E-3</v>
      </c>
      <c r="L124" s="67">
        <f t="shared" ref="L124:L136" si="63">I124*F124</f>
        <v>5.3430864858288721E-4</v>
      </c>
      <c r="M124" s="67">
        <f t="shared" si="50"/>
        <v>5.988907113838398E-2</v>
      </c>
    </row>
    <row r="125" spans="1:13" s="43" customFormat="1" ht="16">
      <c r="A125" s="10" t="s">
        <v>87</v>
      </c>
      <c r="B125" s="138">
        <v>38.475000000000001</v>
      </c>
      <c r="C125" s="11" t="s">
        <v>49</v>
      </c>
      <c r="D125" s="23">
        <v>4.6824429051794063E-2</v>
      </c>
      <c r="E125" s="12">
        <v>9.6821995439276054E-2</v>
      </c>
      <c r="F125" s="16">
        <v>5.4421995439276061E-2</v>
      </c>
      <c r="G125" s="16">
        <v>0</v>
      </c>
      <c r="H125" s="17" t="s">
        <v>127</v>
      </c>
      <c r="I125" s="67">
        <f t="shared" si="60"/>
        <v>1.5632510258136525E-2</v>
      </c>
      <c r="J125" s="67">
        <f t="shared" si="61"/>
        <v>7.3198336748355657E-4</v>
      </c>
      <c r="K125" s="67">
        <f t="shared" si="62"/>
        <v>1.5135708369177308E-3</v>
      </c>
      <c r="L125" s="67">
        <f t="shared" si="63"/>
        <v>8.5075240197274218E-4</v>
      </c>
      <c r="M125" s="67">
        <f t="shared" si="50"/>
        <v>0</v>
      </c>
    </row>
    <row r="126" spans="1:13" s="43" customFormat="1" ht="16">
      <c r="A126" s="10" t="s">
        <v>331</v>
      </c>
      <c r="B126" s="138">
        <v>167.22399999999999</v>
      </c>
      <c r="C126" s="11" t="s">
        <v>100</v>
      </c>
      <c r="D126" s="23">
        <v>6.3788689413181762E-2</v>
      </c>
      <c r="E126" s="12">
        <v>0.11653881673776789</v>
      </c>
      <c r="F126" s="16">
        <v>7.4138816737767899E-2</v>
      </c>
      <c r="G126" s="16">
        <v>0.35</v>
      </c>
      <c r="H126" s="17" t="s">
        <v>127</v>
      </c>
      <c r="I126" s="67">
        <f>B126/$B$137</f>
        <v>6.7943623012517787E-2</v>
      </c>
      <c r="J126" s="67">
        <f>I126*D126</f>
        <v>4.3340346659518064E-3</v>
      </c>
      <c r="K126" s="67">
        <f>I126*E126</f>
        <v>7.9180694307557989E-3</v>
      </c>
      <c r="L126" s="67">
        <f>I126*F126</f>
        <v>5.0372598150250462E-3</v>
      </c>
      <c r="M126" s="67">
        <f>I126*G126</f>
        <v>2.3780268054381225E-2</v>
      </c>
    </row>
    <row r="127" spans="1:13" s="43" customFormat="1" ht="16">
      <c r="A127" s="10" t="s">
        <v>114</v>
      </c>
      <c r="B127" s="138">
        <v>401.95400000000001</v>
      </c>
      <c r="C127" s="11" t="s">
        <v>41</v>
      </c>
      <c r="D127" s="23">
        <v>5.987386009901537E-3</v>
      </c>
      <c r="E127" s="12">
        <v>4.9358878105350057E-2</v>
      </c>
      <c r="F127" s="16">
        <v>6.958878105350055E-3</v>
      </c>
      <c r="G127" s="16">
        <v>0.23</v>
      </c>
      <c r="H127" s="17" t="s">
        <v>127</v>
      </c>
      <c r="I127" s="67">
        <f t="shared" si="60"/>
        <v>0.1633151404366214</v>
      </c>
      <c r="J127" s="67">
        <f t="shared" si="61"/>
        <v>9.7783078705533178E-4</v>
      </c>
      <c r="K127" s="67">
        <f t="shared" si="62"/>
        <v>8.0610521095693215E-3</v>
      </c>
      <c r="L127" s="67">
        <f t="shared" si="63"/>
        <v>1.1364901550565741E-3</v>
      </c>
      <c r="M127" s="67">
        <f t="shared" si="50"/>
        <v>3.7562482300422924E-2</v>
      </c>
    </row>
    <row r="128" spans="1:13" s="43" customFormat="1" ht="16">
      <c r="A128" s="10" t="s">
        <v>117</v>
      </c>
      <c r="B128" s="138">
        <v>43.698</v>
      </c>
      <c r="C128" s="11" t="s">
        <v>48</v>
      </c>
      <c r="D128" s="23">
        <v>3.8303918191549574E-2</v>
      </c>
      <c r="E128" s="12">
        <v>8.6918976597047143E-2</v>
      </c>
      <c r="F128" s="16">
        <v>4.451897659704715E-2</v>
      </c>
      <c r="G128" s="16">
        <v>0.2</v>
      </c>
      <c r="H128" s="17" t="s">
        <v>127</v>
      </c>
      <c r="I128" s="67">
        <f t="shared" si="60"/>
        <v>1.7754631143860944E-2</v>
      </c>
      <c r="J128" s="67">
        <f t="shared" si="61"/>
        <v>6.8007193885558787E-4</v>
      </c>
      <c r="K128" s="67">
        <f t="shared" si="62"/>
        <v>1.5432143688824537E-3</v>
      </c>
      <c r="L128" s="67">
        <f t="shared" si="63"/>
        <v>7.9041800838274988E-4</v>
      </c>
      <c r="M128" s="67">
        <f t="shared" si="50"/>
        <v>3.5509262287721889E-3</v>
      </c>
    </row>
    <row r="129" spans="1:13" s="43" customFormat="1" ht="16">
      <c r="A129" s="10" t="s">
        <v>120</v>
      </c>
      <c r="B129" s="138">
        <v>136.197</v>
      </c>
      <c r="C129" s="11" t="s">
        <v>41</v>
      </c>
      <c r="D129" s="23">
        <v>5.987386009901537E-3</v>
      </c>
      <c r="E129" s="12">
        <v>4.9358878105350057E-2</v>
      </c>
      <c r="F129" s="16">
        <v>6.958878105350055E-3</v>
      </c>
      <c r="G129" s="16">
        <v>0.15</v>
      </c>
      <c r="H129" s="17" t="s">
        <v>127</v>
      </c>
      <c r="I129" s="67">
        <f t="shared" si="60"/>
        <v>5.5337257950030409E-2</v>
      </c>
      <c r="J129" s="67">
        <f t="shared" si="61"/>
        <v>3.313255240763247E-4</v>
      </c>
      <c r="K129" s="67">
        <f t="shared" si="62"/>
        <v>2.7313849698398641E-3</v>
      </c>
      <c r="L129" s="67">
        <f t="shared" si="63"/>
        <v>3.8508523275857491E-4</v>
      </c>
      <c r="M129" s="67">
        <f t="shared" si="50"/>
        <v>8.3005886925045617E-3</v>
      </c>
    </row>
    <row r="130" spans="1:13" s="43" customFormat="1" ht="16">
      <c r="A130" s="10" t="s">
        <v>122</v>
      </c>
      <c r="B130" s="138">
        <v>33.383000000000003</v>
      </c>
      <c r="C130" s="11" t="s">
        <v>137</v>
      </c>
      <c r="D130" s="23">
        <v>0.17499999999999999</v>
      </c>
      <c r="E130" s="12">
        <v>0.24579488157642376</v>
      </c>
      <c r="F130" s="16">
        <v>0.20339488157642377</v>
      </c>
      <c r="G130" s="16">
        <v>0.17</v>
      </c>
      <c r="H130" s="17" t="s">
        <v>127</v>
      </c>
      <c r="I130" s="67">
        <f t="shared" si="60"/>
        <v>1.3563615073355987E-2</v>
      </c>
      <c r="J130" s="67">
        <f t="shared" si="61"/>
        <v>2.3736326378372978E-3</v>
      </c>
      <c r="K130" s="67">
        <f t="shared" si="62"/>
        <v>3.333867160703731E-3</v>
      </c>
      <c r="L130" s="67">
        <f t="shared" si="63"/>
        <v>2.7587698815934375E-3</v>
      </c>
      <c r="M130" s="67">
        <f t="shared" si="50"/>
        <v>2.3058145624705179E-3</v>
      </c>
    </row>
    <row r="131" spans="1:13" s="43" customFormat="1" ht="16">
      <c r="A131" s="10" t="s">
        <v>24</v>
      </c>
      <c r="B131" s="138">
        <v>76.331999999999994</v>
      </c>
      <c r="C131" s="11" t="s">
        <v>81</v>
      </c>
      <c r="D131" s="23">
        <v>3.0627782281419401E-2</v>
      </c>
      <c r="E131" s="12">
        <v>7.7997338000444505E-2</v>
      </c>
      <c r="F131" s="16">
        <v>3.5597338000444512E-2</v>
      </c>
      <c r="G131" s="16">
        <v>0.15</v>
      </c>
      <c r="H131" s="17" t="s">
        <v>127</v>
      </c>
      <c r="I131" s="67">
        <f t="shared" si="60"/>
        <v>3.1013925224797321E-2</v>
      </c>
      <c r="J131" s="67">
        <f t="shared" si="61"/>
        <v>9.4988774947731361E-4</v>
      </c>
      <c r="K131" s="67">
        <f t="shared" si="62"/>
        <v>2.4190036084790283E-3</v>
      </c>
      <c r="L131" s="67">
        <f t="shared" si="63"/>
        <v>1.1040131789476222E-3</v>
      </c>
      <c r="M131" s="67">
        <f t="shared" si="50"/>
        <v>4.6520887837195983E-3</v>
      </c>
    </row>
    <row r="132" spans="1:13" s="43" customFormat="1" ht="16">
      <c r="A132" s="10" t="s">
        <v>74</v>
      </c>
      <c r="B132" s="138">
        <v>146.374</v>
      </c>
      <c r="C132" s="11" t="s">
        <v>46</v>
      </c>
      <c r="D132" s="23">
        <v>5.1430110597872171E-3</v>
      </c>
      <c r="E132" s="12">
        <v>4.8377497859723763E-2</v>
      </c>
      <c r="F132" s="16">
        <v>5.9774978597237644E-3</v>
      </c>
      <c r="G132" s="16">
        <v>0.1</v>
      </c>
      <c r="H132" s="17" t="s">
        <v>127</v>
      </c>
      <c r="I132" s="67">
        <f t="shared" si="60"/>
        <v>5.9472204198166997E-2</v>
      </c>
      <c r="J132" s="67">
        <f t="shared" si="61"/>
        <v>3.0586620394109661E-4</v>
      </c>
      <c r="K132" s="67">
        <f t="shared" si="62"/>
        <v>2.8771164313098783E-3</v>
      </c>
      <c r="L132" s="67">
        <f t="shared" si="63"/>
        <v>3.5549497330759791E-4</v>
      </c>
      <c r="M132" s="67">
        <f t="shared" si="50"/>
        <v>5.9472204198167001E-3</v>
      </c>
    </row>
    <row r="133" spans="1:13" s="43" customFormat="1" ht="16">
      <c r="A133" s="10" t="s">
        <v>291</v>
      </c>
      <c r="B133" s="138">
        <v>3.52</v>
      </c>
      <c r="C133" s="11" t="s">
        <v>43</v>
      </c>
      <c r="D133" s="23">
        <v>1.0209260760473134E-2</v>
      </c>
      <c r="E133" s="12">
        <v>5.4265779333481506E-2</v>
      </c>
      <c r="F133" s="16">
        <v>1.1865779333481504E-2</v>
      </c>
      <c r="G133" s="16">
        <v>0</v>
      </c>
      <c r="H133" s="17" t="s">
        <v>127</v>
      </c>
      <c r="I133" s="67">
        <f t="shared" si="60"/>
        <v>1.4301867734539456E-3</v>
      </c>
      <c r="J133" s="67">
        <f t="shared" si="61"/>
        <v>1.4601149706371047E-5</v>
      </c>
      <c r="K133" s="67">
        <f t="shared" si="62"/>
        <v>7.7610199853915722E-5</v>
      </c>
      <c r="L133" s="67">
        <f t="shared" si="63"/>
        <v>1.6970280659468422E-5</v>
      </c>
      <c r="M133" s="67">
        <f t="shared" si="50"/>
        <v>0</v>
      </c>
    </row>
    <row r="134" spans="1:13" s="43" customFormat="1" ht="16">
      <c r="A134" s="10" t="s">
        <v>2</v>
      </c>
      <c r="B134" s="138">
        <v>700.11800000000005</v>
      </c>
      <c r="C134" s="11" t="s">
        <v>41</v>
      </c>
      <c r="D134" s="23">
        <v>5.987386009901537E-3</v>
      </c>
      <c r="E134" s="12">
        <v>4.9358878105350057E-2</v>
      </c>
      <c r="F134" s="16">
        <v>6.958878105350055E-3</v>
      </c>
      <c r="G134" s="16">
        <v>0.2</v>
      </c>
      <c r="H134" s="17" t="s">
        <v>127</v>
      </c>
      <c r="I134" s="67">
        <f t="shared" si="60"/>
        <v>0.2844600862093834</v>
      </c>
      <c r="J134" s="67">
        <f t="shared" si="61"/>
        <v>1.7031723405454473E-3</v>
      </c>
      <c r="K134" s="67">
        <f t="shared" si="62"/>
        <v>1.4040630721046323E-2</v>
      </c>
      <c r="L134" s="67">
        <f t="shared" si="63"/>
        <v>1.9795230657684675E-3</v>
      </c>
      <c r="M134" s="67">
        <f t="shared" si="50"/>
        <v>5.6892017241876681E-2</v>
      </c>
    </row>
    <row r="135" spans="1:13" s="43" customFormat="1" ht="16">
      <c r="A135" s="10" t="s">
        <v>285</v>
      </c>
      <c r="B135" s="138">
        <v>24.8</v>
      </c>
      <c r="C135" s="11" t="s">
        <v>124</v>
      </c>
      <c r="D135" s="23">
        <v>1.8729771620717626E-2</v>
      </c>
      <c r="E135" s="12">
        <v>6.4168798175710431E-2</v>
      </c>
      <c r="F135" s="16">
        <v>2.1768798175710428E-2</v>
      </c>
      <c r="G135" s="16">
        <v>0</v>
      </c>
      <c r="H135" s="17" t="s">
        <v>127</v>
      </c>
      <c r="I135" s="67">
        <f t="shared" si="60"/>
        <v>1.0076315903880072E-2</v>
      </c>
      <c r="J135" s="67">
        <f t="shared" si="61"/>
        <v>1.8872709565787864E-4</v>
      </c>
      <c r="K135" s="67">
        <f t="shared" si="62"/>
        <v>6.4658508159078153E-4</v>
      </c>
      <c r="L135" s="67">
        <f t="shared" si="63"/>
        <v>2.193492872662665E-4</v>
      </c>
      <c r="M135" s="67">
        <f t="shared" si="50"/>
        <v>0</v>
      </c>
    </row>
    <row r="136" spans="1:13" s="43" customFormat="1" ht="16">
      <c r="A136" s="10" t="s">
        <v>60</v>
      </c>
      <c r="B136" s="138">
        <v>421.142</v>
      </c>
      <c r="C136" s="11" t="s">
        <v>45</v>
      </c>
      <c r="D136" s="23">
        <v>4.2218747505715949E-3</v>
      </c>
      <c r="E136" s="12">
        <v>4.730690122813145E-2</v>
      </c>
      <c r="F136" s="16">
        <v>4.9069012281314477E-3</v>
      </c>
      <c r="G136" s="16">
        <v>0.55000000000000004</v>
      </c>
      <c r="H136" s="17" t="s">
        <v>127</v>
      </c>
      <c r="I136" s="67">
        <f t="shared" si="60"/>
        <v>0.17111128356418795</v>
      </c>
      <c r="J136" s="67">
        <f t="shared" si="61"/>
        <v>7.2241040761754144E-4</v>
      </c>
      <c r="K136" s="67">
        <f t="shared" si="62"/>
        <v>8.0947445905898315E-3</v>
      </c>
      <c r="L136" s="67">
        <f t="shared" si="63"/>
        <v>8.3962616746826224E-4</v>
      </c>
      <c r="M136" s="67">
        <f t="shared" si="50"/>
        <v>9.4111205960303382E-2</v>
      </c>
    </row>
    <row r="137" spans="1:13" s="35" customFormat="1" ht="16">
      <c r="A137" s="65" t="s">
        <v>127</v>
      </c>
      <c r="B137" s="170">
        <f>SUM(B124:B136)</f>
        <v>2461.2170000000001</v>
      </c>
      <c r="C137" s="60"/>
      <c r="D137" s="61">
        <f>SUM(J124:J136)</f>
        <v>1.3773260517795243E-2</v>
      </c>
      <c r="E137" s="61">
        <f>SUM(K124:K136)</f>
        <v>5.8408061096789698E-2</v>
      </c>
      <c r="F137" s="61">
        <f>SUM(L124:L136)</f>
        <v>1.6008061096789695E-2</v>
      </c>
      <c r="G137" s="62">
        <f>SUM(M124:M136)</f>
        <v>0.29699168338265175</v>
      </c>
      <c r="H137" s="65"/>
      <c r="I137" s="68">
        <f>SUM(I124:I136)</f>
        <v>0.99999999999999989</v>
      </c>
    </row>
    <row r="138" spans="1:13" s="43" customFormat="1" ht="16">
      <c r="A138" s="10" t="s">
        <v>95</v>
      </c>
      <c r="B138" s="138">
        <v>1643.4079999999999</v>
      </c>
      <c r="C138" s="11" t="s">
        <v>47</v>
      </c>
      <c r="D138" s="23">
        <v>0</v>
      </c>
      <c r="E138" s="12">
        <v>4.24E-2</v>
      </c>
      <c r="F138" s="16">
        <v>0</v>
      </c>
      <c r="G138" s="16">
        <v>0.26500000000000001</v>
      </c>
      <c r="H138" s="17" t="s">
        <v>130</v>
      </c>
      <c r="I138" s="67">
        <f>B138/B140</f>
        <v>7.278155083027428E-2</v>
      </c>
      <c r="J138" s="67">
        <f>I138*D138</f>
        <v>0</v>
      </c>
      <c r="K138" s="67">
        <f>I138*E138</f>
        <v>3.0859377552036296E-3</v>
      </c>
      <c r="L138" s="67">
        <f>I138*F138</f>
        <v>0</v>
      </c>
      <c r="M138" s="67">
        <f t="shared" si="50"/>
        <v>1.9287110970022687E-2</v>
      </c>
    </row>
    <row r="139" spans="1:13" s="43" customFormat="1" ht="16">
      <c r="A139" s="10" t="s">
        <v>356</v>
      </c>
      <c r="B139" s="138">
        <v>20936.599999999999</v>
      </c>
      <c r="C139" s="11" t="s">
        <v>47</v>
      </c>
      <c r="D139" s="23">
        <v>0</v>
      </c>
      <c r="E139" s="12">
        <v>4.24E-2</v>
      </c>
      <c r="F139" s="16">
        <v>0</v>
      </c>
      <c r="G139" s="16">
        <v>0.27</v>
      </c>
      <c r="H139" s="17" t="s">
        <v>130</v>
      </c>
      <c r="I139" s="67">
        <f>B139/B140</f>
        <v>0.92721844916972573</v>
      </c>
      <c r="J139" s="67">
        <f>I139*D139</f>
        <v>0</v>
      </c>
      <c r="K139" s="67">
        <f>I139*E139</f>
        <v>3.9314062244796374E-2</v>
      </c>
      <c r="L139" s="67">
        <f>I139*F139</f>
        <v>0</v>
      </c>
      <c r="M139" s="67">
        <f t="shared" si="50"/>
        <v>0.25034898127582594</v>
      </c>
    </row>
    <row r="140" spans="1:13" s="35" customFormat="1" ht="16">
      <c r="A140" s="65" t="s">
        <v>130</v>
      </c>
      <c r="B140" s="60">
        <f>SUM(B138:B139)</f>
        <v>22580.007999999998</v>
      </c>
      <c r="C140" s="60"/>
      <c r="D140" s="61">
        <f>SUM(J138:J139)</f>
        <v>0</v>
      </c>
      <c r="E140" s="61">
        <f>SUM(K138:K139)</f>
        <v>4.2400000000000007E-2</v>
      </c>
      <c r="F140" s="61">
        <f>SUM(L138:L139)</f>
        <v>0</v>
      </c>
      <c r="G140" s="62">
        <f>SUM(M138:M139)</f>
        <v>0.26963609224584861</v>
      </c>
      <c r="H140" s="65"/>
    </row>
    <row r="141" spans="1:13" s="43" customFormat="1" ht="16">
      <c r="A141" s="10" t="s">
        <v>286</v>
      </c>
      <c r="B141" s="138">
        <v>3.16</v>
      </c>
      <c r="C141" s="11" t="s">
        <v>83</v>
      </c>
      <c r="D141" s="23">
        <v>1.6196646770374669E-2</v>
      </c>
      <c r="E141" s="12">
        <v>6.1224657438831556E-2</v>
      </c>
      <c r="F141" s="16">
        <v>1.8824657438831559E-2</v>
      </c>
      <c r="G141" s="16">
        <v>0.1898</v>
      </c>
      <c r="H141" s="17" t="s">
        <v>126</v>
      </c>
      <c r="I141" s="67">
        <f>B141/$B$167</f>
        <v>1.7426428623857541E-4</v>
      </c>
      <c r="J141" s="67">
        <f t="shared" ref="J141:J166" si="64">I141*D141</f>
        <v>2.8224970888976695E-6</v>
      </c>
      <c r="K141" s="67">
        <f t="shared" ref="K141:K166" si="65">I141*E141</f>
        <v>1.0669271228779268E-5</v>
      </c>
      <c r="L141" s="67">
        <f t="shared" ref="L141:L166" si="66">I141*F141</f>
        <v>3.2804654922636707E-6</v>
      </c>
      <c r="M141" s="67">
        <f t="shared" si="50"/>
        <v>3.3075361528081612E-5</v>
      </c>
    </row>
    <row r="142" spans="1:13" s="43" customFormat="1" ht="16">
      <c r="A142" s="10" t="s">
        <v>176</v>
      </c>
      <c r="B142" s="138">
        <v>428.96499999999997</v>
      </c>
      <c r="C142" s="11" t="s">
        <v>44</v>
      </c>
      <c r="D142" s="23">
        <v>3.3774998004572764E-3</v>
      </c>
      <c r="E142" s="12">
        <v>4.6325520982505156E-2</v>
      </c>
      <c r="F142" s="16">
        <v>3.925520982505158E-3</v>
      </c>
      <c r="G142" s="16">
        <v>0.25</v>
      </c>
      <c r="H142" s="17" t="s">
        <v>126</v>
      </c>
      <c r="I142" s="67">
        <f t="shared" ref="I142:I166" si="67">B142/$B$167</f>
        <v>2.3656101122256488E-2</v>
      </c>
      <c r="J142" s="67">
        <f t="shared" si="64"/>
        <v>7.9898476820018446E-5</v>
      </c>
      <c r="K142" s="67">
        <f t="shared" si="65"/>
        <v>1.0958812089033568E-3</v>
      </c>
      <c r="L142" s="67">
        <f t="shared" si="66"/>
        <v>9.2862521319681657E-5</v>
      </c>
      <c r="M142" s="67">
        <f t="shared" si="50"/>
        <v>5.9140252805641221E-3</v>
      </c>
    </row>
    <row r="143" spans="1:13" s="43" customFormat="1" ht="16">
      <c r="A143" s="10" t="s">
        <v>177</v>
      </c>
      <c r="B143" s="138">
        <v>515.33199999999999</v>
      </c>
      <c r="C143" s="11" t="s">
        <v>46</v>
      </c>
      <c r="D143" s="23">
        <v>5.1430110597872171E-3</v>
      </c>
      <c r="E143" s="12">
        <v>4.8377497859723763E-2</v>
      </c>
      <c r="F143" s="16">
        <v>5.9774978597237644E-3</v>
      </c>
      <c r="G143" s="16">
        <v>0.25</v>
      </c>
      <c r="H143" s="17" t="s">
        <v>126</v>
      </c>
      <c r="I143" s="67">
        <f t="shared" si="67"/>
        <v>2.8418975682246057E-2</v>
      </c>
      <c r="J143" s="67">
        <f t="shared" si="64"/>
        <v>1.4615910624161545E-4</v>
      </c>
      <c r="K143" s="67">
        <f t="shared" si="65"/>
        <v>1.3748389352434003E-3</v>
      </c>
      <c r="L143" s="67">
        <f t="shared" si="66"/>
        <v>1.6987436631616751E-4</v>
      </c>
      <c r="M143" s="67">
        <f t="shared" si="50"/>
        <v>7.1047439205615143E-3</v>
      </c>
    </row>
    <row r="144" spans="1:13" s="43" customFormat="1" ht="16">
      <c r="A144" s="10" t="s">
        <v>178</v>
      </c>
      <c r="B144" s="138">
        <v>23.803999999999998</v>
      </c>
      <c r="C144" s="11" t="s">
        <v>79</v>
      </c>
      <c r="D144" s="23">
        <v>2.1262896471060586E-2</v>
      </c>
      <c r="E144" s="12">
        <v>6.7112938912589293E-2</v>
      </c>
      <c r="F144" s="16">
        <v>2.47129389125893E-2</v>
      </c>
      <c r="G144" s="16">
        <v>0.125</v>
      </c>
      <c r="H144" s="17" t="s">
        <v>126</v>
      </c>
      <c r="I144" s="67">
        <f t="shared" si="67"/>
        <v>1.3127174270959015E-3</v>
      </c>
      <c r="J144" s="67">
        <f t="shared" si="64"/>
        <v>2.7912174748097177E-5</v>
      </c>
      <c r="K144" s="67">
        <f t="shared" si="65"/>
        <v>8.8100324494178625E-5</v>
      </c>
      <c r="L144" s="67">
        <f t="shared" si="66"/>
        <v>3.2441105585312415E-5</v>
      </c>
      <c r="M144" s="67">
        <f t="shared" si="50"/>
        <v>1.6408967838698769E-4</v>
      </c>
    </row>
    <row r="145" spans="1:13" s="43" customFormat="1" ht="16">
      <c r="A145" s="10" t="s">
        <v>102</v>
      </c>
      <c r="B145" s="138">
        <v>355.18400000000003</v>
      </c>
      <c r="C145" s="11" t="s">
        <v>47</v>
      </c>
      <c r="D145" s="23">
        <v>0</v>
      </c>
      <c r="E145" s="12">
        <v>4.24E-2</v>
      </c>
      <c r="F145" s="16">
        <v>0</v>
      </c>
      <c r="G145" s="16">
        <v>0.22</v>
      </c>
      <c r="H145" s="17" t="s">
        <v>126</v>
      </c>
      <c r="I145" s="67">
        <f t="shared" si="67"/>
        <v>1.958730577321588E-2</v>
      </c>
      <c r="J145" s="67">
        <f t="shared" si="64"/>
        <v>0</v>
      </c>
      <c r="K145" s="67">
        <f t="shared" si="65"/>
        <v>8.3050176478435334E-4</v>
      </c>
      <c r="L145" s="67">
        <f t="shared" si="66"/>
        <v>0</v>
      </c>
      <c r="M145" s="67">
        <f t="shared" ref="M145:M166" si="68">I145*G145</f>
        <v>4.3092072701074935E-3</v>
      </c>
    </row>
    <row r="146" spans="1:13" s="43" customFormat="1" ht="16">
      <c r="A146" s="10" t="s">
        <v>179</v>
      </c>
      <c r="B146" s="138">
        <v>271.23399999999998</v>
      </c>
      <c r="C146" s="11" t="s">
        <v>44</v>
      </c>
      <c r="D146" s="23">
        <v>3.3774998004572764E-3</v>
      </c>
      <c r="E146" s="12">
        <v>4.6325520982505156E-2</v>
      </c>
      <c r="F146" s="16">
        <v>3.925520982505158E-3</v>
      </c>
      <c r="G146" s="16">
        <v>0.2</v>
      </c>
      <c r="H146" s="17" t="s">
        <v>126</v>
      </c>
      <c r="I146" s="67">
        <f t="shared" si="67"/>
        <v>1.4957721333428405E-2</v>
      </c>
      <c r="J146" s="67">
        <f t="shared" si="64"/>
        <v>5.051970081894998E-5</v>
      </c>
      <c r="K146" s="67">
        <f t="shared" si="65"/>
        <v>6.9292423348220257E-4</v>
      </c>
      <c r="L146" s="67">
        <f t="shared" si="66"/>
        <v>5.8716848944838234E-5</v>
      </c>
      <c r="M146" s="67">
        <f t="shared" si="68"/>
        <v>2.991544266685681E-3</v>
      </c>
    </row>
    <row r="147" spans="1:13" s="43" customFormat="1" ht="16">
      <c r="A147" s="10" t="s">
        <v>180</v>
      </c>
      <c r="B147" s="138">
        <v>2603.0039999999999</v>
      </c>
      <c r="C147" s="11" t="s">
        <v>45</v>
      </c>
      <c r="D147" s="23">
        <v>4.2218747505715949E-3</v>
      </c>
      <c r="E147" s="12">
        <v>4.730690122813145E-2</v>
      </c>
      <c r="F147" s="16">
        <v>4.9069012281314477E-3</v>
      </c>
      <c r="G147" s="16">
        <v>0.26500000000000001</v>
      </c>
      <c r="H147" s="17" t="s">
        <v>126</v>
      </c>
      <c r="I147" s="67">
        <f t="shared" si="67"/>
        <v>0.14354766903042934</v>
      </c>
      <c r="J147" s="67">
        <f t="shared" si="64"/>
        <v>6.0604027938297776E-4</v>
      </c>
      <c r="K147" s="67">
        <f t="shared" si="65"/>
        <v>6.7907954003510245E-3</v>
      </c>
      <c r="L147" s="67">
        <f t="shared" si="66"/>
        <v>7.0437423346082035E-4</v>
      </c>
      <c r="M147" s="67">
        <f t="shared" si="68"/>
        <v>3.8040132293063779E-2</v>
      </c>
    </row>
    <row r="148" spans="1:13" s="43" customFormat="1" ht="16">
      <c r="A148" s="10" t="s">
        <v>181</v>
      </c>
      <c r="B148" s="138">
        <v>3806.06</v>
      </c>
      <c r="C148" s="11" t="s">
        <v>47</v>
      </c>
      <c r="D148" s="23">
        <v>0</v>
      </c>
      <c r="E148" s="12">
        <v>4.24E-2</v>
      </c>
      <c r="F148" s="16">
        <v>0</v>
      </c>
      <c r="G148" s="16">
        <v>0.3</v>
      </c>
      <c r="H148" s="17" t="s">
        <v>126</v>
      </c>
      <c r="I148" s="67">
        <f t="shared" si="67"/>
        <v>0.20989250926620009</v>
      </c>
      <c r="J148" s="67">
        <f t="shared" si="64"/>
        <v>0</v>
      </c>
      <c r="K148" s="67">
        <f t="shared" si="65"/>
        <v>8.8994423928868832E-3</v>
      </c>
      <c r="L148" s="67">
        <f t="shared" si="66"/>
        <v>0</v>
      </c>
      <c r="M148" s="67">
        <f t="shared" si="68"/>
        <v>6.2967752779860026E-2</v>
      </c>
    </row>
    <row r="149" spans="1:13" s="43" customFormat="1" ht="16">
      <c r="A149" s="10" t="s">
        <v>182</v>
      </c>
      <c r="B149" s="138">
        <v>189.41</v>
      </c>
      <c r="C149" s="11" t="s">
        <v>81</v>
      </c>
      <c r="D149" s="23">
        <v>3.0627782281419401E-2</v>
      </c>
      <c r="E149" s="12">
        <v>7.7997338000444505E-2</v>
      </c>
      <c r="F149" s="16">
        <v>3.5597338000444512E-2</v>
      </c>
      <c r="G149" s="16">
        <v>0.24</v>
      </c>
      <c r="H149" s="17" t="s">
        <v>126</v>
      </c>
      <c r="I149" s="67">
        <f t="shared" si="67"/>
        <v>1.0445379258369801E-2</v>
      </c>
      <c r="J149" s="67">
        <f t="shared" si="64"/>
        <v>3.1991880177220433E-4</v>
      </c>
      <c r="K149" s="67">
        <f t="shared" si="65"/>
        <v>8.1471177655790172E-4</v>
      </c>
      <c r="L149" s="67">
        <f t="shared" si="66"/>
        <v>3.7182769600302223E-4</v>
      </c>
      <c r="M149" s="67">
        <f t="shared" si="68"/>
        <v>2.5068910220087523E-3</v>
      </c>
    </row>
    <row r="150" spans="1:13" s="43" customFormat="1" ht="16">
      <c r="A150" s="10" t="s">
        <v>289</v>
      </c>
      <c r="B150" s="138">
        <v>3.18</v>
      </c>
      <c r="C150" s="11" t="s">
        <v>46</v>
      </c>
      <c r="D150" s="23">
        <v>5.1430110597872171E-3</v>
      </c>
      <c r="E150" s="12">
        <v>4.8377497859723763E-2</v>
      </c>
      <c r="F150" s="16">
        <v>5.9774978597237644E-3</v>
      </c>
      <c r="G150" s="16">
        <v>0</v>
      </c>
      <c r="H150" s="17" t="s">
        <v>126</v>
      </c>
      <c r="I150" s="67">
        <f t="shared" si="67"/>
        <v>1.7536722475907274E-4</v>
      </c>
      <c r="J150" s="67">
        <f t="shared" si="64"/>
        <v>9.019155764601018E-7</v>
      </c>
      <c r="K150" s="67">
        <f t="shared" si="65"/>
        <v>8.4838275404477377E-6</v>
      </c>
      <c r="L150" s="67">
        <f t="shared" si="66"/>
        <v>1.0482572106630536E-6</v>
      </c>
      <c r="M150" s="67">
        <f t="shared" si="68"/>
        <v>0</v>
      </c>
    </row>
    <row r="151" spans="1:13" s="43" customFormat="1" ht="16">
      <c r="A151" s="10" t="s">
        <v>110</v>
      </c>
      <c r="B151" s="138">
        <v>21.715</v>
      </c>
      <c r="C151" s="11" t="s">
        <v>42</v>
      </c>
      <c r="D151" s="23">
        <v>7.2155677555223634E-3</v>
      </c>
      <c r="E151" s="12">
        <v>5.0786340280806475E-2</v>
      </c>
      <c r="F151" s="16">
        <v>8.3863402808064744E-3</v>
      </c>
      <c r="G151" s="16">
        <v>0.2</v>
      </c>
      <c r="H151" s="17" t="s">
        <v>126</v>
      </c>
      <c r="I151" s="67">
        <f t="shared" si="67"/>
        <v>1.1975154986299573E-3</v>
      </c>
      <c r="J151" s="67">
        <f t="shared" si="64"/>
        <v>8.6407542186526051E-6</v>
      </c>
      <c r="K151" s="67">
        <f t="shared" si="65"/>
        <v>6.0817429604960652E-5</v>
      </c>
      <c r="L151" s="67">
        <f t="shared" si="66"/>
        <v>1.0042772463050461E-5</v>
      </c>
      <c r="M151" s="67">
        <f t="shared" si="68"/>
        <v>2.3950309972599148E-4</v>
      </c>
    </row>
    <row r="152" spans="1:13" s="43" customFormat="1" ht="16">
      <c r="A152" s="10" t="s">
        <v>183</v>
      </c>
      <c r="B152" s="138">
        <v>418.62200000000001</v>
      </c>
      <c r="C152" s="11" t="s">
        <v>42</v>
      </c>
      <c r="D152" s="23">
        <v>7.2155677555223634E-3</v>
      </c>
      <c r="E152" s="12">
        <v>5.0786340280806475E-2</v>
      </c>
      <c r="F152" s="16">
        <v>8.3863402808064744E-3</v>
      </c>
      <c r="G152" s="16">
        <v>0.125</v>
      </c>
      <c r="H152" s="17" t="s">
        <v>126</v>
      </c>
      <c r="I152" s="67">
        <f t="shared" si="67"/>
        <v>2.3085716466381304E-2</v>
      </c>
      <c r="J152" s="67">
        <f t="shared" si="64"/>
        <v>1.665765513479526E-4</v>
      </c>
      <c r="K152" s="67">
        <f t="shared" si="65"/>
        <v>1.1724390520878581E-3</v>
      </c>
      <c r="L152" s="67">
        <f t="shared" si="66"/>
        <v>1.9360467391329084E-4</v>
      </c>
      <c r="M152" s="67">
        <f t="shared" si="68"/>
        <v>2.885714558297663E-3</v>
      </c>
    </row>
    <row r="153" spans="1:13" s="43" customFormat="1" ht="16">
      <c r="A153" s="10" t="s">
        <v>113</v>
      </c>
      <c r="B153" s="138">
        <v>7.492</v>
      </c>
      <c r="C153" s="11" t="s">
        <v>46</v>
      </c>
      <c r="D153" s="23">
        <v>5.1430110597872171E-3</v>
      </c>
      <c r="E153" s="12">
        <v>4.8377497859723763E-2</v>
      </c>
      <c r="F153" s="16">
        <v>5.9774978597237644E-3</v>
      </c>
      <c r="G153" s="16">
        <v>0</v>
      </c>
      <c r="H153" s="17" t="s">
        <v>126</v>
      </c>
      <c r="I153" s="67">
        <f t="shared" si="67"/>
        <v>4.1316076977829334E-4</v>
      </c>
      <c r="J153" s="67">
        <f t="shared" si="64"/>
        <v>2.124890408439963E-6</v>
      </c>
      <c r="K153" s="67">
        <f t="shared" si="65"/>
        <v>1.9987684255671208E-5</v>
      </c>
      <c r="L153" s="67">
        <f t="shared" si="66"/>
        <v>2.4696676170715713E-6</v>
      </c>
      <c r="M153" s="67">
        <f t="shared" si="68"/>
        <v>0</v>
      </c>
    </row>
    <row r="154" spans="1:13" s="43" customFormat="1" ht="16">
      <c r="A154" s="10" t="s">
        <v>145</v>
      </c>
      <c r="B154" s="138">
        <v>1886.4449999999999</v>
      </c>
      <c r="C154" s="11" t="s">
        <v>124</v>
      </c>
      <c r="D154" s="23">
        <v>1.8729771620717626E-2</v>
      </c>
      <c r="E154" s="12">
        <v>6.4168798175710431E-2</v>
      </c>
      <c r="F154" s="16">
        <v>2.1768798175710428E-2</v>
      </c>
      <c r="G154" s="16">
        <v>0.24</v>
      </c>
      <c r="H154" s="17" t="s">
        <v>126</v>
      </c>
      <c r="I154" s="67">
        <f t="shared" si="67"/>
        <v>0.10403164286497765</v>
      </c>
      <c r="J154" s="67">
        <f t="shared" si="64"/>
        <v>1.9484889121890896E-3</v>
      </c>
      <c r="K154" s="67">
        <f t="shared" si="65"/>
        <v>6.6755854948903374E-3</v>
      </c>
      <c r="L154" s="67">
        <f t="shared" si="66"/>
        <v>2.2646438374152845E-3</v>
      </c>
      <c r="M154" s="67">
        <f t="shared" si="68"/>
        <v>2.4967594287594635E-2</v>
      </c>
    </row>
    <row r="155" spans="1:13" s="43" customFormat="1" ht="16">
      <c r="A155" s="10" t="s">
        <v>290</v>
      </c>
      <c r="B155" s="138">
        <v>4.8899999999999997</v>
      </c>
      <c r="C155" s="11" t="s">
        <v>47</v>
      </c>
      <c r="D155" s="23">
        <v>0</v>
      </c>
      <c r="E155" s="12">
        <v>4.24E-2</v>
      </c>
      <c r="F155" s="16">
        <v>0</v>
      </c>
      <c r="G155" s="16">
        <v>0</v>
      </c>
      <c r="H155" s="17" t="s">
        <v>126</v>
      </c>
      <c r="I155" s="67">
        <f t="shared" si="67"/>
        <v>2.6966846826159295E-4</v>
      </c>
      <c r="J155" s="67">
        <f t="shared" si="64"/>
        <v>0</v>
      </c>
      <c r="K155" s="67">
        <f t="shared" si="65"/>
        <v>1.1433943054291541E-5</v>
      </c>
      <c r="L155" s="67">
        <f t="shared" si="66"/>
        <v>0</v>
      </c>
      <c r="M155" s="67">
        <f t="shared" si="68"/>
        <v>0</v>
      </c>
    </row>
    <row r="156" spans="1:13" s="43" customFormat="1" ht="16">
      <c r="A156" s="10" t="s">
        <v>223</v>
      </c>
      <c r="B156" s="138">
        <v>6.8390000000000004</v>
      </c>
      <c r="C156" s="11" t="s">
        <v>47</v>
      </c>
      <c r="D156" s="23">
        <v>0</v>
      </c>
      <c r="E156" s="12">
        <v>4.24E-2</v>
      </c>
      <c r="F156" s="16">
        <v>0</v>
      </c>
      <c r="G156" s="16">
        <v>0.125</v>
      </c>
      <c r="H156" s="17" t="s">
        <v>126</v>
      </c>
      <c r="I156" s="67">
        <f t="shared" si="67"/>
        <v>3.771498270840561E-4</v>
      </c>
      <c r="J156" s="67">
        <f t="shared" si="64"/>
        <v>0</v>
      </c>
      <c r="K156" s="67">
        <f t="shared" si="65"/>
        <v>1.599115266836398E-5</v>
      </c>
      <c r="L156" s="67">
        <f t="shared" si="66"/>
        <v>0</v>
      </c>
      <c r="M156" s="67">
        <f t="shared" si="68"/>
        <v>4.7143728385507012E-5</v>
      </c>
    </row>
    <row r="157" spans="1:13" s="43" customFormat="1" ht="16">
      <c r="A157" s="10" t="s">
        <v>185</v>
      </c>
      <c r="B157" s="138">
        <v>73.263999999999996</v>
      </c>
      <c r="C157" s="11" t="s">
        <v>47</v>
      </c>
      <c r="D157" s="23">
        <v>0</v>
      </c>
      <c r="E157" s="12">
        <v>4.24E-2</v>
      </c>
      <c r="F157" s="16">
        <v>0</v>
      </c>
      <c r="G157" s="16">
        <v>0.24940000000000001</v>
      </c>
      <c r="H157" s="17" t="s">
        <v>126</v>
      </c>
      <c r="I157" s="67">
        <f t="shared" si="67"/>
        <v>4.0402843882857559E-3</v>
      </c>
      <c r="J157" s="67">
        <f t="shared" si="64"/>
        <v>0</v>
      </c>
      <c r="K157" s="67">
        <f t="shared" si="65"/>
        <v>1.7130805806331604E-4</v>
      </c>
      <c r="L157" s="67">
        <f t="shared" si="66"/>
        <v>0</v>
      </c>
      <c r="M157" s="67">
        <f t="shared" si="68"/>
        <v>1.0076469264384675E-3</v>
      </c>
    </row>
    <row r="158" spans="1:13" s="43" customFormat="1" ht="16">
      <c r="A158" s="10" t="s">
        <v>186</v>
      </c>
      <c r="B158" s="138">
        <v>14.647</v>
      </c>
      <c r="C158" s="11" t="s">
        <v>42</v>
      </c>
      <c r="D158" s="23">
        <v>7.2155677555223634E-3</v>
      </c>
      <c r="E158" s="12">
        <v>5.0786340280806475E-2</v>
      </c>
      <c r="F158" s="16">
        <v>8.3863402808064744E-3</v>
      </c>
      <c r="G158" s="16">
        <v>0.35</v>
      </c>
      <c r="H158" s="17" t="s">
        <v>126</v>
      </c>
      <c r="I158" s="67">
        <f t="shared" si="67"/>
        <v>8.07737025486207E-4</v>
      </c>
      <c r="J158" s="67">
        <f t="shared" si="64"/>
        <v>5.8282812360398206E-6</v>
      </c>
      <c r="K158" s="67">
        <f t="shared" si="65"/>
        <v>4.1022007433748957E-5</v>
      </c>
      <c r="L158" s="67">
        <f t="shared" si="66"/>
        <v>6.7739575531337833E-6</v>
      </c>
      <c r="M158" s="67">
        <f t="shared" si="68"/>
        <v>2.8270795892017242E-4</v>
      </c>
    </row>
    <row r="159" spans="1:13" s="43" customFormat="1" ht="16">
      <c r="A159" s="10" t="s">
        <v>187</v>
      </c>
      <c r="B159" s="138">
        <v>912.24199999999996</v>
      </c>
      <c r="C159" s="11" t="s">
        <v>47</v>
      </c>
      <c r="D159" s="23">
        <v>0</v>
      </c>
      <c r="E159" s="12">
        <v>4.24E-2</v>
      </c>
      <c r="F159" s="16">
        <v>0</v>
      </c>
      <c r="G159" s="16">
        <v>0.25</v>
      </c>
      <c r="H159" s="17" t="s">
        <v>126</v>
      </c>
      <c r="I159" s="67">
        <f t="shared" si="67"/>
        <v>5.0307342090775475E-2</v>
      </c>
      <c r="J159" s="67">
        <f t="shared" si="64"/>
        <v>0</v>
      </c>
      <c r="K159" s="67">
        <f t="shared" si="65"/>
        <v>2.13303130464888E-3</v>
      </c>
      <c r="L159" s="67">
        <f t="shared" si="66"/>
        <v>0</v>
      </c>
      <c r="M159" s="67">
        <f t="shared" si="68"/>
        <v>1.2576835522693869E-2</v>
      </c>
    </row>
    <row r="160" spans="1:13" s="43" customFormat="1" ht="16">
      <c r="A160" s="10" t="s">
        <v>23</v>
      </c>
      <c r="B160" s="138">
        <v>362.00900000000001</v>
      </c>
      <c r="C160" s="11" t="s">
        <v>47</v>
      </c>
      <c r="D160" s="23">
        <v>0</v>
      </c>
      <c r="E160" s="12">
        <v>4.24E-2</v>
      </c>
      <c r="F160" s="16">
        <v>0</v>
      </c>
      <c r="G160" s="16">
        <v>0.22</v>
      </c>
      <c r="H160" s="17" t="s">
        <v>126</v>
      </c>
      <c r="I160" s="67">
        <f t="shared" si="67"/>
        <v>1.9963683543335584E-2</v>
      </c>
      <c r="J160" s="67">
        <f t="shared" si="64"/>
        <v>0</v>
      </c>
      <c r="K160" s="67">
        <f t="shared" si="65"/>
        <v>8.4646018223742876E-4</v>
      </c>
      <c r="L160" s="67">
        <f t="shared" si="66"/>
        <v>0</v>
      </c>
      <c r="M160" s="67">
        <f t="shared" si="68"/>
        <v>4.3920103795338289E-3</v>
      </c>
    </row>
    <row r="161" spans="1:13" s="43" customFormat="1" ht="16">
      <c r="A161" s="10" t="s">
        <v>189</v>
      </c>
      <c r="B161" s="138">
        <v>231.256</v>
      </c>
      <c r="C161" s="11" t="s">
        <v>83</v>
      </c>
      <c r="D161" s="23">
        <v>1.6196646770374669E-2</v>
      </c>
      <c r="E161" s="12">
        <v>6.1224657438831556E-2</v>
      </c>
      <c r="F161" s="16">
        <v>1.8824657438831559E-2</v>
      </c>
      <c r="G161" s="16">
        <v>0.21</v>
      </c>
      <c r="H161" s="17" t="s">
        <v>126</v>
      </c>
      <c r="I161" s="67">
        <f t="shared" si="67"/>
        <v>1.2753057524806329E-2</v>
      </c>
      <c r="J161" s="67">
        <f t="shared" si="64"/>
        <v>2.0655676797155678E-4</v>
      </c>
      <c r="K161" s="67">
        <f t="shared" si="65"/>
        <v>7.8080157825398053E-4</v>
      </c>
      <c r="L161" s="67">
        <f t="shared" si="66"/>
        <v>2.4007193920219224E-4</v>
      </c>
      <c r="M161" s="67">
        <f t="shared" si="68"/>
        <v>2.6781420802093289E-3</v>
      </c>
    </row>
    <row r="162" spans="1:13" s="43" customFormat="1" ht="16">
      <c r="A162" s="10" t="s">
        <v>138</v>
      </c>
      <c r="B162" s="138">
        <v>1281.1990000000001</v>
      </c>
      <c r="C162" s="11" t="s">
        <v>82</v>
      </c>
      <c r="D162" s="23">
        <v>1.358676056093041E-2</v>
      </c>
      <c r="E162" s="12">
        <v>5.8191300315986662E-2</v>
      </c>
      <c r="F162" s="16">
        <v>1.5791300315986662E-2</v>
      </c>
      <c r="G162" s="16">
        <v>0.25</v>
      </c>
      <c r="H162" s="17" t="s">
        <v>126</v>
      </c>
      <c r="I162" s="67">
        <f t="shared" si="67"/>
        <v>7.0654186476131836E-2</v>
      </c>
      <c r="J162" s="67">
        <f t="shared" si="64"/>
        <v>9.5996151427853074E-4</v>
      </c>
      <c r="K162" s="67">
        <f t="shared" si="65"/>
        <v>4.1114589838143114E-3</v>
      </c>
      <c r="L162" s="67">
        <f t="shared" si="66"/>
        <v>1.1157214772263213E-3</v>
      </c>
      <c r="M162" s="67">
        <f t="shared" si="68"/>
        <v>1.7663546619032959E-2</v>
      </c>
    </row>
    <row r="163" spans="1:13" s="43" customFormat="1" ht="16">
      <c r="A163" s="10" t="s">
        <v>34</v>
      </c>
      <c r="B163" s="138">
        <v>537.61</v>
      </c>
      <c r="C163" s="11" t="s">
        <v>47</v>
      </c>
      <c r="D163" s="23">
        <v>0</v>
      </c>
      <c r="E163" s="12">
        <v>4.24E-2</v>
      </c>
      <c r="F163" s="16">
        <v>0</v>
      </c>
      <c r="G163" s="16">
        <v>0.20600000000000002</v>
      </c>
      <c r="H163" s="17" t="s">
        <v>126</v>
      </c>
      <c r="I163" s="67">
        <f t="shared" si="67"/>
        <v>2.9647538900228015E-2</v>
      </c>
      <c r="J163" s="67">
        <f t="shared" si="64"/>
        <v>0</v>
      </c>
      <c r="K163" s="67">
        <f t="shared" si="65"/>
        <v>1.2570556493696678E-3</v>
      </c>
      <c r="L163" s="67">
        <f t="shared" si="66"/>
        <v>0</v>
      </c>
      <c r="M163" s="67">
        <f t="shared" si="68"/>
        <v>6.1073930134469719E-3</v>
      </c>
    </row>
    <row r="164" spans="1:13" s="43" customFormat="1" ht="16">
      <c r="A164" s="10" t="s">
        <v>35</v>
      </c>
      <c r="B164" s="138">
        <v>747.96900000000005</v>
      </c>
      <c r="C164" s="11" t="s">
        <v>47</v>
      </c>
      <c r="D164" s="23">
        <v>0</v>
      </c>
      <c r="E164" s="12">
        <v>4.24E-2</v>
      </c>
      <c r="F164" s="16">
        <v>0</v>
      </c>
      <c r="G164" s="16">
        <v>0.14929999999999999</v>
      </c>
      <c r="H164" s="17" t="s">
        <v>126</v>
      </c>
      <c r="I164" s="67">
        <f t="shared" si="67"/>
        <v>4.1248191111892728E-2</v>
      </c>
      <c r="J164" s="67">
        <f t="shared" si="64"/>
        <v>0</v>
      </c>
      <c r="K164" s="67">
        <f t="shared" si="65"/>
        <v>1.7489233031442518E-3</v>
      </c>
      <c r="L164" s="67">
        <f t="shared" si="66"/>
        <v>0</v>
      </c>
      <c r="M164" s="67">
        <f t="shared" si="68"/>
        <v>6.1583549330055838E-3</v>
      </c>
    </row>
    <row r="165" spans="1:13" s="43" customFormat="1" ht="16">
      <c r="A165" s="10" t="s">
        <v>66</v>
      </c>
      <c r="B165" s="138">
        <v>720.101</v>
      </c>
      <c r="C165" s="11" t="s">
        <v>49</v>
      </c>
      <c r="D165" s="23">
        <v>4.6824429051794063E-2</v>
      </c>
      <c r="E165" s="12">
        <v>9.6821995439276054E-2</v>
      </c>
      <c r="F165" s="16">
        <v>5.4421995439276061E-2</v>
      </c>
      <c r="G165" s="16">
        <v>0.2</v>
      </c>
      <c r="H165" s="17" t="s">
        <v>126</v>
      </c>
      <c r="I165" s="67">
        <f t="shared" si="67"/>
        <v>3.9711356577431772E-2</v>
      </c>
      <c r="J165" s="67">
        <f t="shared" si="64"/>
        <v>1.8594615986104496E-3</v>
      </c>
      <c r="K165" s="67">
        <f t="shared" si="65"/>
        <v>3.8449327854275643E-3</v>
      </c>
      <c r="L165" s="67">
        <f t="shared" si="66"/>
        <v>2.1611712665444574E-3</v>
      </c>
      <c r="M165" s="67">
        <f t="shared" si="68"/>
        <v>7.9422713154863548E-3</v>
      </c>
    </row>
    <row r="166" spans="1:13" s="43" customFormat="1" ht="16">
      <c r="A166" s="10" t="s">
        <v>57</v>
      </c>
      <c r="B166" s="138">
        <v>2707.7440000000001</v>
      </c>
      <c r="C166" s="11" t="s">
        <v>46</v>
      </c>
      <c r="D166" s="23">
        <v>5.1430110597872171E-3</v>
      </c>
      <c r="E166" s="12">
        <v>4.8377497859723763E-2</v>
      </c>
      <c r="F166" s="16">
        <v>5.9774978597237644E-3</v>
      </c>
      <c r="G166" s="16">
        <v>0.19</v>
      </c>
      <c r="H166" s="17" t="s">
        <v>126</v>
      </c>
      <c r="I166" s="67">
        <f t="shared" si="67"/>
        <v>0.1493237580622738</v>
      </c>
      <c r="J166" s="67">
        <f t="shared" si="64"/>
        <v>7.6797373920326482E-4</v>
      </c>
      <c r="K166" s="67">
        <f t="shared" si="65"/>
        <v>7.2239097860635594E-3</v>
      </c>
      <c r="L166" s="67">
        <f t="shared" si="66"/>
        <v>8.9258244422315083E-4</v>
      </c>
      <c r="M166" s="67">
        <f t="shared" si="68"/>
        <v>2.8371514031832024E-2</v>
      </c>
    </row>
    <row r="167" spans="1:13" s="35" customFormat="1" ht="16">
      <c r="A167" s="65" t="s">
        <v>126</v>
      </c>
      <c r="B167" s="60">
        <f>SUM(B141:B166)</f>
        <v>18133.377</v>
      </c>
      <c r="C167" s="60"/>
      <c r="D167" s="69">
        <f>SUM(J141:J166)</f>
        <v>7.1597859619131968E-3</v>
      </c>
      <c r="E167" s="69">
        <f>SUM(K141:K166)</f>
        <v>5.0721507530490727E-2</v>
      </c>
      <c r="F167" s="69">
        <f>SUM(L141:L166)</f>
        <v>8.3215075304907214E-3</v>
      </c>
      <c r="G167" s="62">
        <f>SUM(M141:M166)</f>
        <v>0.23935184032736981</v>
      </c>
      <c r="H167" s="65"/>
      <c r="I167" s="68">
        <f>SUM(I141:I166)</f>
        <v>1</v>
      </c>
    </row>
    <row r="170" spans="1:13">
      <c r="A170" s="71" t="s">
        <v>52</v>
      </c>
      <c r="B170" s="19" t="s">
        <v>516</v>
      </c>
      <c r="C170" s="19" t="s">
        <v>278</v>
      </c>
      <c r="D170" s="19" t="s">
        <v>281</v>
      </c>
      <c r="E170" s="19" t="s">
        <v>357</v>
      </c>
      <c r="F170" s="144" t="s">
        <v>299</v>
      </c>
      <c r="G170" s="144" t="s">
        <v>276</v>
      </c>
      <c r="H170" s="30" t="s">
        <v>300</v>
      </c>
      <c r="I170" s="30" t="s">
        <v>297</v>
      </c>
      <c r="J170" s="30" t="s">
        <v>301</v>
      </c>
      <c r="K170" s="30" t="s">
        <v>360</v>
      </c>
    </row>
    <row r="171" spans="1:13">
      <c r="A171" s="17" t="str">
        <f>A32</f>
        <v>Africa</v>
      </c>
      <c r="B171" s="72">
        <f>E32</f>
        <v>9.486303176385634E-2</v>
      </c>
      <c r="C171" s="72">
        <f>F32</f>
        <v>5.2463031763856346E-2</v>
      </c>
      <c r="D171" s="72">
        <f>D32</f>
        <v>4.5138945914060154E-2</v>
      </c>
      <c r="E171" s="72">
        <f>G32</f>
        <v>0.27463605993681611</v>
      </c>
      <c r="F171" s="144">
        <f>B32</f>
        <v>2051.1600000000003</v>
      </c>
      <c r="G171" s="145">
        <f>F171/$F$180</f>
        <v>2.4484690878867739E-2</v>
      </c>
      <c r="H171" s="52">
        <f t="shared" ref="H171:H179" si="69">G171*B171</f>
        <v>2.3226920085702338E-3</v>
      </c>
      <c r="I171" s="52">
        <f t="shared" ref="I171:I179" si="70">G171*C171</f>
        <v>1.2845411153062419E-3</v>
      </c>
      <c r="J171" s="52">
        <f t="shared" ref="J171:J179" si="71">G171*D171</f>
        <v>1.1052131373036928E-3</v>
      </c>
      <c r="K171" s="52">
        <f>G171*E171</f>
        <v>6.724379031743135E-3</v>
      </c>
    </row>
    <row r="172" spans="1:13">
      <c r="A172" s="17" t="str">
        <f>A56</f>
        <v>Asia</v>
      </c>
      <c r="B172" s="72">
        <f>E56</f>
        <v>5.2800420546209467E-2</v>
      </c>
      <c r="C172" s="72">
        <f>F56</f>
        <v>1.0400420546209462E-2</v>
      </c>
      <c r="D172" s="72">
        <f>D56</f>
        <v>8.9484729481886186E-3</v>
      </c>
      <c r="E172" s="72">
        <f>G56</f>
        <v>0.26525334594108319</v>
      </c>
      <c r="F172" s="144">
        <f>B56</f>
        <v>28761.145999999997</v>
      </c>
      <c r="G172" s="145">
        <f t="shared" ref="G172:G179" si="72">F172/$F$180</f>
        <v>0.34332171509388987</v>
      </c>
      <c r="H172" s="52">
        <f t="shared" si="69"/>
        <v>1.8127530939603294E-2</v>
      </c>
      <c r="I172" s="52">
        <f t="shared" si="70"/>
        <v>3.5706902196223633E-3</v>
      </c>
      <c r="J172" s="52">
        <f t="shared" si="71"/>
        <v>3.0722050800433935E-3</v>
      </c>
      <c r="K172" s="52">
        <f t="shared" ref="K172:K179" si="73">G172*E172</f>
        <v>9.1067233662885563E-2</v>
      </c>
    </row>
    <row r="173" spans="1:13">
      <c r="A173" s="17" t="str">
        <f>A60</f>
        <v>Australia &amp; New Zealand</v>
      </c>
      <c r="B173" s="72">
        <f>E60</f>
        <v>4.2411073748184328E-2</v>
      </c>
      <c r="C173" s="72">
        <f>F60</f>
        <v>1.1073748184321925E-5</v>
      </c>
      <c r="D173" s="72">
        <f>D60</f>
        <v>9.5278008828761312E-6</v>
      </c>
      <c r="E173" s="72">
        <f>G60</f>
        <v>0.29724332182252894</v>
      </c>
      <c r="F173" s="144">
        <f>B60</f>
        <v>1543.7670000000001</v>
      </c>
      <c r="G173" s="145">
        <f t="shared" si="72"/>
        <v>1.8427942132255411E-2</v>
      </c>
      <c r="H173" s="52">
        <f t="shared" si="69"/>
        <v>7.8154881279835734E-4</v>
      </c>
      <c r="I173" s="52">
        <f t="shared" si="70"/>
        <v>2.0406639072785285E-7</v>
      </c>
      <c r="J173" s="52">
        <f t="shared" si="71"/>
        <v>1.7557776331729335E-7</v>
      </c>
      <c r="K173" s="52">
        <f t="shared" si="73"/>
        <v>5.4775827337449354E-3</v>
      </c>
    </row>
    <row r="174" spans="1:13">
      <c r="A174" s="17" t="str">
        <f>A75</f>
        <v>Caribbean</v>
      </c>
      <c r="B174" s="72">
        <f>E75</f>
        <v>0.11074131396810462</v>
      </c>
      <c r="C174" s="72">
        <f>F75</f>
        <v>6.8341313968104625E-2</v>
      </c>
      <c r="D174" s="72">
        <f>D75</f>
        <v>5.8800545282770816E-2</v>
      </c>
      <c r="E174" s="72">
        <f>G75</f>
        <v>0.24064845855271644</v>
      </c>
      <c r="F174" s="144">
        <f>B75</f>
        <v>255.83100000000002</v>
      </c>
      <c r="G174" s="145">
        <f t="shared" si="72"/>
        <v>3.0538538935195752E-3</v>
      </c>
      <c r="H174" s="52">
        <f t="shared" si="69"/>
        <v>3.3818779283497003E-4</v>
      </c>
      <c r="I174" s="52">
        <f t="shared" si="70"/>
        <v>2.0870438774974004E-4</v>
      </c>
      <c r="J174" s="52">
        <f t="shared" si="71"/>
        <v>1.7956827415286375E-4</v>
      </c>
      <c r="K174" s="52">
        <f t="shared" si="73"/>
        <v>7.3490523212069723E-4</v>
      </c>
    </row>
    <row r="175" spans="1:13">
      <c r="A175" s="17" t="str">
        <f>A95</f>
        <v>Central and South America</v>
      </c>
      <c r="B175" s="72">
        <f>E95</f>
        <v>8.0293505095550319E-2</v>
      </c>
      <c r="C175" s="72">
        <f>F95</f>
        <v>3.7893505095550298E-2</v>
      </c>
      <c r="D175" s="72">
        <f>D95</f>
        <v>3.2603393656342468E-2</v>
      </c>
      <c r="E175" s="72">
        <f>G95</f>
        <v>0.30299876566366352</v>
      </c>
      <c r="F175" s="144">
        <f>B95</f>
        <v>4211.8180000000002</v>
      </c>
      <c r="G175" s="145">
        <f t="shared" si="72"/>
        <v>5.0276459061238982E-2</v>
      </c>
      <c r="H175" s="52">
        <f t="shared" si="69"/>
        <v>4.0368731218198188E-3</v>
      </c>
      <c r="I175" s="52">
        <f t="shared" si="70"/>
        <v>1.9051512576232852E-3</v>
      </c>
      <c r="J175" s="52">
        <f t="shared" si="71"/>
        <v>1.6391831864205608E-3</v>
      </c>
      <c r="K175" s="52">
        <f t="shared" si="73"/>
        <v>1.5233705037495122E-2</v>
      </c>
    </row>
    <row r="176" spans="1:13">
      <c r="A176" s="17" t="str">
        <f>A123</f>
        <v>Eastern Europe &amp; Russia</v>
      </c>
      <c r="B176" s="72">
        <f>E123</f>
        <v>6.3548808485696898E-2</v>
      </c>
      <c r="C176" s="72">
        <f>F123</f>
        <v>2.1148808485696901E-2</v>
      </c>
      <c r="D176" s="72">
        <f>D123</f>
        <v>1.8196335405846111E-2</v>
      </c>
      <c r="E176" s="72">
        <f>G123</f>
        <v>0.18228312688302731</v>
      </c>
      <c r="F176" s="144">
        <f>B123</f>
        <v>3774.8389999999999</v>
      </c>
      <c r="G176" s="145">
        <f t="shared" si="72"/>
        <v>4.5060242025241427E-2</v>
      </c>
      <c r="H176" s="52">
        <f t="shared" si="69"/>
        <v>2.8635246907812184E-3</v>
      </c>
      <c r="I176" s="52">
        <f t="shared" si="70"/>
        <v>9.5297042891098196E-4</v>
      </c>
      <c r="J176" s="52">
        <f t="shared" si="71"/>
        <v>8.1993127735989545E-4</v>
      </c>
      <c r="K176" s="52">
        <f t="shared" si="73"/>
        <v>8.2137218144670027E-3</v>
      </c>
    </row>
    <row r="177" spans="1:11">
      <c r="A177" s="17" t="str">
        <f>A137</f>
        <v>Middle East</v>
      </c>
      <c r="B177" s="72">
        <f>E137</f>
        <v>5.8408061096789698E-2</v>
      </c>
      <c r="C177" s="72">
        <f>F137</f>
        <v>1.6008061096789695E-2</v>
      </c>
      <c r="D177" s="72">
        <f>D137</f>
        <v>1.3773260517795243E-2</v>
      </c>
      <c r="E177" s="72">
        <f>G137</f>
        <v>0.29699168338265175</v>
      </c>
      <c r="F177" s="144">
        <f>B137</f>
        <v>2461.2170000000001</v>
      </c>
      <c r="G177" s="145">
        <f t="shared" si="72"/>
        <v>2.9379540080156696E-2</v>
      </c>
      <c r="H177" s="52">
        <f t="shared" si="69"/>
        <v>1.7160019719973741E-3</v>
      </c>
      <c r="I177" s="52">
        <f t="shared" si="70"/>
        <v>4.7030947259872998E-4</v>
      </c>
      <c r="J177" s="52">
        <f t="shared" si="71"/>
        <v>4.0465205941700514E-4</v>
      </c>
      <c r="K177" s="52">
        <f t="shared" si="73"/>
        <v>8.7254790654138249E-3</v>
      </c>
    </row>
    <row r="178" spans="1:11">
      <c r="A178" s="17" t="str">
        <f>A140</f>
        <v>North America</v>
      </c>
      <c r="B178" s="72">
        <f>E140</f>
        <v>4.2400000000000007E-2</v>
      </c>
      <c r="C178" s="72">
        <f>F140</f>
        <v>0</v>
      </c>
      <c r="D178" s="72">
        <f>D140</f>
        <v>0</v>
      </c>
      <c r="E178" s="72">
        <f>G140</f>
        <v>0.26963609224584861</v>
      </c>
      <c r="F178" s="144">
        <f>B140</f>
        <v>22580.007999999998</v>
      </c>
      <c r="G178" s="145">
        <f t="shared" si="72"/>
        <v>0.26953748899274577</v>
      </c>
      <c r="H178" s="52">
        <f t="shared" si="69"/>
        <v>1.1428389533292423E-2</v>
      </c>
      <c r="I178" s="52">
        <f t="shared" si="70"/>
        <v>0</v>
      </c>
      <c r="J178" s="52">
        <f t="shared" si="71"/>
        <v>0</v>
      </c>
      <c r="K178" s="52">
        <f t="shared" si="73"/>
        <v>7.2677035245762397E-2</v>
      </c>
    </row>
    <row r="179" spans="1:11">
      <c r="A179" s="17" t="str">
        <f>A167</f>
        <v>Western Europe</v>
      </c>
      <c r="B179" s="72">
        <f>E167</f>
        <v>5.0721507530490727E-2</v>
      </c>
      <c r="C179" s="72">
        <f>F167</f>
        <v>8.3215075304907214E-3</v>
      </c>
      <c r="D179" s="72">
        <f>D167</f>
        <v>7.1597859619131968E-3</v>
      </c>
      <c r="E179" s="72">
        <f>G167</f>
        <v>0.23935184032736981</v>
      </c>
      <c r="F179" s="144">
        <f>B167</f>
        <v>18133.377</v>
      </c>
      <c r="G179" s="145">
        <f t="shared" si="72"/>
        <v>0.21645806784208446</v>
      </c>
      <c r="H179" s="52">
        <f t="shared" si="69"/>
        <v>1.0979079518087759E-2</v>
      </c>
      <c r="I179" s="52">
        <f t="shared" si="70"/>
        <v>1.8012574415833772E-3</v>
      </c>
      <c r="J179" s="52">
        <f t="shared" si="71"/>
        <v>1.5497934354786107E-3</v>
      </c>
      <c r="K179" s="52">
        <f t="shared" si="73"/>
        <v>5.180963689170958E-2</v>
      </c>
    </row>
    <row r="180" spans="1:11">
      <c r="A180" s="17" t="s">
        <v>282</v>
      </c>
      <c r="B180" s="72">
        <f>SUM(H171:H179)</f>
        <v>5.2593828389785449E-2</v>
      </c>
      <c r="C180" s="72">
        <f>SUM(I171:I179)</f>
        <v>1.0193828389785449E-2</v>
      </c>
      <c r="D180" s="72">
        <f>SUM(J171:J179)</f>
        <v>8.77072202793934E-3</v>
      </c>
      <c r="E180" s="72">
        <f>SUM(K171:K179)</f>
        <v>0.26066367871534224</v>
      </c>
      <c r="F180" s="30">
        <f>SUM(F171:F179)</f>
        <v>83773.163</v>
      </c>
      <c r="H180" s="36"/>
    </row>
    <row r="181" spans="1:11">
      <c r="A181" s="21"/>
      <c r="B181" s="70"/>
      <c r="C181" s="70"/>
    </row>
    <row r="182" spans="1:11">
      <c r="A182" s="253" t="s">
        <v>309</v>
      </c>
      <c r="B182" s="253"/>
      <c r="C182" s="253"/>
    </row>
    <row r="183" spans="1:11">
      <c r="A183" s="19"/>
      <c r="B183" s="19" t="s">
        <v>312</v>
      </c>
      <c r="C183" s="19" t="s">
        <v>313</v>
      </c>
      <c r="D183" s="5" t="s">
        <v>314</v>
      </c>
    </row>
    <row r="184" spans="1:11">
      <c r="A184" s="17" t="s">
        <v>305</v>
      </c>
      <c r="B184" s="79">
        <f>(B171*F171+B177*F176)/(F171+F176)</f>
        <v>7.1242765948860642E-2</v>
      </c>
      <c r="C184" s="79">
        <f>(D171*F171+D177*F176)/(F171+F176)</f>
        <v>2.4816180239786743E-2</v>
      </c>
      <c r="D184" s="72">
        <f>(E171*F171+E177*F176)/(F171+F176)</f>
        <v>0.28912093699440827</v>
      </c>
    </row>
    <row r="185" spans="1:11">
      <c r="A185" s="17" t="s">
        <v>311</v>
      </c>
      <c r="B185" s="79">
        <f>(B173*F173+E138*B138)/(F173+B138)</f>
        <v>4.2405363774192906E-2</v>
      </c>
      <c r="C185" s="79">
        <f>(D173*F173+D138*B138)/(F173+B138)</f>
        <v>4.6149661018158829E-6</v>
      </c>
      <c r="D185" s="72">
        <f>(E173*F173+G138*B138)/(F173+B138)</f>
        <v>0.28061764766603653</v>
      </c>
    </row>
    <row r="186" spans="1:11">
      <c r="A186" s="17" t="s">
        <v>306</v>
      </c>
      <c r="B186" s="79">
        <f>B175*(F175/(F175+F174))+B174*F174/(F174+F175)</f>
        <v>8.2037038079380176E-2</v>
      </c>
      <c r="C186" s="79">
        <f>(B186-0.0472)/1.1</f>
        <v>3.1670034617618338E-2</v>
      </c>
      <c r="D186" s="72">
        <f>(B95*G95+B75*G75)/(B75+B95)</f>
        <v>0.29942839981386177</v>
      </c>
    </row>
    <row r="187" spans="1:11">
      <c r="A187" s="17" t="s">
        <v>116</v>
      </c>
      <c r="B187" s="72">
        <f>E40</f>
        <v>4.9358878105350057E-2</v>
      </c>
      <c r="C187" s="72">
        <f>D40</f>
        <v>5.987386009901537E-3</v>
      </c>
      <c r="D187" s="72">
        <f>G40</f>
        <v>0.30620000000000003</v>
      </c>
    </row>
    <row r="188" spans="1:11">
      <c r="A188" s="17" t="s">
        <v>193</v>
      </c>
      <c r="B188" s="72">
        <f>E139</f>
        <v>4.24E-2</v>
      </c>
      <c r="C188" s="72">
        <f>F139</f>
        <v>0</v>
      </c>
      <c r="D188" s="72">
        <f>G139</f>
        <v>0.27</v>
      </c>
    </row>
    <row r="189" spans="1:11">
      <c r="A189" s="17" t="s">
        <v>307</v>
      </c>
      <c r="B189" s="72">
        <f>E167</f>
        <v>5.0721507530490727E-2</v>
      </c>
      <c r="C189" s="72">
        <f>D167</f>
        <v>7.1597859619131968E-3</v>
      </c>
      <c r="D189" s="72">
        <f>E179</f>
        <v>0.23935184032736981</v>
      </c>
    </row>
    <row r="190" spans="1:11">
      <c r="A190" s="17" t="s">
        <v>308</v>
      </c>
      <c r="B190" s="79">
        <f>(B171*F171+B172*F172+B174*F174+B175*F175+B176*F176+B177*F177-B187*B40)/(F171+F172+F174+F175+F176+F177-B40)</f>
        <v>6.0720670397717211E-2</v>
      </c>
      <c r="C190" s="79">
        <f>(B190-4.72%)/1.1</f>
        <v>1.2291518543379282E-2</v>
      </c>
      <c r="D190" s="72">
        <f>(E172*G172+E171*G171+E174*G174+E175*G175+E176*G176+E177*G177)/(G171+G172+G174+G175+G176+G177)</f>
        <v>0.26373208489852262</v>
      </c>
    </row>
    <row r="191" spans="1:11">
      <c r="A191" s="17" t="s">
        <v>310</v>
      </c>
      <c r="B191" s="79">
        <f>(B172*F172-B35*E35-B38*E38-B40*E40)/(F172-(B35+B38+B40))</f>
        <v>5.8828364286079335E-2</v>
      </c>
      <c r="C191" s="79">
        <f>(B191-4.72%)/1.1</f>
        <v>1.0571240260072123E-2</v>
      </c>
      <c r="D191" s="72">
        <f>(G33*B33+G34*B34+G36*B36+G39*B39+G41*B41+G42*B42+G43*B43+G44*B44+G45*B45+G46*B46+G47*B47+G48*B48+G49*B49+G50*B50+G51*B51+G52*B52+G53*B53+G54*B54+G55*B55)/(B56-B35-B37-B38-B40)</f>
        <v>0.25872252054394795</v>
      </c>
    </row>
    <row r="192" spans="1:11">
      <c r="A192" s="17" t="s">
        <v>111</v>
      </c>
      <c r="B192" s="79">
        <f>E38</f>
        <v>6.4168798175710431E-2</v>
      </c>
      <c r="C192" s="79">
        <f>D38</f>
        <v>1.8729771620717626E-2</v>
      </c>
      <c r="D192" s="72">
        <f>G38</f>
        <v>0.3</v>
      </c>
    </row>
    <row r="193" spans="1:4">
      <c r="A193" s="17" t="s">
        <v>97</v>
      </c>
      <c r="B193" s="72">
        <f>E35</f>
        <v>4.9358878105350057E-2</v>
      </c>
      <c r="C193" s="72">
        <f>D35</f>
        <v>5.987386009901537E-3</v>
      </c>
      <c r="D193" s="72">
        <f>G35</f>
        <v>0.25</v>
      </c>
    </row>
    <row r="194" spans="1:4">
      <c r="A194" s="17" t="s">
        <v>282</v>
      </c>
      <c r="B194" s="72">
        <f>B180</f>
        <v>5.2593828389785449E-2</v>
      </c>
      <c r="C194" s="72">
        <f>D180</f>
        <v>8.77072202793934E-3</v>
      </c>
      <c r="D194" s="72">
        <f>E180</f>
        <v>0.26066367871534224</v>
      </c>
    </row>
  </sheetData>
  <mergeCells count="1">
    <mergeCell ref="A182:C182"/>
  </mergeCells>
  <phoneticPr fontId="10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8"/>
  <sheetViews>
    <sheetView zoomScaleNormal="100" workbookViewId="0">
      <selection sqref="A1:I1048576"/>
    </sheetView>
  </sheetViews>
  <sheetFormatPr baseColWidth="10" defaultRowHeight="13"/>
  <cols>
    <col min="1" max="1" width="23.33203125" style="57" bestFit="1" customWidth="1"/>
    <col min="2" max="2" width="23.33203125" style="139" customWidth="1"/>
    <col min="3" max="3" width="16.33203125" style="27" bestFit="1" customWidth="1"/>
    <col min="4" max="4" width="16.33203125" style="27" customWidth="1"/>
    <col min="5" max="5" width="17.5" bestFit="1" customWidth="1"/>
    <col min="6" max="6" width="17.33203125" bestFit="1" customWidth="1"/>
    <col min="7" max="7" width="20.1640625" bestFit="1" customWidth="1"/>
    <col min="8" max="8" width="20.1640625" customWidth="1"/>
    <col min="9" max="9" width="20.83203125" style="3" bestFit="1" customWidth="1"/>
  </cols>
  <sheetData>
    <row r="1" spans="1:9" s="1" customFormat="1" ht="16">
      <c r="A1" s="56" t="str">
        <f>'Sovereign Ratings (Moody''s,S&amp;P)'!A1</f>
        <v>Country</v>
      </c>
      <c r="B1" s="138" t="str">
        <f>'Country GDP'!B1</f>
        <v>GDP (in billions) in 2020</v>
      </c>
      <c r="C1" s="11" t="str">
        <f>'Sovereign Ratings (Moody''s,S&amp;P)'!C1</f>
        <v>Moody's rating</v>
      </c>
      <c r="D1" s="11" t="s">
        <v>502</v>
      </c>
      <c r="E1" s="56" t="s">
        <v>36</v>
      </c>
      <c r="F1" s="56" t="s">
        <v>472</v>
      </c>
      <c r="G1" s="58" t="s">
        <v>37</v>
      </c>
      <c r="H1" s="58" t="s">
        <v>358</v>
      </c>
      <c r="I1" s="59" t="s">
        <v>52</v>
      </c>
    </row>
    <row r="2" spans="1:9" ht="16">
      <c r="A2" s="10" t="str">
        <f>'Sovereign Ratings (Moody''s,S&amp;P)'!A2</f>
        <v>Abu Dhabi</v>
      </c>
      <c r="B2" s="138">
        <f>'Country GDP'!B2</f>
        <v>268</v>
      </c>
      <c r="C2" s="11" t="str">
        <f>'Sovereign Ratings (Moody''s,S&amp;P)'!C2</f>
        <v>Aa2</v>
      </c>
      <c r="D2" s="13">
        <f>'10-year CDS Spreads'!C2</f>
        <v>7.7000000000000002E-3</v>
      </c>
      <c r="E2" s="23">
        <f>'ERPs by country'!D8</f>
        <v>4.2218747505715949E-3</v>
      </c>
      <c r="F2" s="12">
        <f>'ERPs by country'!E8</f>
        <v>4.730690122813145E-2</v>
      </c>
      <c r="G2" s="16">
        <f>'ERPs by country'!F8</f>
        <v>4.9069012281314477E-3</v>
      </c>
      <c r="H2" s="16">
        <f>'Country Tax Rates'!C2</f>
        <v>0.55000000000000004</v>
      </c>
      <c r="I2" s="17" t="str">
        <f>VLOOKUP(A2,'Regional lookup table'!$A$2:$B$161,2)</f>
        <v>Middle East</v>
      </c>
    </row>
    <row r="3" spans="1:9" ht="16">
      <c r="A3" s="10" t="str">
        <f>'Sovereign Ratings (Moody''s,S&amp;P)'!A3</f>
        <v>Albania</v>
      </c>
      <c r="B3" s="138">
        <f>'Country GDP'!B3</f>
        <v>14.8</v>
      </c>
      <c r="C3" s="11" t="str">
        <f>'Sovereign Ratings (Moody''s,S&amp;P)'!C3</f>
        <v>B1</v>
      </c>
      <c r="D3" s="13" t="str">
        <f>'10-year CDS Spreads'!C3</f>
        <v>NA</v>
      </c>
      <c r="E3" s="23">
        <f>'ERPs by country'!D9</f>
        <v>3.8303918191549574E-2</v>
      </c>
      <c r="F3" s="12">
        <f>'ERPs by country'!E9</f>
        <v>8.6918976597047143E-2</v>
      </c>
      <c r="G3" s="16">
        <f>'ERPs by country'!F9</f>
        <v>4.451897659704715E-2</v>
      </c>
      <c r="H3" s="16">
        <f>'Country Tax Rates'!C3</f>
        <v>0.15</v>
      </c>
      <c r="I3" s="17" t="str">
        <f>VLOOKUP(A3,'Regional lookup table'!$A$2:$B$161,2)</f>
        <v>Eastern Europe &amp; Russia</v>
      </c>
    </row>
    <row r="4" spans="1:9" ht="16">
      <c r="A4" s="10" t="str">
        <f>'Sovereign Ratings (Moody''s,S&amp;P)'!A4</f>
        <v>Andorra (Principality of)</v>
      </c>
      <c r="B4" s="138">
        <f>'Country GDP'!B4</f>
        <v>3.16</v>
      </c>
      <c r="C4" s="11" t="str">
        <f>'Sovereign Ratings (Moody''s,S&amp;P)'!C4</f>
        <v>Baa2</v>
      </c>
      <c r="D4" s="13" t="str">
        <f>'10-year CDS Spreads'!C4</f>
        <v>NA</v>
      </c>
      <c r="E4" s="23">
        <f>'ERPs by country'!D10</f>
        <v>1.6196646770374669E-2</v>
      </c>
      <c r="F4" s="12">
        <f>'ERPs by country'!E10</f>
        <v>6.1224657438831556E-2</v>
      </c>
      <c r="G4" s="16">
        <f>'ERPs by country'!F10</f>
        <v>1.8824657438831559E-2</v>
      </c>
      <c r="H4" s="16">
        <f>'Country Tax Rates'!C4</f>
        <v>0.1898</v>
      </c>
      <c r="I4" s="17" t="str">
        <f>VLOOKUP(A4,'Regional lookup table'!$A$2:$B$161,2)</f>
        <v>Western Europe</v>
      </c>
    </row>
    <row r="5" spans="1:9" ht="16">
      <c r="A5" s="10" t="str">
        <f>'Sovereign Ratings (Moody''s,S&amp;P)'!A5</f>
        <v>Angola</v>
      </c>
      <c r="B5" s="138">
        <f>'Country GDP'!B5</f>
        <v>62.307000000000002</v>
      </c>
      <c r="C5" s="11" t="str">
        <f>'Sovereign Ratings (Moody''s,S&amp;P)'!C5</f>
        <v>B3</v>
      </c>
      <c r="D5" s="13">
        <f>'10-year CDS Spreads'!C5</f>
        <v>5.9400000000000001E-2</v>
      </c>
      <c r="E5" s="23">
        <f>'ERPs by country'!D11</f>
        <v>5.5344939912038545E-2</v>
      </c>
      <c r="F5" s="12">
        <f>'ERPs by country'!E11</f>
        <v>0.10672501428150497</v>
      </c>
      <c r="G5" s="16">
        <f>'ERPs by country'!F11</f>
        <v>6.4325014281504972E-2</v>
      </c>
      <c r="H5" s="16">
        <f>'Country Tax Rates'!C5</f>
        <v>0.25</v>
      </c>
      <c r="I5" s="17" t="str">
        <f>VLOOKUP(A5,'Regional lookup table'!$A$2:$B$161,2)</f>
        <v>Africa</v>
      </c>
    </row>
    <row r="6" spans="1:9" ht="16">
      <c r="A6" s="10" t="str">
        <f>'Sovereign Ratings (Moody''s,S&amp;P)'!A6</f>
        <v>Argentina</v>
      </c>
      <c r="B6" s="138">
        <f>'Country GDP'!B6</f>
        <v>383.06700000000001</v>
      </c>
      <c r="C6" s="11" t="str">
        <f>'Sovereign Ratings (Moody''s,S&amp;P)'!C6</f>
        <v>Ca</v>
      </c>
      <c r="D6" s="13">
        <f>'10-year CDS Spreads'!C6</f>
        <v>0.23319999999999999</v>
      </c>
      <c r="E6" s="23">
        <f>'ERPs by country'!D12</f>
        <v>0.10209260760473131</v>
      </c>
      <c r="F6" s="12">
        <f>'ERPs by country'!E12</f>
        <v>0.16105779333481501</v>
      </c>
      <c r="G6" s="16">
        <f>'ERPs by country'!F12</f>
        <v>0.11865779333481502</v>
      </c>
      <c r="H6" s="16">
        <f>'Country Tax Rates'!C6</f>
        <v>0.25</v>
      </c>
      <c r="I6" s="17" t="str">
        <f>VLOOKUP(A6,'Regional lookup table'!$A$2:$B$161,2)</f>
        <v>Central and South America</v>
      </c>
    </row>
    <row r="7" spans="1:9" ht="16">
      <c r="A7" s="10" t="str">
        <f>'Sovereign Ratings (Moody''s,S&amp;P)'!A7</f>
        <v>Armenia</v>
      </c>
      <c r="B7" s="138">
        <f>'Country GDP'!B7</f>
        <v>12.645</v>
      </c>
      <c r="C7" s="11" t="str">
        <f>'Sovereign Ratings (Moody''s,S&amp;P)'!C7</f>
        <v>Ba3</v>
      </c>
      <c r="D7" s="13" t="str">
        <f>'10-year CDS Spreads'!C7</f>
        <v>NA</v>
      </c>
      <c r="E7" s="23">
        <f>'ERPs by country'!D13</f>
        <v>3.0627782281419401E-2</v>
      </c>
      <c r="F7" s="12">
        <f>'ERPs by country'!E13</f>
        <v>7.7997338000444505E-2</v>
      </c>
      <c r="G7" s="16">
        <f>'ERPs by country'!F13</f>
        <v>3.5597338000444512E-2</v>
      </c>
      <c r="H7" s="16">
        <f>'Country Tax Rates'!C7</f>
        <v>0.18</v>
      </c>
      <c r="I7" s="17" t="str">
        <f>VLOOKUP(A7,'Regional lookup table'!$A$2:$B$161,2)</f>
        <v>Eastern Europe &amp; Russia</v>
      </c>
    </row>
    <row r="8" spans="1:9" ht="16">
      <c r="A8" s="10" t="str">
        <f>'Sovereign Ratings (Moody''s,S&amp;P)'!A8</f>
        <v>Aruba</v>
      </c>
      <c r="B8" s="138">
        <f>'Country GDP'!B8</f>
        <v>3.202</v>
      </c>
      <c r="C8" s="11" t="str">
        <f>'Sovereign Ratings (Moody''s,S&amp;P)'!C8</f>
        <v>Baa2</v>
      </c>
      <c r="D8" s="13" t="str">
        <f>'10-year CDS Spreads'!C8</f>
        <v>NA</v>
      </c>
      <c r="E8" s="23">
        <f>'ERPs by country'!D14</f>
        <v>1.6196646770374669E-2</v>
      </c>
      <c r="F8" s="12">
        <f>'ERPs by country'!E14</f>
        <v>6.1224657438831556E-2</v>
      </c>
      <c r="G8" s="16">
        <f>'ERPs by country'!F14</f>
        <v>1.8824657438831559E-2</v>
      </c>
      <c r="H8" s="16">
        <f>'Country Tax Rates'!C8</f>
        <v>0.25</v>
      </c>
      <c r="I8" s="17" t="str">
        <f>VLOOKUP(A8,'Regional lookup table'!$A$2:$B$161,2)</f>
        <v>Caribbean</v>
      </c>
    </row>
    <row r="9" spans="1:9" ht="16">
      <c r="A9" s="10" t="str">
        <f>'Sovereign Ratings (Moody''s,S&amp;P)'!A9</f>
        <v>Australia</v>
      </c>
      <c r="B9" s="138">
        <f>'Country GDP'!B9</f>
        <v>1330.9010000000001</v>
      </c>
      <c r="C9" s="11" t="str">
        <f>'Sovereign Ratings (Moody''s,S&amp;P)'!C9</f>
        <v>Aaa</v>
      </c>
      <c r="D9" s="13">
        <f>'10-year CDS Spreads'!C9</f>
        <v>2.3E-3</v>
      </c>
      <c r="E9" s="23">
        <f>'ERPs by country'!D15</f>
        <v>0</v>
      </c>
      <c r="F9" s="12">
        <f>'ERPs by country'!E15</f>
        <v>4.24E-2</v>
      </c>
      <c r="G9" s="16">
        <f>'ERPs by country'!F15</f>
        <v>0</v>
      </c>
      <c r="H9" s="16">
        <f>'Country Tax Rates'!C9</f>
        <v>0.3</v>
      </c>
      <c r="I9" s="17" t="str">
        <f>VLOOKUP(A9,'Regional lookup table'!$A$2:$B$161,2)</f>
        <v>Australia &amp; New Zealand</v>
      </c>
    </row>
    <row r="10" spans="1:9" ht="16">
      <c r="A10" s="10" t="str">
        <f>'Sovereign Ratings (Moody''s,S&amp;P)'!A10</f>
        <v>Austria</v>
      </c>
      <c r="B10" s="138">
        <f>'Country GDP'!B10</f>
        <v>428.96499999999997</v>
      </c>
      <c r="C10" s="11" t="str">
        <f>'Sovereign Ratings (Moody''s,S&amp;P)'!C10</f>
        <v>Aa1</v>
      </c>
      <c r="D10" s="13">
        <f>'10-year CDS Spreads'!C10</f>
        <v>1.9E-3</v>
      </c>
      <c r="E10" s="23">
        <f>'ERPs by country'!D16</f>
        <v>3.3774998004572764E-3</v>
      </c>
      <c r="F10" s="12">
        <f>'ERPs by country'!E16</f>
        <v>4.6325520982505156E-2</v>
      </c>
      <c r="G10" s="16">
        <f>'ERPs by country'!F16</f>
        <v>3.925520982505158E-3</v>
      </c>
      <c r="H10" s="16">
        <f>'Country Tax Rates'!C10</f>
        <v>0.25</v>
      </c>
      <c r="I10" s="17" t="str">
        <f>VLOOKUP(A10,'Regional lookup table'!$A$2:$B$161,2)</f>
        <v>Western Europe</v>
      </c>
    </row>
    <row r="11" spans="1:9" ht="16">
      <c r="A11" s="10" t="str">
        <f>'Sovereign Ratings (Moody''s,S&amp;P)'!A11</f>
        <v>Azerbaijan</v>
      </c>
      <c r="B11" s="138">
        <f>'Country GDP'!B11</f>
        <v>42.606999999999999</v>
      </c>
      <c r="C11" s="11" t="str">
        <f>'Sovereign Ratings (Moody''s,S&amp;P)'!C11</f>
        <v>Ba2</v>
      </c>
      <c r="D11" s="13" t="str">
        <f>'10-year CDS Spreads'!C11</f>
        <v>NA</v>
      </c>
      <c r="E11" s="23">
        <f>'ERPs by country'!D17</f>
        <v>2.5561532580733477E-2</v>
      </c>
      <c r="F11" s="12">
        <f>'ERPs by country'!E17</f>
        <v>7.2109056526686768E-2</v>
      </c>
      <c r="G11" s="16">
        <f>'ERPs by country'!F17</f>
        <v>2.9709056526686765E-2</v>
      </c>
      <c r="H11" s="16">
        <f>'Country Tax Rates'!C11</f>
        <v>0.2</v>
      </c>
      <c r="I11" s="17" t="str">
        <f>VLOOKUP(A11,'Regional lookup table'!$A$2:$B$161,2)</f>
        <v>Eastern Europe &amp; Russia</v>
      </c>
    </row>
    <row r="12" spans="1:9" ht="16">
      <c r="A12" s="10" t="str">
        <f>'Sovereign Ratings (Moody''s,S&amp;P)'!A12</f>
        <v>Bahamas</v>
      </c>
      <c r="B12" s="138">
        <f>'Country GDP'!B12</f>
        <v>11.25</v>
      </c>
      <c r="C12" s="11" t="str">
        <f>'Sovereign Ratings (Moody''s,S&amp;P)'!C12</f>
        <v>Ba3</v>
      </c>
      <c r="D12" s="13" t="str">
        <f>'10-year CDS Spreads'!C12</f>
        <v>NA</v>
      </c>
      <c r="E12" s="23">
        <f>'ERPs by country'!D18</f>
        <v>3.0627782281419401E-2</v>
      </c>
      <c r="F12" s="12">
        <f>'ERPs by country'!E18</f>
        <v>7.7997338000444505E-2</v>
      </c>
      <c r="G12" s="16">
        <f>'ERPs by country'!F18</f>
        <v>3.5597338000444512E-2</v>
      </c>
      <c r="H12" s="16">
        <f>'Country Tax Rates'!C12</f>
        <v>0</v>
      </c>
      <c r="I12" s="17" t="str">
        <f>VLOOKUP(A12,'Regional lookup table'!$A$2:$B$161,2)</f>
        <v>Caribbean</v>
      </c>
    </row>
    <row r="13" spans="1:9" ht="16">
      <c r="A13" s="10" t="str">
        <f>'Sovereign Ratings (Moody''s,S&amp;P)'!A13</f>
        <v>Bahrain</v>
      </c>
      <c r="B13" s="138">
        <f>'Country GDP'!B13</f>
        <v>38.475000000000001</v>
      </c>
      <c r="C13" s="11" t="str">
        <f>'Sovereign Ratings (Moody''s,S&amp;P)'!C13</f>
        <v>B2</v>
      </c>
      <c r="D13" s="13">
        <f>'10-year CDS Spreads'!C13</f>
        <v>3.4000000000000002E-2</v>
      </c>
      <c r="E13" s="23">
        <f>'ERPs by country'!D19</f>
        <v>4.6824429051794063E-2</v>
      </c>
      <c r="F13" s="12">
        <f>'ERPs by country'!E19</f>
        <v>9.6821995439276054E-2</v>
      </c>
      <c r="G13" s="16">
        <f>'ERPs by country'!F19</f>
        <v>5.4421995439276061E-2</v>
      </c>
      <c r="H13" s="16">
        <f>'Country Tax Rates'!C13</f>
        <v>0</v>
      </c>
      <c r="I13" s="17" t="str">
        <f>VLOOKUP(A13,'Regional lookup table'!$A$2:$B$161,2)</f>
        <v>Middle East</v>
      </c>
    </row>
    <row r="14" spans="1:9" ht="16">
      <c r="A14" s="10" t="str">
        <f>'Sovereign Ratings (Moody''s,S&amp;P)'!A14</f>
        <v>Bangladesh</v>
      </c>
      <c r="B14" s="138">
        <f>'Country GDP'!B14</f>
        <v>324.23899999999998</v>
      </c>
      <c r="C14" s="11" t="str">
        <f>'Sovereign Ratings (Moody''s,S&amp;P)'!C14</f>
        <v>Ba3</v>
      </c>
      <c r="D14" s="13" t="str">
        <f>'10-year CDS Spreads'!C14</f>
        <v>NA</v>
      </c>
      <c r="E14" s="23">
        <f>'ERPs by country'!D20</f>
        <v>3.0627782281419401E-2</v>
      </c>
      <c r="F14" s="12">
        <f>'ERPs by country'!E20</f>
        <v>7.7997338000444505E-2</v>
      </c>
      <c r="G14" s="16">
        <f>'ERPs by country'!F20</f>
        <v>3.5597338000444512E-2</v>
      </c>
      <c r="H14" s="16">
        <f>'Country Tax Rates'!C14</f>
        <v>0.32500000000000001</v>
      </c>
      <c r="I14" s="17" t="str">
        <f>VLOOKUP(A14,'Regional lookup table'!$A$2:$B$161,2)</f>
        <v>Asia</v>
      </c>
    </row>
    <row r="15" spans="1:9" ht="16">
      <c r="A15" s="10" t="str">
        <f>'Sovereign Ratings (Moody''s,S&amp;P)'!A15</f>
        <v>Barbados</v>
      </c>
      <c r="B15" s="138">
        <f>'Country GDP'!B15</f>
        <v>4.3659999999999997</v>
      </c>
      <c r="C15" s="11" t="str">
        <f>'Sovereign Ratings (Moody''s,S&amp;P)'!C15</f>
        <v>Caa1</v>
      </c>
      <c r="D15" s="13" t="str">
        <f>'10-year CDS Spreads'!C15</f>
        <v>NA</v>
      </c>
      <c r="E15" s="23">
        <f>'ERPs by country'!D21</f>
        <v>6.3788689413181762E-2</v>
      </c>
      <c r="F15" s="12">
        <f>'ERPs by country'!E21</f>
        <v>0.11653881673776789</v>
      </c>
      <c r="G15" s="16">
        <f>'ERPs by country'!F21</f>
        <v>7.4138816737767899E-2</v>
      </c>
      <c r="H15" s="16">
        <f>'Country Tax Rates'!C15</f>
        <v>5.5E-2</v>
      </c>
      <c r="I15" s="17" t="str">
        <f>VLOOKUP(A15,'Regional lookup table'!$A$2:$B$161,2)</f>
        <v>Caribbean</v>
      </c>
    </row>
    <row r="16" spans="1:9" ht="16">
      <c r="A16" s="10" t="str">
        <f>'Sovereign Ratings (Moody''s,S&amp;P)'!A16</f>
        <v>Belarus</v>
      </c>
      <c r="B16" s="138">
        <f>'Country GDP'!B16</f>
        <v>60.258000000000003</v>
      </c>
      <c r="C16" s="11" t="str">
        <f>'Sovereign Ratings (Moody''s,S&amp;P)'!C16</f>
        <v>B3</v>
      </c>
      <c r="D16" s="13" t="str">
        <f>'10-year CDS Spreads'!C16</f>
        <v>NA</v>
      </c>
      <c r="E16" s="23">
        <f>'ERPs by country'!D22</f>
        <v>5.5344939912038545E-2</v>
      </c>
      <c r="F16" s="12">
        <f>'ERPs by country'!E22</f>
        <v>0.10672501428150497</v>
      </c>
      <c r="G16" s="16">
        <f>'ERPs by country'!F22</f>
        <v>6.4325014281504972E-2</v>
      </c>
      <c r="H16" s="16">
        <f>'Country Tax Rates'!C16</f>
        <v>0.18</v>
      </c>
      <c r="I16" s="17" t="str">
        <f>VLOOKUP(A16,'Regional lookup table'!$A$2:$B$161,2)</f>
        <v>Eastern Europe &amp; Russia</v>
      </c>
    </row>
    <row r="17" spans="1:9" ht="16">
      <c r="A17" s="10" t="str">
        <f>'Sovereign Ratings (Moody''s,S&amp;P)'!A17</f>
        <v>Belgium</v>
      </c>
      <c r="B17" s="138">
        <f>'Country GDP'!B17</f>
        <v>515.33199999999999</v>
      </c>
      <c r="C17" s="11" t="str">
        <f>'Sovereign Ratings (Moody''s,S&amp;P)'!C17</f>
        <v>Aa3</v>
      </c>
      <c r="D17" s="13">
        <f>'10-year CDS Spreads'!C17</f>
        <v>2.0999999999999999E-3</v>
      </c>
      <c r="E17" s="23">
        <f>'ERPs by country'!D23</f>
        <v>5.1430110597872171E-3</v>
      </c>
      <c r="F17" s="12">
        <f>'ERPs by country'!E23</f>
        <v>4.8377497859723763E-2</v>
      </c>
      <c r="G17" s="16">
        <f>'ERPs by country'!F23</f>
        <v>5.9774978597237644E-3</v>
      </c>
      <c r="H17" s="16">
        <f>'Country Tax Rates'!C17</f>
        <v>0.25</v>
      </c>
      <c r="I17" s="17" t="str">
        <f>VLOOKUP(A17,'Regional lookup table'!$A$2:$B$161,2)</f>
        <v>Western Europe</v>
      </c>
    </row>
    <row r="18" spans="1:9" ht="16">
      <c r="A18" s="10" t="str">
        <f>'Sovereign Ratings (Moody''s,S&amp;P)'!A18</f>
        <v>Belize</v>
      </c>
      <c r="B18" s="138">
        <f>'Country GDP'!B18</f>
        <v>1.764</v>
      </c>
      <c r="C18" s="11" t="str">
        <f>'Sovereign Ratings (Moody''s,S&amp;P)'!C18</f>
        <v>Caa3</v>
      </c>
      <c r="D18" s="13" t="str">
        <f>'10-year CDS Spreads'!C18</f>
        <v>NA</v>
      </c>
      <c r="E18" s="23">
        <f>'ERPs by country'!D24</f>
        <v>8.5051585884242345E-2</v>
      </c>
      <c r="F18" s="12">
        <f>'ERPs by country'!E24</f>
        <v>0.14125175565035719</v>
      </c>
      <c r="G18" s="16">
        <f>'ERPs by country'!F24</f>
        <v>9.8851755650357198E-2</v>
      </c>
      <c r="H18" s="16">
        <f>'Country Tax Rates'!C18</f>
        <v>0.27179999999999999</v>
      </c>
      <c r="I18" s="17" t="str">
        <f>VLOOKUP(A18,'Regional lookup table'!$A$2:$B$161,2)</f>
        <v>Central and South America</v>
      </c>
    </row>
    <row r="19" spans="1:9" ht="16">
      <c r="A19" s="10" t="str">
        <f>'Sovereign Ratings (Moody''s,S&amp;P)'!A19</f>
        <v>Benin</v>
      </c>
      <c r="B19" s="138">
        <f>'Country GDP'!B19</f>
        <v>15.651999999999999</v>
      </c>
      <c r="C19" s="11" t="str">
        <f>'Sovereign Ratings (Moody''s,S&amp;P)'!C19</f>
        <v>B1</v>
      </c>
      <c r="D19" s="13" t="str">
        <f>'10-year CDS Spreads'!C19</f>
        <v>NA</v>
      </c>
      <c r="E19" s="23">
        <f>'ERPs by country'!D25</f>
        <v>3.8303918191549574E-2</v>
      </c>
      <c r="F19" s="12">
        <f>'ERPs by country'!E25</f>
        <v>8.6918976597047143E-2</v>
      </c>
      <c r="G19" s="16">
        <f>'ERPs by country'!F25</f>
        <v>4.451897659704715E-2</v>
      </c>
      <c r="H19" s="16">
        <f>'Country Tax Rates'!C19</f>
        <v>0.3</v>
      </c>
      <c r="I19" s="17" t="str">
        <f>VLOOKUP(A19,'Regional lookup table'!$A$2:$B$161,2)</f>
        <v>Africa</v>
      </c>
    </row>
    <row r="20" spans="1:9" ht="16">
      <c r="A20" s="10" t="str">
        <f>'Sovereign Ratings (Moody''s,S&amp;P)'!A20</f>
        <v>Bermuda</v>
      </c>
      <c r="B20" s="138">
        <f>'Country GDP'!B20</f>
        <v>7.484</v>
      </c>
      <c r="C20" s="11" t="str">
        <f>'Sovereign Ratings (Moody''s,S&amp;P)'!C20</f>
        <v>A2</v>
      </c>
      <c r="D20" s="13" t="str">
        <f>'10-year CDS Spreads'!C20</f>
        <v>NA</v>
      </c>
      <c r="E20" s="23">
        <f>'ERPs by country'!D26</f>
        <v>7.2155677555223634E-3</v>
      </c>
      <c r="F20" s="12">
        <f>'ERPs by country'!E26</f>
        <v>5.0786340280806475E-2</v>
      </c>
      <c r="G20" s="16">
        <f>'ERPs by country'!F26</f>
        <v>8.3863402808064744E-3</v>
      </c>
      <c r="H20" s="16">
        <f>'Country Tax Rates'!C20</f>
        <v>0</v>
      </c>
      <c r="I20" s="17" t="str">
        <f>VLOOKUP(A20,'Regional lookup table'!$A$2:$B$161,2)</f>
        <v>Caribbean</v>
      </c>
    </row>
    <row r="21" spans="1:9" ht="16">
      <c r="A21" s="10" t="str">
        <f>'Sovereign Ratings (Moody''s,S&amp;P)'!A21</f>
        <v>Bolivia</v>
      </c>
      <c r="B21" s="138">
        <f>'Country GDP'!B21</f>
        <v>36.689</v>
      </c>
      <c r="C21" s="11" t="str">
        <f>'Sovereign Ratings (Moody''s,S&amp;P)'!C21</f>
        <v>B2</v>
      </c>
      <c r="D21" s="13" t="str">
        <f>'10-year CDS Spreads'!C21</f>
        <v>NA</v>
      </c>
      <c r="E21" s="23">
        <f>'ERPs by country'!D27</f>
        <v>4.6824429051794063E-2</v>
      </c>
      <c r="F21" s="12">
        <f>'ERPs by country'!E27</f>
        <v>9.6821995439276054E-2</v>
      </c>
      <c r="G21" s="16">
        <f>'ERPs by country'!F27</f>
        <v>5.4421995439276061E-2</v>
      </c>
      <c r="H21" s="16">
        <f>'Country Tax Rates'!C21</f>
        <v>0.25</v>
      </c>
      <c r="I21" s="17" t="str">
        <f>VLOOKUP(A21,'Regional lookup table'!$A$2:$B$161,2)</f>
        <v>Central and South America</v>
      </c>
    </row>
    <row r="22" spans="1:9" ht="16">
      <c r="A22" s="10" t="str">
        <f>'Sovereign Ratings (Moody''s,S&amp;P)'!A22</f>
        <v>Bosnia and Herzegovina</v>
      </c>
      <c r="B22" s="138">
        <f>'Country GDP'!B22</f>
        <v>19.788</v>
      </c>
      <c r="C22" s="11" t="str">
        <f>'Sovereign Ratings (Moody''s,S&amp;P)'!C22</f>
        <v>B3</v>
      </c>
      <c r="D22" s="13" t="str">
        <f>'10-year CDS Spreads'!C22</f>
        <v>NA</v>
      </c>
      <c r="E22" s="23">
        <f>'ERPs by country'!D28</f>
        <v>5.5344939912038545E-2</v>
      </c>
      <c r="F22" s="12">
        <f>'ERPs by country'!E28</f>
        <v>0.10672501428150497</v>
      </c>
      <c r="G22" s="16">
        <f>'ERPs by country'!F28</f>
        <v>6.4325014281504972E-2</v>
      </c>
      <c r="H22" s="16">
        <f>'Country Tax Rates'!C22</f>
        <v>0.1</v>
      </c>
      <c r="I22" s="17" t="str">
        <f>VLOOKUP(A22,'Regional lookup table'!$A$2:$B$161,2)</f>
        <v>Eastern Europe &amp; Russia</v>
      </c>
    </row>
    <row r="23" spans="1:9" ht="16">
      <c r="A23" s="10" t="str">
        <f>'Sovereign Ratings (Moody''s,S&amp;P)'!A23</f>
        <v>Botswana</v>
      </c>
      <c r="B23" s="138">
        <f>'Country GDP'!B23</f>
        <v>15.782</v>
      </c>
      <c r="C23" s="11" t="str">
        <f>'Sovereign Ratings (Moody''s,S&amp;P)'!C23</f>
        <v>A3</v>
      </c>
      <c r="D23" s="13" t="str">
        <f>'10-year CDS Spreads'!C23</f>
        <v>NA</v>
      </c>
      <c r="E23" s="23">
        <f>'ERPs by country'!D29</f>
        <v>1.0209260760473134E-2</v>
      </c>
      <c r="F23" s="12">
        <f>'ERPs by country'!E29</f>
        <v>5.4265779333481506E-2</v>
      </c>
      <c r="G23" s="16">
        <f>'ERPs by country'!F29</f>
        <v>1.1865779333481504E-2</v>
      </c>
      <c r="H23" s="16">
        <f>'Country Tax Rates'!C23</f>
        <v>0.22</v>
      </c>
      <c r="I23" s="17" t="str">
        <f>VLOOKUP(A23,'Regional lookup table'!$A$2:$B$161,2)</f>
        <v>Africa</v>
      </c>
    </row>
    <row r="24" spans="1:9" ht="16">
      <c r="A24" s="10" t="str">
        <f>'Sovereign Ratings (Moody''s,S&amp;P)'!A24</f>
        <v>Brazil</v>
      </c>
      <c r="B24" s="138">
        <f>'Country GDP'!B24</f>
        <v>1444.7329999999999</v>
      </c>
      <c r="C24" s="11" t="str">
        <f>'Sovereign Ratings (Moody''s,S&amp;P)'!C24</f>
        <v>Ba2</v>
      </c>
      <c r="D24" s="13">
        <f>'10-year CDS Spreads'!C24</f>
        <v>2.9100000000000001E-2</v>
      </c>
      <c r="E24" s="23">
        <f>'ERPs by country'!D30</f>
        <v>2.5561532580733477E-2</v>
      </c>
      <c r="F24" s="12">
        <f>'ERPs by country'!E30</f>
        <v>7.2109056526686768E-2</v>
      </c>
      <c r="G24" s="16">
        <f>'ERPs by country'!F30</f>
        <v>2.9709056526686765E-2</v>
      </c>
      <c r="H24" s="16">
        <f>'Country Tax Rates'!C24</f>
        <v>0.34</v>
      </c>
      <c r="I24" s="17" t="str">
        <f>VLOOKUP(A24,'Regional lookup table'!$A$2:$B$161,2)</f>
        <v>Central and South America</v>
      </c>
    </row>
    <row r="25" spans="1:9" ht="16">
      <c r="A25" s="10" t="str">
        <f>'Sovereign Ratings (Moody''s,S&amp;P)'!A25</f>
        <v>Bulgaria</v>
      </c>
      <c r="B25" s="138">
        <f>'Country GDP'!B25</f>
        <v>69.105000000000004</v>
      </c>
      <c r="C25" s="11" t="str">
        <f>'Sovereign Ratings (Moody''s,S&amp;P)'!C25</f>
        <v>Baa1</v>
      </c>
      <c r="D25" s="13">
        <f>'10-year CDS Spreads'!C25</f>
        <v>8.0999999999999996E-3</v>
      </c>
      <c r="E25" s="23">
        <f>'ERPs by country'!D31</f>
        <v>1.358676056093041E-2</v>
      </c>
      <c r="F25" s="12">
        <f>'ERPs by country'!E31</f>
        <v>5.8191300315986662E-2</v>
      </c>
      <c r="G25" s="16">
        <f>'ERPs by country'!F31</f>
        <v>1.5791300315986662E-2</v>
      </c>
      <c r="H25" s="16">
        <f>'Country Tax Rates'!C25</f>
        <v>0.1</v>
      </c>
      <c r="I25" s="17" t="str">
        <f>VLOOKUP(A25,'Regional lookup table'!$A$2:$B$161,2)</f>
        <v>Eastern Europe &amp; Russia</v>
      </c>
    </row>
    <row r="26" spans="1:9" ht="16">
      <c r="A26" s="10" t="str">
        <f>'Sovereign Ratings (Moody''s,S&amp;P)'!A26</f>
        <v>Burkina Faso</v>
      </c>
      <c r="B26" s="138">
        <f>'Country GDP'!B26</f>
        <v>17.369</v>
      </c>
      <c r="C26" s="11" t="str">
        <f>'Sovereign Ratings (Moody''s,S&amp;P)'!C26</f>
        <v>B2</v>
      </c>
      <c r="D26" s="13" t="str">
        <f>'10-year CDS Spreads'!C26</f>
        <v>NA</v>
      </c>
      <c r="E26" s="23">
        <f>'ERPs by country'!D32</f>
        <v>4.6824429051794063E-2</v>
      </c>
      <c r="F26" s="12">
        <f>'ERPs by country'!E32</f>
        <v>9.6821995439276054E-2</v>
      </c>
      <c r="G26" s="16">
        <f>'ERPs by country'!F32</f>
        <v>5.4421995439276061E-2</v>
      </c>
      <c r="H26" s="16">
        <f>'Country Tax Rates'!C26</f>
        <v>0.28000000000000003</v>
      </c>
      <c r="I26" s="17" t="str">
        <f>VLOOKUP(A26,'Regional lookup table'!$A$2:$B$161,2)</f>
        <v>Africa</v>
      </c>
    </row>
    <row r="27" spans="1:9" ht="16">
      <c r="A27" s="10" t="str">
        <f>'Sovereign Ratings (Moody''s,S&amp;P)'!A27</f>
        <v>Cambodia</v>
      </c>
      <c r="B27" s="138">
        <f>'Country GDP'!B27</f>
        <v>25.291</v>
      </c>
      <c r="C27" s="11" t="str">
        <f>'Sovereign Ratings (Moody''s,S&amp;P)'!C27</f>
        <v>B2</v>
      </c>
      <c r="D27" s="13" t="str">
        <f>'10-year CDS Spreads'!C27</f>
        <v>NA</v>
      </c>
      <c r="E27" s="23">
        <f>'ERPs by country'!D33</f>
        <v>4.6824429051794063E-2</v>
      </c>
      <c r="F27" s="12">
        <f>'ERPs by country'!E33</f>
        <v>9.6821995439276054E-2</v>
      </c>
      <c r="G27" s="16">
        <f>'ERPs by country'!F33</f>
        <v>5.4421995439276061E-2</v>
      </c>
      <c r="H27" s="16">
        <f>'Country Tax Rates'!C27</f>
        <v>0.2</v>
      </c>
      <c r="I27" s="17" t="str">
        <f>VLOOKUP(A27,'Regional lookup table'!$A$2:$B$161,2)</f>
        <v>Asia</v>
      </c>
    </row>
    <row r="28" spans="1:9" ht="16">
      <c r="A28" s="10" t="str">
        <f>'Sovereign Ratings (Moody''s,S&amp;P)'!A28</f>
        <v>Cameroon</v>
      </c>
      <c r="B28" s="138">
        <f>'Country GDP'!B28</f>
        <v>39.802</v>
      </c>
      <c r="C28" s="11" t="str">
        <f>'Sovereign Ratings (Moody''s,S&amp;P)'!C28</f>
        <v>B2</v>
      </c>
      <c r="D28" s="13">
        <f>'10-year CDS Spreads'!C28</f>
        <v>3.56E-2</v>
      </c>
      <c r="E28" s="23">
        <f>'ERPs by country'!D34</f>
        <v>4.6824429051794063E-2</v>
      </c>
      <c r="F28" s="12">
        <f>'ERPs by country'!E34</f>
        <v>9.6821995439276054E-2</v>
      </c>
      <c r="G28" s="16">
        <f>'ERPs by country'!F34</f>
        <v>5.4421995439276061E-2</v>
      </c>
      <c r="H28" s="16">
        <f>'Country Tax Rates'!C28</f>
        <v>0.33</v>
      </c>
      <c r="I28" s="17" t="str">
        <f>VLOOKUP(A28,'Regional lookup table'!$A$2:$B$161,2)</f>
        <v>Africa</v>
      </c>
    </row>
    <row r="29" spans="1:9" ht="16">
      <c r="A29" s="10" t="str">
        <f>'Sovereign Ratings (Moody''s,S&amp;P)'!A29</f>
        <v>Canada</v>
      </c>
      <c r="B29" s="138">
        <f>'Country GDP'!B29</f>
        <v>1643.4079999999999</v>
      </c>
      <c r="C29" s="11" t="str">
        <f>'Sovereign Ratings (Moody''s,S&amp;P)'!C29</f>
        <v>Aaa</v>
      </c>
      <c r="D29" s="13">
        <f>'10-year CDS Spreads'!C29</f>
        <v>2.8E-3</v>
      </c>
      <c r="E29" s="23">
        <f>'ERPs by country'!D35</f>
        <v>0</v>
      </c>
      <c r="F29" s="12">
        <f>'ERPs by country'!E35</f>
        <v>4.24E-2</v>
      </c>
      <c r="G29" s="16">
        <f>'ERPs by country'!F35</f>
        <v>0</v>
      </c>
      <c r="H29" s="16">
        <f>'Country Tax Rates'!C29</f>
        <v>0.26500000000000001</v>
      </c>
      <c r="I29" s="17" t="str">
        <f>VLOOKUP(A29,'Regional lookup table'!$A$2:$B$161,2)</f>
        <v>North America</v>
      </c>
    </row>
    <row r="30" spans="1:9" ht="16">
      <c r="A30" s="10" t="str">
        <f>'Sovereign Ratings (Moody''s,S&amp;P)'!A30</f>
        <v>Cape Verde</v>
      </c>
      <c r="B30" s="138">
        <f>'Country GDP'!B30</f>
        <v>1.7</v>
      </c>
      <c r="C30" s="11" t="str">
        <f>'Sovereign Ratings (Moody''s,S&amp;P)'!C30</f>
        <v>B3</v>
      </c>
      <c r="D30" s="13" t="str">
        <f>'10-year CDS Spreads'!C30</f>
        <v>NA</v>
      </c>
      <c r="E30" s="23">
        <f>'ERPs by country'!D36</f>
        <v>5.5344939912038545E-2</v>
      </c>
      <c r="F30" s="12">
        <f>'ERPs by country'!E36</f>
        <v>0.10672501428150497</v>
      </c>
      <c r="G30" s="16">
        <f>'ERPs by country'!F36</f>
        <v>6.4325014281504972E-2</v>
      </c>
      <c r="H30" s="16">
        <f>'Country Tax Rates'!C30</f>
        <v>0</v>
      </c>
      <c r="I30" s="17" t="str">
        <f>VLOOKUP(A30,'Regional lookup table'!$A$2:$B$161,2)</f>
        <v>Africa</v>
      </c>
    </row>
    <row r="31" spans="1:9" ht="16">
      <c r="A31" s="10" t="str">
        <f>'Sovereign Ratings (Moody''s,S&amp;P)'!A31</f>
        <v>Cayman Islands</v>
      </c>
      <c r="B31" s="138">
        <f>'Country GDP'!B31</f>
        <v>5.9359999999999999</v>
      </c>
      <c r="C31" s="11" t="str">
        <f>'Sovereign Ratings (Moody''s,S&amp;P)'!C31</f>
        <v>Aa3</v>
      </c>
      <c r="D31" s="13" t="str">
        <f>'10-year CDS Spreads'!C31</f>
        <v>NA</v>
      </c>
      <c r="E31" s="23">
        <f>'ERPs by country'!D37</f>
        <v>5.1430110597872171E-3</v>
      </c>
      <c r="F31" s="12">
        <f>'ERPs by country'!E37</f>
        <v>4.8377497859723763E-2</v>
      </c>
      <c r="G31" s="16">
        <f>'ERPs by country'!F37</f>
        <v>5.9774978597237644E-3</v>
      </c>
      <c r="H31" s="16">
        <f>'Country Tax Rates'!C31</f>
        <v>0</v>
      </c>
      <c r="I31" s="17" t="str">
        <f>VLOOKUP(A31,'Regional lookup table'!$A$2:$B$161,2)</f>
        <v>Caribbean</v>
      </c>
    </row>
    <row r="32" spans="1:9" ht="16">
      <c r="A32" s="10" t="str">
        <f>'Sovereign Ratings (Moody''s,S&amp;P)'!A32</f>
        <v>Chile</v>
      </c>
      <c r="B32" s="138">
        <f>'Country GDP'!B32</f>
        <v>252.94</v>
      </c>
      <c r="C32" s="11" t="str">
        <f>'Sovereign Ratings (Moody''s,S&amp;P)'!C32</f>
        <v>A1</v>
      </c>
      <c r="D32" s="13">
        <f>'10-year CDS Spreads'!C32</f>
        <v>1.2500000000000001E-2</v>
      </c>
      <c r="E32" s="23">
        <f>'ERPs by country'!D38</f>
        <v>5.987386009901537E-3</v>
      </c>
      <c r="F32" s="12">
        <f>'ERPs by country'!E38</f>
        <v>4.9358878105350057E-2</v>
      </c>
      <c r="G32" s="16">
        <f>'ERPs by country'!F38</f>
        <v>6.958878105350055E-3</v>
      </c>
      <c r="H32" s="16">
        <f>'Country Tax Rates'!C32</f>
        <v>0.27</v>
      </c>
      <c r="I32" s="17" t="str">
        <f>VLOOKUP(A32,'Regional lookup table'!$A$2:$B$161,2)</f>
        <v>Central and South America</v>
      </c>
    </row>
    <row r="33" spans="1:9" ht="16">
      <c r="A33" s="10" t="str">
        <f>'Sovereign Ratings (Moody''s,S&amp;P)'!A33</f>
        <v>China</v>
      </c>
      <c r="B33" s="138">
        <f>'Country GDP'!B33</f>
        <v>14722.731</v>
      </c>
      <c r="C33" s="11" t="str">
        <f>'Sovereign Ratings (Moody''s,S&amp;P)'!C33</f>
        <v>A1</v>
      </c>
      <c r="D33" s="13">
        <f>'10-year CDS Spreads'!C33</f>
        <v>7.4000000000000003E-3</v>
      </c>
      <c r="E33" s="23">
        <f>'ERPs by country'!D39</f>
        <v>5.987386009901537E-3</v>
      </c>
      <c r="F33" s="12">
        <f>'ERPs by country'!E39</f>
        <v>4.9358878105350057E-2</v>
      </c>
      <c r="G33" s="16">
        <f>'ERPs by country'!F39</f>
        <v>6.958878105350055E-3</v>
      </c>
      <c r="H33" s="16">
        <f>'Country Tax Rates'!C33</f>
        <v>0.25</v>
      </c>
      <c r="I33" s="17" t="str">
        <f>VLOOKUP(A33,'Regional lookup table'!$A$2:$B$161,2)</f>
        <v>Asia</v>
      </c>
    </row>
    <row r="34" spans="1:9" ht="16">
      <c r="A34" s="10" t="str">
        <f>'Sovereign Ratings (Moody''s,S&amp;P)'!A34</f>
        <v>Colombia</v>
      </c>
      <c r="B34" s="138">
        <f>'Country GDP'!B34</f>
        <v>271.34699999999998</v>
      </c>
      <c r="C34" s="11" t="str">
        <f>'Sovereign Ratings (Moody''s,S&amp;P)'!C34</f>
        <v>Baa2</v>
      </c>
      <c r="D34" s="13">
        <f>'10-year CDS Spreads'!C34</f>
        <v>2.7699999999999999E-2</v>
      </c>
      <c r="E34" s="23">
        <f>'ERPs by country'!D40</f>
        <v>1.6196646770374669E-2</v>
      </c>
      <c r="F34" s="12">
        <f>'ERPs by country'!E40</f>
        <v>6.1224657438831556E-2</v>
      </c>
      <c r="G34" s="16">
        <f>'ERPs by country'!F40</f>
        <v>1.8824657438831559E-2</v>
      </c>
      <c r="H34" s="16">
        <f>'Country Tax Rates'!C34</f>
        <v>0.31</v>
      </c>
      <c r="I34" s="17" t="str">
        <f>VLOOKUP(A34,'Regional lookup table'!$A$2:$B$161,2)</f>
        <v>Central and South America</v>
      </c>
    </row>
    <row r="35" spans="1:9" ht="16">
      <c r="A35" s="10" t="str">
        <f>'Sovereign Ratings (Moody''s,S&amp;P)'!A35</f>
        <v>Congo (Democratic Republic of)</v>
      </c>
      <c r="B35" s="138">
        <f>'Country GDP'!B35</f>
        <v>49.87</v>
      </c>
      <c r="C35" s="11" t="str">
        <f>'Sovereign Ratings (Moody''s,S&amp;P)'!C35</f>
        <v>Caa1</v>
      </c>
      <c r="D35" s="13" t="str">
        <f>'10-year CDS Spreads'!C35</f>
        <v>NA</v>
      </c>
      <c r="E35" s="23">
        <f>'ERPs by country'!D41</f>
        <v>6.3788689413181762E-2</v>
      </c>
      <c r="F35" s="12">
        <f>'ERPs by country'!E41</f>
        <v>0.11653881673776789</v>
      </c>
      <c r="G35" s="16">
        <f>'ERPs by country'!F41</f>
        <v>7.4138816737767899E-2</v>
      </c>
      <c r="H35" s="16">
        <f>'Country Tax Rates'!C35</f>
        <v>0.3</v>
      </c>
      <c r="I35" s="17" t="str">
        <f>VLOOKUP(A35,'Regional lookup table'!$A$2:$B$161,2)</f>
        <v>Africa</v>
      </c>
    </row>
    <row r="36" spans="1:9" ht="16">
      <c r="A36" s="10" t="str">
        <f>'Sovereign Ratings (Moody''s,S&amp;P)'!A36</f>
        <v>Congo (Republic of)</v>
      </c>
      <c r="B36" s="138">
        <f>'Country GDP'!B36</f>
        <v>10.89</v>
      </c>
      <c r="C36" s="11" t="str">
        <f>'Sovereign Ratings (Moody''s,S&amp;P)'!C36</f>
        <v>Caa2</v>
      </c>
      <c r="D36" s="13" t="str">
        <f>'10-year CDS Spreads'!C36</f>
        <v>NA</v>
      </c>
      <c r="E36" s="23">
        <f>'ERPs by country'!D42</f>
        <v>7.6607836383099148E-2</v>
      </c>
      <c r="F36" s="12">
        <f>'ERPs by country'!E42</f>
        <v>0.13143795319409429</v>
      </c>
      <c r="G36" s="16">
        <f>'ERPs by country'!F42</f>
        <v>8.9037953194094299E-2</v>
      </c>
      <c r="H36" s="16">
        <f>'Country Tax Rates'!C36</f>
        <v>0.28000000000000003</v>
      </c>
      <c r="I36" s="17" t="str">
        <f>VLOOKUP(A36,'Regional lookup table'!$A$2:$B$161,2)</f>
        <v>Africa</v>
      </c>
    </row>
    <row r="37" spans="1:9" ht="16">
      <c r="A37" s="10" t="str">
        <f>'Sovereign Ratings (Moody''s,S&amp;P)'!A37</f>
        <v>Cook Islands</v>
      </c>
      <c r="B37" s="138">
        <f>'Country GDP'!B37</f>
        <v>0.38400000000000001</v>
      </c>
      <c r="C37" s="11" t="str">
        <f>'Sovereign Ratings (Moody''s,S&amp;P)'!C37</f>
        <v>B1</v>
      </c>
      <c r="D37" s="13" t="str">
        <f>'10-year CDS Spreads'!C37</f>
        <v>NA</v>
      </c>
      <c r="E37" s="23">
        <f>'ERPs by country'!D43</f>
        <v>3.8303918191549574E-2</v>
      </c>
      <c r="F37" s="12">
        <f>'ERPs by country'!E43</f>
        <v>8.6918976597047143E-2</v>
      </c>
      <c r="G37" s="16">
        <f>'ERPs by country'!F43</f>
        <v>4.451897659704715E-2</v>
      </c>
      <c r="H37" s="16">
        <f>'Country Tax Rates'!C37</f>
        <v>0.2843</v>
      </c>
      <c r="I37" s="17" t="str">
        <f>VLOOKUP(A37,'Regional lookup table'!$A$2:$B$161,2)</f>
        <v>Australia &amp; New Zealand</v>
      </c>
    </row>
    <row r="38" spans="1:9" ht="16">
      <c r="A38" s="10" t="str">
        <f>'Sovereign Ratings (Moody''s,S&amp;P)'!A38</f>
        <v>Costa Rica</v>
      </c>
      <c r="B38" s="138">
        <f>'Country GDP'!B38</f>
        <v>61.521000000000001</v>
      </c>
      <c r="C38" s="11" t="str">
        <f>'Sovereign Ratings (Moody''s,S&amp;P)'!C38</f>
        <v>B2</v>
      </c>
      <c r="D38" s="13">
        <f>'10-year CDS Spreads'!C38</f>
        <v>3.9199999999999999E-2</v>
      </c>
      <c r="E38" s="23">
        <f>'ERPs by country'!D44</f>
        <v>4.6824429051794063E-2</v>
      </c>
      <c r="F38" s="12">
        <f>'ERPs by country'!E44</f>
        <v>9.6821995439276054E-2</v>
      </c>
      <c r="G38" s="16">
        <f>'ERPs by country'!F44</f>
        <v>5.4421995439276061E-2</v>
      </c>
      <c r="H38" s="16">
        <f>'Country Tax Rates'!C38</f>
        <v>0.3</v>
      </c>
      <c r="I38" s="17" t="str">
        <f>VLOOKUP(A38,'Regional lookup table'!$A$2:$B$161,2)</f>
        <v>Central and South America</v>
      </c>
    </row>
    <row r="39" spans="1:9" ht="16">
      <c r="A39" s="10" t="str">
        <f>'Sovereign Ratings (Moody''s,S&amp;P)'!A39</f>
        <v>Côte d'Ivoire</v>
      </c>
      <c r="B39" s="138">
        <f>'Country GDP'!B39</f>
        <v>61.348999999999997</v>
      </c>
      <c r="C39" s="11" t="str">
        <f>'Sovereign Ratings (Moody''s,S&amp;P)'!C39</f>
        <v>Ba3</v>
      </c>
      <c r="D39" s="13" t="str">
        <f>'10-year CDS Spreads'!C39</f>
        <v>NA</v>
      </c>
      <c r="E39" s="23">
        <f>'ERPs by country'!D45</f>
        <v>3.0627782281419401E-2</v>
      </c>
      <c r="F39" s="12">
        <f>'ERPs by country'!E45</f>
        <v>7.7997338000444505E-2</v>
      </c>
      <c r="G39" s="16">
        <f>'ERPs by country'!F45</f>
        <v>3.5597338000444512E-2</v>
      </c>
      <c r="H39" s="16">
        <f>'Country Tax Rates'!C39</f>
        <v>0.25</v>
      </c>
      <c r="I39" s="17" t="str">
        <f>VLOOKUP(A39,'Regional lookup table'!$A$2:$B$161,2)</f>
        <v>Africa</v>
      </c>
    </row>
    <row r="40" spans="1:9" ht="16">
      <c r="A40" s="10" t="str">
        <f>'Sovereign Ratings (Moody''s,S&amp;P)'!A40</f>
        <v>Croatia</v>
      </c>
      <c r="B40" s="138">
        <f>'Country GDP'!B40</f>
        <v>55.966999999999999</v>
      </c>
      <c r="C40" s="11" t="str">
        <f>'Sovereign Ratings (Moody''s,S&amp;P)'!C40</f>
        <v>Ba1</v>
      </c>
      <c r="D40" s="13">
        <f>'10-year CDS Spreads'!C40</f>
        <v>1.11E-2</v>
      </c>
      <c r="E40" s="23">
        <f>'ERPs by country'!D46</f>
        <v>2.1262896471060586E-2</v>
      </c>
      <c r="F40" s="12">
        <f>'ERPs by country'!E46</f>
        <v>6.7112938912589293E-2</v>
      </c>
      <c r="G40" s="16">
        <f>'ERPs by country'!F46</f>
        <v>2.47129389125893E-2</v>
      </c>
      <c r="H40" s="16">
        <f>'Country Tax Rates'!C40</f>
        <v>0.18</v>
      </c>
      <c r="I40" s="17" t="str">
        <f>VLOOKUP(A40,'Regional lookup table'!$A$2:$B$161,2)</f>
        <v>Eastern Europe &amp; Russia</v>
      </c>
    </row>
    <row r="41" spans="1:9" ht="16">
      <c r="A41" s="10" t="str">
        <f>'Sovereign Ratings (Moody''s,S&amp;P)'!A41</f>
        <v>Cuba</v>
      </c>
      <c r="B41" s="138">
        <f>'Country GDP'!B41</f>
        <v>103.131</v>
      </c>
      <c r="C41" s="11" t="str">
        <f>'Sovereign Ratings (Moody''s,S&amp;P)'!C41</f>
        <v>Ca</v>
      </c>
      <c r="D41" s="13" t="str">
        <f>'10-year CDS Spreads'!C41</f>
        <v>NA</v>
      </c>
      <c r="E41" s="23">
        <f>'ERPs by country'!D47</f>
        <v>0.10209260760473131</v>
      </c>
      <c r="F41" s="12">
        <f>'ERPs by country'!E47</f>
        <v>0.16105779333481501</v>
      </c>
      <c r="G41" s="16">
        <f>'ERPs by country'!F47</f>
        <v>0.11865779333481502</v>
      </c>
      <c r="H41" s="16">
        <f>'Country Tax Rates'!C41</f>
        <v>0.27179999999999999</v>
      </c>
      <c r="I41" s="17" t="str">
        <f>VLOOKUP(A41,'Regional lookup table'!$A$2:$B$161,2)</f>
        <v>Caribbean</v>
      </c>
    </row>
    <row r="42" spans="1:9" ht="16">
      <c r="A42" s="10" t="str">
        <f>'Sovereign Ratings (Moody''s,S&amp;P)'!A42</f>
        <v>Curacao</v>
      </c>
      <c r="B42" s="138">
        <f>'Country GDP'!B42</f>
        <v>3.1</v>
      </c>
      <c r="C42" s="11" t="str">
        <f>'Sovereign Ratings (Moody''s,S&amp;P)'!C42</f>
        <v>Baa2</v>
      </c>
      <c r="D42" s="13" t="str">
        <f>'10-year CDS Spreads'!C42</f>
        <v>NA</v>
      </c>
      <c r="E42" s="23">
        <f>'ERPs by country'!D48</f>
        <v>1.6196646770374669E-2</v>
      </c>
      <c r="F42" s="12">
        <f>'ERPs by country'!E48</f>
        <v>6.1224657438831556E-2</v>
      </c>
      <c r="G42" s="16">
        <f>'ERPs by country'!F48</f>
        <v>1.8824657438831559E-2</v>
      </c>
      <c r="H42" s="16">
        <f>'Country Tax Rates'!C42</f>
        <v>0.22</v>
      </c>
      <c r="I42" s="17" t="str">
        <f>VLOOKUP(A42,'Regional lookup table'!$A$2:$B$161,2)</f>
        <v>Caribbean</v>
      </c>
    </row>
    <row r="43" spans="1:9" ht="16">
      <c r="A43" s="10" t="str">
        <f>'Sovereign Ratings (Moody''s,S&amp;P)'!A43</f>
        <v>Cyprus</v>
      </c>
      <c r="B43" s="138">
        <f>'Country GDP'!B43</f>
        <v>23.803999999999998</v>
      </c>
      <c r="C43" s="11" t="str">
        <f>'Sovereign Ratings (Moody''s,S&amp;P)'!C43</f>
        <v>Ba1</v>
      </c>
      <c r="D43" s="13">
        <f>'10-year CDS Spreads'!C43</f>
        <v>7.4000000000000003E-3</v>
      </c>
      <c r="E43" s="23">
        <f>'ERPs by country'!D49</f>
        <v>2.1262896471060586E-2</v>
      </c>
      <c r="F43" s="12">
        <f>'ERPs by country'!E49</f>
        <v>6.7112938912589293E-2</v>
      </c>
      <c r="G43" s="16">
        <f>'ERPs by country'!F49</f>
        <v>2.47129389125893E-2</v>
      </c>
      <c r="H43" s="16">
        <f>'Country Tax Rates'!C43</f>
        <v>0.125</v>
      </c>
      <c r="I43" s="17" t="str">
        <f>VLOOKUP(A43,'Regional lookup table'!$A$2:$B$161,2)</f>
        <v>Western Europe</v>
      </c>
    </row>
    <row r="44" spans="1:9" ht="16">
      <c r="A44" s="10" t="str">
        <f>'Sovereign Ratings (Moody''s,S&amp;P)'!A44</f>
        <v>Czech Republic</v>
      </c>
      <c r="B44" s="138">
        <f>'Country GDP'!B44</f>
        <v>243.53</v>
      </c>
      <c r="C44" s="11" t="str">
        <f>'Sovereign Ratings (Moody''s,S&amp;P)'!C44</f>
        <v>Aa3</v>
      </c>
      <c r="D44" s="13">
        <f>'10-year CDS Spreads'!C44</f>
        <v>4.7000000000000002E-3</v>
      </c>
      <c r="E44" s="23">
        <f>'ERPs by country'!D50</f>
        <v>5.1430110597872171E-3</v>
      </c>
      <c r="F44" s="12">
        <f>'ERPs by country'!E50</f>
        <v>4.8377497859723763E-2</v>
      </c>
      <c r="G44" s="16">
        <f>'ERPs by country'!F50</f>
        <v>5.9774978597237644E-3</v>
      </c>
      <c r="H44" s="16">
        <f>'Country Tax Rates'!C44</f>
        <v>0.19</v>
      </c>
      <c r="I44" s="17" t="str">
        <f>VLOOKUP(A44,'Regional lookup table'!$A$2:$B$161,2)</f>
        <v>Eastern Europe &amp; Russia</v>
      </c>
    </row>
    <row r="45" spans="1:9" ht="16">
      <c r="A45" s="10" t="str">
        <f>'Sovereign Ratings (Moody''s,S&amp;P)'!A45</f>
        <v>Denmark</v>
      </c>
      <c r="B45" s="138">
        <f>'Country GDP'!B45</f>
        <v>355.18400000000003</v>
      </c>
      <c r="C45" s="11" t="str">
        <f>'Sovereign Ratings (Moody''s,S&amp;P)'!C45</f>
        <v>Aaa</v>
      </c>
      <c r="D45" s="13">
        <f>'10-year CDS Spreads'!C45</f>
        <v>1.5E-3</v>
      </c>
      <c r="E45" s="23">
        <f>'ERPs by country'!D51</f>
        <v>0</v>
      </c>
      <c r="F45" s="12">
        <f>'ERPs by country'!E51</f>
        <v>4.24E-2</v>
      </c>
      <c r="G45" s="16">
        <f>'ERPs by country'!F51</f>
        <v>0</v>
      </c>
      <c r="H45" s="16">
        <f>'Country Tax Rates'!C45</f>
        <v>0.22</v>
      </c>
      <c r="I45" s="17" t="str">
        <f>VLOOKUP(A45,'Regional lookup table'!$A$2:$B$161,2)</f>
        <v>Western Europe</v>
      </c>
    </row>
    <row r="46" spans="1:9" ht="16">
      <c r="A46" s="10" t="str">
        <f>'Sovereign Ratings (Moody''s,S&amp;P)'!A46</f>
        <v>Dominican Republic</v>
      </c>
      <c r="B46" s="138">
        <f>'Country GDP'!B46</f>
        <v>78.844999999999999</v>
      </c>
      <c r="C46" s="11" t="str">
        <f>'Sovereign Ratings (Moody''s,S&amp;P)'!C46</f>
        <v>Ba3</v>
      </c>
      <c r="D46" s="13" t="str">
        <f>'10-year CDS Spreads'!C46</f>
        <v>NA</v>
      </c>
      <c r="E46" s="23">
        <f>'ERPs by country'!D52</f>
        <v>3.0627782281419401E-2</v>
      </c>
      <c r="F46" s="12">
        <f>'ERPs by country'!E52</f>
        <v>7.7997338000444505E-2</v>
      </c>
      <c r="G46" s="16">
        <f>'ERPs by country'!F52</f>
        <v>3.5597338000444512E-2</v>
      </c>
      <c r="H46" s="16">
        <f>'Country Tax Rates'!C46</f>
        <v>0.27</v>
      </c>
      <c r="I46" s="17" t="str">
        <f>VLOOKUP(A46,'Regional lookup table'!$A$2:$B$161,2)</f>
        <v>Caribbean</v>
      </c>
    </row>
    <row r="47" spans="1:9" ht="16">
      <c r="A47" s="10" t="str">
        <f>'Sovereign Ratings (Moody''s,S&amp;P)'!A47</f>
        <v>Ecuador</v>
      </c>
      <c r="B47" s="138">
        <f>'Country GDP'!B47</f>
        <v>98.808000000000007</v>
      </c>
      <c r="C47" s="11" t="str">
        <f>'Sovereign Ratings (Moody''s,S&amp;P)'!C47</f>
        <v>Caa3</v>
      </c>
      <c r="D47" s="13">
        <f>'10-year CDS Spreads'!C47</f>
        <v>7.5700000000000003E-2</v>
      </c>
      <c r="E47" s="23">
        <f>'ERPs by country'!D53</f>
        <v>8.5051585884242345E-2</v>
      </c>
      <c r="F47" s="12">
        <f>'ERPs by country'!E53</f>
        <v>0.14125175565035719</v>
      </c>
      <c r="G47" s="16">
        <f>'ERPs by country'!F53</f>
        <v>9.8851755650357198E-2</v>
      </c>
      <c r="H47" s="16">
        <f>'Country Tax Rates'!C47</f>
        <v>0.25</v>
      </c>
      <c r="I47" s="17" t="str">
        <f>VLOOKUP(A47,'Regional lookup table'!$A$2:$B$161,2)</f>
        <v>Central and South America</v>
      </c>
    </row>
    <row r="48" spans="1:9" ht="16">
      <c r="A48" s="10" t="str">
        <f>'Sovereign Ratings (Moody''s,S&amp;P)'!A48</f>
        <v>Egypt</v>
      </c>
      <c r="B48" s="138">
        <f>'Country GDP'!B48</f>
        <v>363.09</v>
      </c>
      <c r="C48" s="11" t="str">
        <f>'Sovereign Ratings (Moody''s,S&amp;P)'!C48</f>
        <v>B2</v>
      </c>
      <c r="D48" s="13">
        <f>'10-year CDS Spreads'!C48</f>
        <v>5.74E-2</v>
      </c>
      <c r="E48" s="23">
        <f>'ERPs by country'!D54</f>
        <v>4.6824429051794063E-2</v>
      </c>
      <c r="F48" s="12">
        <f>'ERPs by country'!E54</f>
        <v>9.6821995439276054E-2</v>
      </c>
      <c r="G48" s="16">
        <f>'ERPs by country'!F54</f>
        <v>5.4421995439276061E-2</v>
      </c>
      <c r="H48" s="16">
        <f>'Country Tax Rates'!C48</f>
        <v>0.22500000000000001</v>
      </c>
      <c r="I48" s="17" t="str">
        <f>VLOOKUP(A48,'Regional lookup table'!$A$2:$B$161,2)</f>
        <v>Africa</v>
      </c>
    </row>
    <row r="49" spans="1:9" ht="16">
      <c r="A49" s="10" t="str">
        <f>'Sovereign Ratings (Moody''s,S&amp;P)'!A49</f>
        <v>El Salvador</v>
      </c>
      <c r="B49" s="138">
        <f>'Country GDP'!B49</f>
        <v>24.638999999999999</v>
      </c>
      <c r="C49" s="11" t="str">
        <f>'Sovereign Ratings (Moody''s,S&amp;P)'!C49</f>
        <v>Caa1</v>
      </c>
      <c r="D49" s="13">
        <f>'10-year CDS Spreads'!C49</f>
        <v>0.18329999999999999</v>
      </c>
      <c r="E49" s="23">
        <f>'ERPs by country'!D55</f>
        <v>6.3788689413181762E-2</v>
      </c>
      <c r="F49" s="12">
        <f>'ERPs by country'!E55</f>
        <v>0.11653881673776789</v>
      </c>
      <c r="G49" s="16">
        <f>'ERPs by country'!F55</f>
        <v>7.4138816737767899E-2</v>
      </c>
      <c r="H49" s="16">
        <f>'Country Tax Rates'!C49</f>
        <v>0.3</v>
      </c>
      <c r="I49" s="17" t="str">
        <f>VLOOKUP(A49,'Regional lookup table'!$A$2:$B$161,2)</f>
        <v>Central and South America</v>
      </c>
    </row>
    <row r="50" spans="1:9" ht="16">
      <c r="A50" s="10" t="str">
        <f>'Sovereign Ratings (Moody''s,S&amp;P)'!A50</f>
        <v>Estonia</v>
      </c>
      <c r="B50" s="138">
        <f>'Country GDP'!B50</f>
        <v>31.03</v>
      </c>
      <c r="C50" s="11" t="str">
        <f>'Sovereign Ratings (Moody''s,S&amp;P)'!C50</f>
        <v>A1</v>
      </c>
      <c r="D50" s="13">
        <f>'10-year CDS Spreads'!C50</f>
        <v>8.5000000000000006E-3</v>
      </c>
      <c r="E50" s="23">
        <f>'ERPs by country'!D56</f>
        <v>5.987386009901537E-3</v>
      </c>
      <c r="F50" s="12">
        <f>'ERPs by country'!E56</f>
        <v>4.9358878105350057E-2</v>
      </c>
      <c r="G50" s="16">
        <f>'ERPs by country'!F56</f>
        <v>6.958878105350055E-3</v>
      </c>
      <c r="H50" s="16">
        <f>'Country Tax Rates'!C50</f>
        <v>0.2</v>
      </c>
      <c r="I50" s="17" t="str">
        <f>VLOOKUP(A50,'Regional lookup table'!$A$2:$B$161,2)</f>
        <v>Eastern Europe &amp; Russia</v>
      </c>
    </row>
    <row r="51" spans="1:9" ht="16">
      <c r="A51" s="10" t="str">
        <f>'Sovereign Ratings (Moody''s,S&amp;P)'!A51</f>
        <v>Ethiopia</v>
      </c>
      <c r="B51" s="138">
        <f>'Country GDP'!B51</f>
        <v>107.645</v>
      </c>
      <c r="C51" s="11" t="str">
        <f>'Sovereign Ratings (Moody''s,S&amp;P)'!C51</f>
        <v>Caa2</v>
      </c>
      <c r="D51" s="13">
        <f>'10-year CDS Spreads'!C51</f>
        <v>0.20399999999999999</v>
      </c>
      <c r="E51" s="23">
        <f>'ERPs by country'!D57</f>
        <v>7.6607836383099148E-2</v>
      </c>
      <c r="F51" s="12">
        <f>'ERPs by country'!E57</f>
        <v>0.13143795319409429</v>
      </c>
      <c r="G51" s="16">
        <f>'ERPs by country'!F57</f>
        <v>8.9037953194094299E-2</v>
      </c>
      <c r="H51" s="16">
        <f>'Country Tax Rates'!C51</f>
        <v>0.3</v>
      </c>
      <c r="I51" s="17" t="str">
        <f>VLOOKUP(A51,'Regional lookup table'!$A$2:$B$161,2)</f>
        <v>Africa</v>
      </c>
    </row>
    <row r="52" spans="1:9" ht="16">
      <c r="A52" s="10" t="str">
        <f>'Sovereign Ratings (Moody''s,S&amp;P)'!A52</f>
        <v>Fiji</v>
      </c>
      <c r="B52" s="138">
        <f>'Country GDP'!B52</f>
        <v>4.3760000000000003</v>
      </c>
      <c r="C52" s="11" t="str">
        <f>'Sovereign Ratings (Moody''s,S&amp;P)'!C52</f>
        <v>B1</v>
      </c>
      <c r="D52" s="13" t="str">
        <f>'10-year CDS Spreads'!C52</f>
        <v>NA</v>
      </c>
      <c r="E52" s="23">
        <f>'ERPs by country'!D58</f>
        <v>3.8303918191549574E-2</v>
      </c>
      <c r="F52" s="12">
        <f>'ERPs by country'!E58</f>
        <v>8.6918976597047143E-2</v>
      </c>
      <c r="G52" s="16">
        <f>'ERPs by country'!F58</f>
        <v>4.451897659704715E-2</v>
      </c>
      <c r="H52" s="16">
        <f>'Country Tax Rates'!C52</f>
        <v>0.2</v>
      </c>
      <c r="I52" s="17" t="str">
        <f>VLOOKUP(A52,'Regional lookup table'!$A$2:$B$161,2)</f>
        <v>Asia</v>
      </c>
    </row>
    <row r="53" spans="1:9" ht="16">
      <c r="A53" s="10" t="str">
        <f>'Sovereign Ratings (Moody''s,S&amp;P)'!A53</f>
        <v>Finland</v>
      </c>
      <c r="B53" s="138">
        <f>'Country GDP'!B53</f>
        <v>271.23399999999998</v>
      </c>
      <c r="C53" s="11" t="str">
        <f>'Sovereign Ratings (Moody''s,S&amp;P)'!C53</f>
        <v>Aa1</v>
      </c>
      <c r="D53" s="13">
        <f>'10-year CDS Spreads'!C53</f>
        <v>2E-3</v>
      </c>
      <c r="E53" s="23">
        <f>'ERPs by country'!D59</f>
        <v>3.3774998004572764E-3</v>
      </c>
      <c r="F53" s="12">
        <f>'ERPs by country'!E59</f>
        <v>4.6325520982505156E-2</v>
      </c>
      <c r="G53" s="16">
        <f>'ERPs by country'!F59</f>
        <v>3.925520982505158E-3</v>
      </c>
      <c r="H53" s="16">
        <f>'Country Tax Rates'!C53</f>
        <v>0.2</v>
      </c>
      <c r="I53" s="17" t="str">
        <f>VLOOKUP(A53,'Regional lookup table'!$A$2:$B$161,2)</f>
        <v>Western Europe</v>
      </c>
    </row>
    <row r="54" spans="1:9" ht="16">
      <c r="A54" s="10" t="str">
        <f>'Sovereign Ratings (Moody''s,S&amp;P)'!A54</f>
        <v>France</v>
      </c>
      <c r="B54" s="138">
        <f>'Country GDP'!B54</f>
        <v>2603.0039999999999</v>
      </c>
      <c r="C54" s="11" t="str">
        <f>'Sovereign Ratings (Moody''s,S&amp;P)'!C54</f>
        <v>Aa2</v>
      </c>
      <c r="D54" s="13">
        <f>'10-year CDS Spreads'!C54</f>
        <v>3.3999999999999998E-3</v>
      </c>
      <c r="E54" s="23">
        <f>'ERPs by country'!D60</f>
        <v>4.2218747505715949E-3</v>
      </c>
      <c r="F54" s="12">
        <f>'ERPs by country'!E60</f>
        <v>4.730690122813145E-2</v>
      </c>
      <c r="G54" s="16">
        <f>'ERPs by country'!F60</f>
        <v>4.9069012281314477E-3</v>
      </c>
      <c r="H54" s="16">
        <f>'Country Tax Rates'!C54</f>
        <v>0.26500000000000001</v>
      </c>
      <c r="I54" s="17" t="str">
        <f>VLOOKUP(A54,'Regional lookup table'!$A$2:$B$161,2)</f>
        <v>Western Europe</v>
      </c>
    </row>
    <row r="55" spans="1:9" ht="16">
      <c r="A55" s="10" t="str">
        <f>'Sovereign Ratings (Moody''s,S&amp;P)'!A55</f>
        <v>Gabon</v>
      </c>
      <c r="B55" s="138">
        <f>'Country GDP'!B55</f>
        <v>15.593</v>
      </c>
      <c r="C55" s="11" t="str">
        <f>'Sovereign Ratings (Moody''s,S&amp;P)'!C55</f>
        <v>Caa1</v>
      </c>
      <c r="D55" s="13" t="str">
        <f>'10-year CDS Spreads'!C55</f>
        <v>NA</v>
      </c>
      <c r="E55" s="23">
        <f>'ERPs by country'!D61</f>
        <v>6.3788689413181762E-2</v>
      </c>
      <c r="F55" s="12">
        <f>'ERPs by country'!E61</f>
        <v>0.11653881673776789</v>
      </c>
      <c r="G55" s="16">
        <f>'ERPs by country'!F61</f>
        <v>7.4138816737767899E-2</v>
      </c>
      <c r="H55" s="16">
        <f>'Country Tax Rates'!C55</f>
        <v>0.3</v>
      </c>
      <c r="I55" s="17" t="str">
        <f>VLOOKUP(A55,'Regional lookup table'!$A$2:$B$161,2)</f>
        <v>Africa</v>
      </c>
    </row>
    <row r="56" spans="1:9" ht="16">
      <c r="A56" s="10" t="str">
        <f>'Sovereign Ratings (Moody''s,S&amp;P)'!A56</f>
        <v>Georgia</v>
      </c>
      <c r="B56" s="138">
        <f>'Country GDP'!B56</f>
        <v>15.891999999999999</v>
      </c>
      <c r="C56" s="11" t="str">
        <f>'Sovereign Ratings (Moody''s,S&amp;P)'!C56</f>
        <v>Ba2</v>
      </c>
      <c r="D56" s="13" t="str">
        <f>'10-year CDS Spreads'!C56</f>
        <v>NA</v>
      </c>
      <c r="E56" s="23">
        <f>'ERPs by country'!D62</f>
        <v>2.5561532580733477E-2</v>
      </c>
      <c r="F56" s="12">
        <f>'ERPs by country'!E62</f>
        <v>7.2109056526686768E-2</v>
      </c>
      <c r="G56" s="16">
        <f>'ERPs by country'!F62</f>
        <v>2.9709056526686765E-2</v>
      </c>
      <c r="H56" s="16">
        <f>'Country Tax Rates'!C56</f>
        <v>0.15</v>
      </c>
      <c r="I56" s="17" t="str">
        <f>VLOOKUP(A56,'Regional lookup table'!$A$2:$B$161,2)</f>
        <v>Eastern Europe &amp; Russia</v>
      </c>
    </row>
    <row r="57" spans="1:9" ht="16">
      <c r="A57" s="10" t="str">
        <f>'Sovereign Ratings (Moody''s,S&amp;P)'!A57</f>
        <v>Germany</v>
      </c>
      <c r="B57" s="138">
        <f>'Country GDP'!B57</f>
        <v>3806.06</v>
      </c>
      <c r="C57" s="11" t="str">
        <f>'Sovereign Ratings (Moody''s,S&amp;P)'!C57</f>
        <v>Aaa</v>
      </c>
      <c r="D57" s="13">
        <f>'10-year CDS Spreads'!C57</f>
        <v>1.8E-3</v>
      </c>
      <c r="E57" s="23">
        <f>'ERPs by country'!D63</f>
        <v>0</v>
      </c>
      <c r="F57" s="12">
        <f>'ERPs by country'!E63</f>
        <v>4.24E-2</v>
      </c>
      <c r="G57" s="16">
        <f>'ERPs by country'!F63</f>
        <v>0</v>
      </c>
      <c r="H57" s="16">
        <f>'Country Tax Rates'!C57</f>
        <v>0.3</v>
      </c>
      <c r="I57" s="17" t="str">
        <f>VLOOKUP(A57,'Regional lookup table'!$A$2:$B$161,2)</f>
        <v>Western Europe</v>
      </c>
    </row>
    <row r="58" spans="1:9" ht="16">
      <c r="A58" s="10" t="str">
        <f>'Sovereign Ratings (Moody''s,S&amp;P)'!A58</f>
        <v>Ghana</v>
      </c>
      <c r="B58" s="138">
        <f>'Country GDP'!B58</f>
        <v>72.353999999999999</v>
      </c>
      <c r="C58" s="11" t="str">
        <f>'Sovereign Ratings (Moody''s,S&amp;P)'!C58</f>
        <v>B3</v>
      </c>
      <c r="D58" s="13" t="str">
        <f>'10-year CDS Spreads'!C58</f>
        <v>NA</v>
      </c>
      <c r="E58" s="23">
        <f>'ERPs by country'!D64</f>
        <v>5.5344939912038545E-2</v>
      </c>
      <c r="F58" s="12">
        <f>'ERPs by country'!E64</f>
        <v>0.10672501428150497</v>
      </c>
      <c r="G58" s="16">
        <f>'ERPs by country'!F64</f>
        <v>6.4325014281504972E-2</v>
      </c>
      <c r="H58" s="16">
        <f>'Country Tax Rates'!C58</f>
        <v>0.25</v>
      </c>
      <c r="I58" s="17" t="str">
        <f>VLOOKUP(A58,'Regional lookup table'!$A$2:$B$161,2)</f>
        <v>Africa</v>
      </c>
    </row>
    <row r="59" spans="1:9" ht="16">
      <c r="A59" s="10" t="str">
        <f>'Sovereign Ratings (Moody''s,S&amp;P)'!A59</f>
        <v>Greece</v>
      </c>
      <c r="B59" s="138">
        <f>'Country GDP'!B59</f>
        <v>189.41</v>
      </c>
      <c r="C59" s="11" t="str">
        <f>'Sovereign Ratings (Moody''s,S&amp;P)'!C59</f>
        <v>Ba3</v>
      </c>
      <c r="D59" s="13">
        <f>'10-year CDS Spreads'!C59</f>
        <v>1.6899999999999998E-2</v>
      </c>
      <c r="E59" s="23">
        <f>'ERPs by country'!D65</f>
        <v>3.0627782281419401E-2</v>
      </c>
      <c r="F59" s="12">
        <f>'ERPs by country'!E65</f>
        <v>7.7997338000444505E-2</v>
      </c>
      <c r="G59" s="16">
        <f>'ERPs by country'!F65</f>
        <v>3.5597338000444512E-2</v>
      </c>
      <c r="H59" s="16">
        <f>'Country Tax Rates'!C59</f>
        <v>0.24</v>
      </c>
      <c r="I59" s="17" t="str">
        <f>VLOOKUP(A59,'Regional lookup table'!$A$2:$B$161,2)</f>
        <v>Western Europe</v>
      </c>
    </row>
    <row r="60" spans="1:9" ht="16">
      <c r="A60" s="10" t="str">
        <f>'Sovereign Ratings (Moody''s,S&amp;P)'!A60</f>
        <v>Guatemala</v>
      </c>
      <c r="B60" s="138">
        <f>'Country GDP'!B60</f>
        <v>77.605000000000004</v>
      </c>
      <c r="C60" s="11" t="str">
        <f>'Sovereign Ratings (Moody''s,S&amp;P)'!C60</f>
        <v>Ba1</v>
      </c>
      <c r="D60" s="13" t="str">
        <f>'10-year CDS Spreads'!C60</f>
        <v>NA</v>
      </c>
      <c r="E60" s="23">
        <f>'ERPs by country'!D66</f>
        <v>2.1262896471060586E-2</v>
      </c>
      <c r="F60" s="12">
        <f>'ERPs by country'!E66</f>
        <v>6.7112938912589293E-2</v>
      </c>
      <c r="G60" s="16">
        <f>'ERPs by country'!F66</f>
        <v>2.47129389125893E-2</v>
      </c>
      <c r="H60" s="16">
        <f>'Country Tax Rates'!C60</f>
        <v>0.25</v>
      </c>
      <c r="I60" s="17" t="str">
        <f>VLOOKUP(A60,'Regional lookup table'!$A$2:$B$161,2)</f>
        <v>Central and South America</v>
      </c>
    </row>
    <row r="61" spans="1:9" ht="16">
      <c r="A61" s="10" t="str">
        <f>'Sovereign Ratings (Moody''s,S&amp;P)'!A61</f>
        <v>Guernsey (States of)</v>
      </c>
      <c r="B61" s="138">
        <f>'Country GDP'!B61</f>
        <v>3.18</v>
      </c>
      <c r="C61" s="11" t="str">
        <f>'Sovereign Ratings (Moody''s,S&amp;P)'!C61</f>
        <v>Aa3</v>
      </c>
      <c r="D61" s="13" t="str">
        <f>'10-year CDS Spreads'!C61</f>
        <v>NA</v>
      </c>
      <c r="E61" s="23">
        <f>'ERPs by country'!D67</f>
        <v>5.1430110597872171E-3</v>
      </c>
      <c r="F61" s="12">
        <f>'ERPs by country'!E67</f>
        <v>4.8377497859723763E-2</v>
      </c>
      <c r="G61" s="16">
        <f>'ERPs by country'!F67</f>
        <v>5.9774978597237644E-3</v>
      </c>
      <c r="H61" s="16">
        <f>'Country Tax Rates'!C61</f>
        <v>0</v>
      </c>
      <c r="I61" s="17" t="str">
        <f>VLOOKUP(A61,'Regional lookup table'!$A$2:$B$161,2)</f>
        <v>Western Europe</v>
      </c>
    </row>
    <row r="62" spans="1:9" ht="16">
      <c r="A62" s="10" t="str">
        <f>'Sovereign Ratings (Moody''s,S&amp;P)'!A62</f>
        <v>Honduras</v>
      </c>
      <c r="B62" s="138">
        <f>'Country GDP'!B62</f>
        <v>23.827999999999999</v>
      </c>
      <c r="C62" s="11" t="str">
        <f>'Sovereign Ratings (Moody''s,S&amp;P)'!C62</f>
        <v>B1</v>
      </c>
      <c r="D62" s="13" t="str">
        <f>'10-year CDS Spreads'!C62</f>
        <v>NA</v>
      </c>
      <c r="E62" s="23">
        <f>'ERPs by country'!D68</f>
        <v>3.8303918191549574E-2</v>
      </c>
      <c r="F62" s="12">
        <f>'ERPs by country'!E68</f>
        <v>8.6918976597047143E-2</v>
      </c>
      <c r="G62" s="16">
        <f>'ERPs by country'!F68</f>
        <v>4.451897659704715E-2</v>
      </c>
      <c r="H62" s="16">
        <f>'Country Tax Rates'!C62</f>
        <v>0.25</v>
      </c>
      <c r="I62" s="17" t="str">
        <f>VLOOKUP(A62,'Regional lookup table'!$A$2:$B$161,2)</f>
        <v>Central and South America</v>
      </c>
    </row>
    <row r="63" spans="1:9" ht="16">
      <c r="A63" s="10" t="str">
        <f>'Sovereign Ratings (Moody''s,S&amp;P)'!A63</f>
        <v>Hong Kong</v>
      </c>
      <c r="B63" s="138">
        <f>'Country GDP'!B63</f>
        <v>346.6</v>
      </c>
      <c r="C63" s="11" t="str">
        <f>'Sovereign Ratings (Moody''s,S&amp;P)'!C63</f>
        <v>Aa3</v>
      </c>
      <c r="D63" s="13">
        <f>'10-year CDS Spreads'!C63</f>
        <v>4.1000000000000003E-3</v>
      </c>
      <c r="E63" s="23">
        <f>'ERPs by country'!D69</f>
        <v>5.1430110597872171E-3</v>
      </c>
      <c r="F63" s="12">
        <f>'ERPs by country'!E69</f>
        <v>4.8377497859723763E-2</v>
      </c>
      <c r="G63" s="16">
        <f>'ERPs by country'!F69</f>
        <v>5.9774978597237644E-3</v>
      </c>
      <c r="H63" s="16">
        <f>'Country Tax Rates'!C63</f>
        <v>0.16500000000000001</v>
      </c>
      <c r="I63" s="17" t="str">
        <f>VLOOKUP(A63,'Regional lookup table'!$A$2:$B$161,2)</f>
        <v>Asia</v>
      </c>
    </row>
    <row r="64" spans="1:9" ht="16">
      <c r="A64" s="10" t="str">
        <f>'Sovereign Ratings (Moody''s,S&amp;P)'!A64</f>
        <v>Hungary</v>
      </c>
      <c r="B64" s="138">
        <f>'Country GDP'!B64</f>
        <v>155.01300000000001</v>
      </c>
      <c r="C64" s="11" t="str">
        <f>'Sovereign Ratings (Moody''s,S&amp;P)'!C64</f>
        <v>Baa2</v>
      </c>
      <c r="D64" s="13">
        <f>'10-year CDS Spreads'!C64</f>
        <v>6.8999999999999999E-3</v>
      </c>
      <c r="E64" s="23">
        <f>'ERPs by country'!D70</f>
        <v>1.6196646770374669E-2</v>
      </c>
      <c r="F64" s="12">
        <f>'ERPs by country'!E70</f>
        <v>6.1224657438831556E-2</v>
      </c>
      <c r="G64" s="16">
        <f>'ERPs by country'!F70</f>
        <v>1.8824657438831559E-2</v>
      </c>
      <c r="H64" s="16">
        <f>'Country Tax Rates'!C64</f>
        <v>0.09</v>
      </c>
      <c r="I64" s="17" t="str">
        <f>VLOOKUP(A64,'Regional lookup table'!$A$2:$B$161,2)</f>
        <v>Eastern Europe &amp; Russia</v>
      </c>
    </row>
    <row r="65" spans="1:9" ht="16">
      <c r="A65" s="10" t="str">
        <f>'Sovereign Ratings (Moody''s,S&amp;P)'!A65</f>
        <v>Iceland</v>
      </c>
      <c r="B65" s="138">
        <f>'Country GDP'!B65</f>
        <v>21.715</v>
      </c>
      <c r="C65" s="11" t="str">
        <f>'Sovereign Ratings (Moody''s,S&amp;P)'!C65</f>
        <v>A2</v>
      </c>
      <c r="D65" s="13">
        <f>'10-year CDS Spreads'!C65</f>
        <v>7.3000000000000001E-3</v>
      </c>
      <c r="E65" s="23">
        <f>'ERPs by country'!D71</f>
        <v>7.2155677555223634E-3</v>
      </c>
      <c r="F65" s="12">
        <f>'ERPs by country'!E71</f>
        <v>5.0786340280806475E-2</v>
      </c>
      <c r="G65" s="16">
        <f>'ERPs by country'!F71</f>
        <v>8.3863402808064744E-3</v>
      </c>
      <c r="H65" s="16">
        <f>'Country Tax Rates'!C65</f>
        <v>0.2</v>
      </c>
      <c r="I65" s="17" t="str">
        <f>VLOOKUP(A65,'Regional lookup table'!$A$2:$B$161,2)</f>
        <v>Western Europe</v>
      </c>
    </row>
    <row r="66" spans="1:9" ht="16">
      <c r="A66" s="10" t="str">
        <f>'Sovereign Ratings (Moody''s,S&amp;P)'!A66</f>
        <v>India</v>
      </c>
      <c r="B66" s="138">
        <f>'Country GDP'!B66</f>
        <v>2622.9839999999999</v>
      </c>
      <c r="C66" s="11" t="str">
        <f>'Sovereign Ratings (Moody''s,S&amp;P)'!C66</f>
        <v>Baa3</v>
      </c>
      <c r="D66" s="13">
        <f>'10-year CDS Spreads'!C66</f>
        <v>1.44E-2</v>
      </c>
      <c r="E66" s="23">
        <f>'ERPs by country'!D72</f>
        <v>1.8729771620717626E-2</v>
      </c>
      <c r="F66" s="12">
        <f>'ERPs by country'!E72</f>
        <v>6.4168798175710431E-2</v>
      </c>
      <c r="G66" s="16">
        <f>'ERPs by country'!F72</f>
        <v>2.1768798175710428E-2</v>
      </c>
      <c r="H66" s="16">
        <f>'Country Tax Rates'!C66</f>
        <v>0.3</v>
      </c>
      <c r="I66" s="17" t="str">
        <f>VLOOKUP(A66,'Regional lookup table'!$A$2:$B$161,2)</f>
        <v>Asia</v>
      </c>
    </row>
    <row r="67" spans="1:9" ht="16">
      <c r="A67" s="10" t="str">
        <f>'Sovereign Ratings (Moody''s,S&amp;P)'!A67</f>
        <v>Indonesia</v>
      </c>
      <c r="B67" s="138">
        <f>'Country GDP'!B67</f>
        <v>1058.424</v>
      </c>
      <c r="C67" s="11" t="str">
        <f>'Sovereign Ratings (Moody''s,S&amp;P)'!C67</f>
        <v>Baa2</v>
      </c>
      <c r="D67" s="13">
        <f>'10-year CDS Spreads'!C67</f>
        <v>1.3599999999999999E-2</v>
      </c>
      <c r="E67" s="23">
        <f>'ERPs by country'!D73</f>
        <v>1.6196646770374669E-2</v>
      </c>
      <c r="F67" s="12">
        <f>'ERPs by country'!E73</f>
        <v>6.1224657438831556E-2</v>
      </c>
      <c r="G67" s="16">
        <f>'ERPs by country'!F73</f>
        <v>1.8824657438831559E-2</v>
      </c>
      <c r="H67" s="16">
        <f>'Country Tax Rates'!C67</f>
        <v>0.35</v>
      </c>
      <c r="I67" s="17" t="str">
        <f>VLOOKUP(A67,'Regional lookup table'!$A$2:$B$161,2)</f>
        <v>Asia</v>
      </c>
    </row>
    <row r="68" spans="1:9" ht="16">
      <c r="A68" s="10" t="str">
        <f>'Sovereign Ratings (Moody''s,S&amp;P)'!A68</f>
        <v>Iraq</v>
      </c>
      <c r="B68" s="138">
        <f>'Country GDP'!B68</f>
        <v>167.22399999999999</v>
      </c>
      <c r="C68" s="11" t="str">
        <f>'Sovereign Ratings (Moody''s,S&amp;P)'!C68</f>
        <v>Caa1</v>
      </c>
      <c r="D68" s="13">
        <f>'10-year CDS Spreads'!C68</f>
        <v>5.6300000000000003E-2</v>
      </c>
      <c r="E68" s="23">
        <f>'ERPs by country'!D74</f>
        <v>6.3788689413181762E-2</v>
      </c>
      <c r="F68" s="12">
        <f>'ERPs by country'!E74</f>
        <v>0.11653881673776789</v>
      </c>
      <c r="G68" s="16">
        <f>'ERPs by country'!F74</f>
        <v>7.4138816737767899E-2</v>
      </c>
      <c r="H68" s="16">
        <f>'Country Tax Rates'!C68</f>
        <v>0.35</v>
      </c>
      <c r="I68" s="17" t="str">
        <f>VLOOKUP(A68,'Regional lookup table'!$A$2:$B$161,2)</f>
        <v>Middle East</v>
      </c>
    </row>
    <row r="69" spans="1:9" ht="16">
      <c r="A69" s="10" t="str">
        <f>'Sovereign Ratings (Moody''s,S&amp;P)'!A69</f>
        <v>Ireland</v>
      </c>
      <c r="B69" s="138">
        <f>'Country GDP'!B69</f>
        <v>418.62200000000001</v>
      </c>
      <c r="C69" s="11" t="str">
        <f>'Sovereign Ratings (Moody''s,S&amp;P)'!C69</f>
        <v>A2</v>
      </c>
      <c r="D69" s="13">
        <f>'10-year CDS Spreads'!C69</f>
        <v>2.7000000000000001E-3</v>
      </c>
      <c r="E69" s="23">
        <f>'ERPs by country'!D75</f>
        <v>7.2155677555223634E-3</v>
      </c>
      <c r="F69" s="12">
        <f>'ERPs by country'!E75</f>
        <v>5.0786340280806475E-2</v>
      </c>
      <c r="G69" s="16">
        <f>'ERPs by country'!F75</f>
        <v>8.3863402808064744E-3</v>
      </c>
      <c r="H69" s="16">
        <f>'Country Tax Rates'!C69</f>
        <v>0.125</v>
      </c>
      <c r="I69" s="17" t="str">
        <f>VLOOKUP(A69,'Regional lookup table'!$A$2:$B$161,2)</f>
        <v>Western Europe</v>
      </c>
    </row>
    <row r="70" spans="1:9" ht="16">
      <c r="A70" s="10" t="str">
        <f>'Sovereign Ratings (Moody''s,S&amp;P)'!A70</f>
        <v>Isle of Man</v>
      </c>
      <c r="B70" s="138">
        <f>'Country GDP'!B70</f>
        <v>7.492</v>
      </c>
      <c r="C70" s="11" t="str">
        <f>'Sovereign Ratings (Moody''s,S&amp;P)'!C70</f>
        <v>Aa3</v>
      </c>
      <c r="D70" s="13" t="str">
        <f>'10-year CDS Spreads'!C70</f>
        <v>NA</v>
      </c>
      <c r="E70" s="23">
        <f>'ERPs by country'!D76</f>
        <v>5.1430110597872171E-3</v>
      </c>
      <c r="F70" s="12">
        <f>'ERPs by country'!E76</f>
        <v>4.8377497859723763E-2</v>
      </c>
      <c r="G70" s="16">
        <f>'ERPs by country'!F76</f>
        <v>5.9774978597237644E-3</v>
      </c>
      <c r="H70" s="16">
        <f>'Country Tax Rates'!C70</f>
        <v>0</v>
      </c>
      <c r="I70" s="17" t="str">
        <f>VLOOKUP(A70,'Regional lookup table'!$A$2:$B$161,2)</f>
        <v>Western Europe</v>
      </c>
    </row>
    <row r="71" spans="1:9" ht="16">
      <c r="A71" s="10" t="str">
        <f>'Sovereign Ratings (Moody''s,S&amp;P)'!A71</f>
        <v>Israel</v>
      </c>
      <c r="B71" s="138">
        <f>'Country GDP'!B71</f>
        <v>401.95400000000001</v>
      </c>
      <c r="C71" s="11" t="str">
        <f>'Sovereign Ratings (Moody''s,S&amp;P)'!C71</f>
        <v>A1</v>
      </c>
      <c r="D71" s="13">
        <f>'10-year CDS Spreads'!C71</f>
        <v>7.1999999999999998E-3</v>
      </c>
      <c r="E71" s="23">
        <f>'ERPs by country'!D77</f>
        <v>5.987386009901537E-3</v>
      </c>
      <c r="F71" s="12">
        <f>'ERPs by country'!E77</f>
        <v>4.9358878105350057E-2</v>
      </c>
      <c r="G71" s="16">
        <f>'ERPs by country'!F77</f>
        <v>6.958878105350055E-3</v>
      </c>
      <c r="H71" s="16">
        <f>'Country Tax Rates'!C71</f>
        <v>0.23</v>
      </c>
      <c r="I71" s="17" t="str">
        <f>VLOOKUP(A71,'Regional lookup table'!$A$2:$B$161,2)</f>
        <v>Middle East</v>
      </c>
    </row>
    <row r="72" spans="1:9" ht="16">
      <c r="A72" s="10" t="str">
        <f>'Sovereign Ratings (Moody''s,S&amp;P)'!A72</f>
        <v>Italy</v>
      </c>
      <c r="B72" s="138">
        <f>'Country GDP'!B72</f>
        <v>1886.4449999999999</v>
      </c>
      <c r="C72" s="11" t="str">
        <f>'Sovereign Ratings (Moody''s,S&amp;P)'!C72</f>
        <v>Baa3</v>
      </c>
      <c r="D72" s="13">
        <f>'10-year CDS Spreads'!C72</f>
        <v>1.41E-2</v>
      </c>
      <c r="E72" s="23">
        <f>'ERPs by country'!D78</f>
        <v>1.8729771620717626E-2</v>
      </c>
      <c r="F72" s="12">
        <f>'ERPs by country'!E78</f>
        <v>6.4168798175710431E-2</v>
      </c>
      <c r="G72" s="16">
        <f>'ERPs by country'!F78</f>
        <v>2.1768798175710428E-2</v>
      </c>
      <c r="H72" s="16">
        <f>'Country Tax Rates'!C72</f>
        <v>0.24</v>
      </c>
      <c r="I72" s="17" t="str">
        <f>VLOOKUP(A72,'Regional lookup table'!$A$2:$B$161,2)</f>
        <v>Western Europe</v>
      </c>
    </row>
    <row r="73" spans="1:9" ht="16">
      <c r="A73" s="10" t="str">
        <f>'Sovereign Ratings (Moody''s,S&amp;P)'!A73</f>
        <v>Jamaica</v>
      </c>
      <c r="B73" s="138">
        <f>'Country GDP'!B73</f>
        <v>13.811999999999999</v>
      </c>
      <c r="C73" s="11" t="str">
        <f>'Sovereign Ratings (Moody''s,S&amp;P)'!C73</f>
        <v>B2</v>
      </c>
      <c r="D73" s="13" t="str">
        <f>'10-year CDS Spreads'!C73</f>
        <v>NA</v>
      </c>
      <c r="E73" s="23">
        <f>'ERPs by country'!D79</f>
        <v>4.6824429051794063E-2</v>
      </c>
      <c r="F73" s="12">
        <f>'ERPs by country'!E79</f>
        <v>9.6821995439276054E-2</v>
      </c>
      <c r="G73" s="16">
        <f>'ERPs by country'!F79</f>
        <v>5.4421995439276061E-2</v>
      </c>
      <c r="H73" s="16">
        <f>'Country Tax Rates'!C73</f>
        <v>0.25</v>
      </c>
      <c r="I73" s="17" t="str">
        <f>VLOOKUP(A73,'Regional lookup table'!$A$2:$B$161,2)</f>
        <v>Caribbean</v>
      </c>
    </row>
    <row r="74" spans="1:9" ht="16">
      <c r="A74" s="10" t="str">
        <f>'Sovereign Ratings (Moody''s,S&amp;P)'!A74</f>
        <v>Japan</v>
      </c>
      <c r="B74" s="138">
        <f>'Country GDP'!B74</f>
        <v>5064.8729999999996</v>
      </c>
      <c r="C74" s="11" t="str">
        <f>'Sovereign Ratings (Moody''s,S&amp;P)'!C74</f>
        <v>A1</v>
      </c>
      <c r="D74" s="13">
        <f>'10-year CDS Spreads'!C74</f>
        <v>3.3E-3</v>
      </c>
      <c r="E74" s="23">
        <f>'ERPs by country'!D80</f>
        <v>5.987386009901537E-3</v>
      </c>
      <c r="F74" s="12">
        <f>'ERPs by country'!E80</f>
        <v>4.9358878105350057E-2</v>
      </c>
      <c r="G74" s="16">
        <f>'ERPs by country'!F80</f>
        <v>6.958878105350055E-3</v>
      </c>
      <c r="H74" s="16">
        <f>'Country Tax Rates'!C74</f>
        <v>0.30620000000000003</v>
      </c>
      <c r="I74" s="17" t="str">
        <f>VLOOKUP(A74,'Regional lookup table'!$A$2:$B$161,2)</f>
        <v>Asia</v>
      </c>
    </row>
    <row r="75" spans="1:9" ht="16">
      <c r="A75" s="10" t="str">
        <f>'Sovereign Ratings (Moody''s,S&amp;P)'!A75</f>
        <v>Jersey (States of)</v>
      </c>
      <c r="B75" s="138">
        <f>'Country GDP'!B75</f>
        <v>4.8899999999999997</v>
      </c>
      <c r="C75" s="11" t="str">
        <f>'Sovereign Ratings (Moody''s,S&amp;P)'!C75</f>
        <v>Aaa</v>
      </c>
      <c r="D75" s="13" t="str">
        <f>'10-year CDS Spreads'!C75</f>
        <v>NA</v>
      </c>
      <c r="E75" s="23">
        <f>'ERPs by country'!D81</f>
        <v>0</v>
      </c>
      <c r="F75" s="12">
        <f>'ERPs by country'!E81</f>
        <v>4.24E-2</v>
      </c>
      <c r="G75" s="16">
        <f>'ERPs by country'!F81</f>
        <v>0</v>
      </c>
      <c r="H75" s="16">
        <f>'Country Tax Rates'!C75</f>
        <v>0</v>
      </c>
      <c r="I75" s="17" t="str">
        <f>VLOOKUP(A75,'Regional lookup table'!$A$2:$B$161,2)</f>
        <v>Western Europe</v>
      </c>
    </row>
    <row r="76" spans="1:9" ht="16">
      <c r="A76" s="10" t="str">
        <f>'Sovereign Ratings (Moody''s,S&amp;P)'!A76</f>
        <v>Jordan</v>
      </c>
      <c r="B76" s="138">
        <f>'Country GDP'!B76</f>
        <v>43.698</v>
      </c>
      <c r="C76" s="11" t="str">
        <f>'Sovereign Ratings (Moody''s,S&amp;P)'!C76</f>
        <v>B1</v>
      </c>
      <c r="D76" s="13" t="str">
        <f>'10-year CDS Spreads'!C76</f>
        <v>NA</v>
      </c>
      <c r="E76" s="23">
        <f>'ERPs by country'!D82</f>
        <v>3.8303918191549574E-2</v>
      </c>
      <c r="F76" s="12">
        <f>'ERPs by country'!E82</f>
        <v>8.6918976597047143E-2</v>
      </c>
      <c r="G76" s="16">
        <f>'ERPs by country'!F82</f>
        <v>4.451897659704715E-2</v>
      </c>
      <c r="H76" s="16">
        <f>'Country Tax Rates'!C76</f>
        <v>0.2</v>
      </c>
      <c r="I76" s="17" t="str">
        <f>VLOOKUP(A76,'Regional lookup table'!$A$2:$B$161,2)</f>
        <v>Middle East</v>
      </c>
    </row>
    <row r="77" spans="1:9" ht="16">
      <c r="A77" s="10" t="str">
        <f>'Sovereign Ratings (Moody''s,S&amp;P)'!A77</f>
        <v>Kazakhstan</v>
      </c>
      <c r="B77" s="138">
        <f>'Country GDP'!B77</f>
        <v>169.83500000000001</v>
      </c>
      <c r="C77" s="11" t="str">
        <f>'Sovereign Ratings (Moody''s,S&amp;P)'!C77</f>
        <v>Baa2</v>
      </c>
      <c r="D77" s="13">
        <f>'10-year CDS Spreads'!C77</f>
        <v>9.9000000000000008E-3</v>
      </c>
      <c r="E77" s="23">
        <f>'ERPs by country'!D83</f>
        <v>1.6196646770374669E-2</v>
      </c>
      <c r="F77" s="12">
        <f>'ERPs by country'!E83</f>
        <v>6.1224657438831556E-2</v>
      </c>
      <c r="G77" s="16">
        <f>'ERPs by country'!F83</f>
        <v>1.8824657438831559E-2</v>
      </c>
      <c r="H77" s="16">
        <f>'Country Tax Rates'!C77</f>
        <v>0.2</v>
      </c>
      <c r="I77" s="17" t="str">
        <f>VLOOKUP(A77,'Regional lookup table'!$A$2:$B$161,2)</f>
        <v>Eastern Europe &amp; Russia</v>
      </c>
    </row>
    <row r="78" spans="1:9" ht="16">
      <c r="A78" s="10" t="str">
        <f>'Sovereign Ratings (Moody''s,S&amp;P)'!A78</f>
        <v>Kenya</v>
      </c>
      <c r="B78" s="138">
        <f>'Country GDP'!B78</f>
        <v>98.843000000000004</v>
      </c>
      <c r="C78" s="11" t="str">
        <f>'Sovereign Ratings (Moody''s,S&amp;P)'!C78</f>
        <v>B2</v>
      </c>
      <c r="D78" s="13">
        <f>'10-year CDS Spreads'!C78</f>
        <v>4.4400000000000002E-2</v>
      </c>
      <c r="E78" s="23">
        <f>'ERPs by country'!D84</f>
        <v>4.6824429051794063E-2</v>
      </c>
      <c r="F78" s="12">
        <f>'ERPs by country'!E84</f>
        <v>9.6821995439276054E-2</v>
      </c>
      <c r="G78" s="16">
        <f>'ERPs by country'!F84</f>
        <v>5.4421995439276061E-2</v>
      </c>
      <c r="H78" s="16">
        <f>'Country Tax Rates'!C78</f>
        <v>0.3</v>
      </c>
      <c r="I78" s="17" t="str">
        <f>VLOOKUP(A78,'Regional lookup table'!$A$2:$B$161,2)</f>
        <v>Africa</v>
      </c>
    </row>
    <row r="79" spans="1:9" ht="16">
      <c r="A79" s="10" t="str">
        <f>'Sovereign Ratings (Moody''s,S&amp;P)'!A79</f>
        <v>Korea</v>
      </c>
      <c r="B79" s="138">
        <f>'Country GDP'!B79</f>
        <v>1630.53</v>
      </c>
      <c r="C79" s="11" t="str">
        <f>'Sovereign Ratings (Moody''s,S&amp;P)'!C79</f>
        <v>Aa2</v>
      </c>
      <c r="D79" s="13">
        <f>'10-year CDS Spreads'!C79</f>
        <v>3.5000000000000001E-3</v>
      </c>
      <c r="E79" s="23">
        <f>'ERPs by country'!D85</f>
        <v>4.2218747505715949E-3</v>
      </c>
      <c r="F79" s="12">
        <f>'ERPs by country'!E85</f>
        <v>4.730690122813145E-2</v>
      </c>
      <c r="G79" s="16">
        <f>'ERPs by country'!F85</f>
        <v>4.9069012281314477E-3</v>
      </c>
      <c r="H79" s="16">
        <f>'Country Tax Rates'!C79</f>
        <v>0.25</v>
      </c>
      <c r="I79" s="17" t="str">
        <f>VLOOKUP(A79,'Regional lookup table'!$A$2:$B$161,2)</f>
        <v>Asia</v>
      </c>
    </row>
    <row r="80" spans="1:9" ht="16">
      <c r="A80" s="10" t="str">
        <f>'Sovereign Ratings (Moody''s,S&amp;P)'!A80</f>
        <v>Kuwait</v>
      </c>
      <c r="B80" s="138">
        <f>'Country GDP'!B80</f>
        <v>136.197</v>
      </c>
      <c r="C80" s="11" t="str">
        <f>'Sovereign Ratings (Moody''s,S&amp;P)'!C80</f>
        <v>A1</v>
      </c>
      <c r="D80" s="13">
        <f>'10-year CDS Spreads'!C80</f>
        <v>8.6E-3</v>
      </c>
      <c r="E80" s="23">
        <f>'ERPs by country'!D86</f>
        <v>5.987386009901537E-3</v>
      </c>
      <c r="F80" s="12">
        <f>'ERPs by country'!E86</f>
        <v>4.9358878105350057E-2</v>
      </c>
      <c r="G80" s="16">
        <f>'ERPs by country'!F86</f>
        <v>6.958878105350055E-3</v>
      </c>
      <c r="H80" s="16">
        <f>'Country Tax Rates'!C80</f>
        <v>0.15</v>
      </c>
      <c r="I80" s="17" t="str">
        <f>VLOOKUP(A80,'Regional lookup table'!$A$2:$B$161,2)</f>
        <v>Middle East</v>
      </c>
    </row>
    <row r="81" spans="1:9" ht="16">
      <c r="A81" s="10" t="str">
        <f>'Sovereign Ratings (Moody''s,S&amp;P)'!A81</f>
        <v>Kyrgyzstan</v>
      </c>
      <c r="B81" s="138">
        <f>'Country GDP'!B81</f>
        <v>7.74</v>
      </c>
      <c r="C81" s="11" t="str">
        <f>'Sovereign Ratings (Moody''s,S&amp;P)'!C81</f>
        <v>B2</v>
      </c>
      <c r="D81" s="13" t="str">
        <f>'10-year CDS Spreads'!C81</f>
        <v>NA</v>
      </c>
      <c r="E81" s="23">
        <f>'ERPs by country'!D87</f>
        <v>4.6824429051794063E-2</v>
      </c>
      <c r="F81" s="12">
        <f>'ERPs by country'!E87</f>
        <v>9.6821995439276054E-2</v>
      </c>
      <c r="G81" s="16">
        <f>'ERPs by country'!F87</f>
        <v>5.4421995439276061E-2</v>
      </c>
      <c r="H81" s="16">
        <f>'Country Tax Rates'!C81</f>
        <v>0.1</v>
      </c>
      <c r="I81" s="17" t="str">
        <f>VLOOKUP(A81,'Regional lookup table'!$A$2:$B$161,2)</f>
        <v>Eastern Europe &amp; Russia</v>
      </c>
    </row>
    <row r="82" spans="1:9" ht="16">
      <c r="A82" s="10" t="str">
        <f>'Sovereign Ratings (Moody''s,S&amp;P)'!A82</f>
        <v>Laos</v>
      </c>
      <c r="B82" s="138">
        <f>'Country GDP'!B82</f>
        <v>19.14</v>
      </c>
      <c r="C82" s="11" t="str">
        <f>'Sovereign Ratings (Moody''s,S&amp;P)'!C82</f>
        <v>Caa2</v>
      </c>
      <c r="D82" s="13" t="str">
        <f>'10-year CDS Spreads'!C82</f>
        <v>NA</v>
      </c>
      <c r="E82" s="23">
        <f>'ERPs by country'!D88</f>
        <v>7.6607836383099148E-2</v>
      </c>
      <c r="F82" s="12">
        <f>'ERPs by country'!E88</f>
        <v>0.13143795319409429</v>
      </c>
      <c r="G82" s="16">
        <f>'ERPs by country'!F88</f>
        <v>8.9037953194094299E-2</v>
      </c>
      <c r="H82" s="16">
        <f>'Country Tax Rates'!C82</f>
        <v>0.2281</v>
      </c>
      <c r="I82" s="17" t="str">
        <f>VLOOKUP(A82,'Regional lookup table'!$A$2:$B$161,2)</f>
        <v>Asia</v>
      </c>
    </row>
    <row r="83" spans="1:9" ht="16">
      <c r="A83" s="10" t="str">
        <f>'Sovereign Ratings (Moody''s,S&amp;P)'!A83</f>
        <v>Latvia</v>
      </c>
      <c r="B83" s="138">
        <f>'Country GDP'!B83</f>
        <v>33.505000000000003</v>
      </c>
      <c r="C83" s="11" t="str">
        <f>'Sovereign Ratings (Moody''s,S&amp;P)'!C83</f>
        <v>A3</v>
      </c>
      <c r="D83" s="13">
        <f>'10-year CDS Spreads'!C83</f>
        <v>7.4000000000000003E-3</v>
      </c>
      <c r="E83" s="23">
        <f>'ERPs by country'!D89</f>
        <v>1.0209260760473134E-2</v>
      </c>
      <c r="F83" s="12">
        <f>'ERPs by country'!E89</f>
        <v>5.4265779333481506E-2</v>
      </c>
      <c r="G83" s="16">
        <f>'ERPs by country'!F89</f>
        <v>1.1865779333481504E-2</v>
      </c>
      <c r="H83" s="16">
        <f>'Country Tax Rates'!C83</f>
        <v>0.2</v>
      </c>
      <c r="I83" s="17" t="str">
        <f>VLOOKUP(A83,'Regional lookup table'!$A$2:$B$161,2)</f>
        <v>Eastern Europe &amp; Russia</v>
      </c>
    </row>
    <row r="84" spans="1:9" ht="16">
      <c r="A84" s="10" t="str">
        <f>'Sovereign Ratings (Moody''s,S&amp;P)'!A84</f>
        <v>Lebanon</v>
      </c>
      <c r="B84" s="138">
        <f>'Country GDP'!B84</f>
        <v>33.383000000000003</v>
      </c>
      <c r="C84" s="11" t="str">
        <f>'Sovereign Ratings (Moody''s,S&amp;P)'!C84</f>
        <v>C</v>
      </c>
      <c r="D84" s="13" t="str">
        <f>'10-year CDS Spreads'!C84</f>
        <v>NA</v>
      </c>
      <c r="E84" s="23">
        <f>'ERPs by country'!D90</f>
        <v>0.17499999999999999</v>
      </c>
      <c r="F84" s="12">
        <f>'ERPs by country'!E90</f>
        <v>0.24579488157642376</v>
      </c>
      <c r="G84" s="16">
        <f>'ERPs by country'!F90</f>
        <v>0.20339488157642377</v>
      </c>
      <c r="H84" s="16">
        <f>'Country Tax Rates'!C84</f>
        <v>0.17</v>
      </c>
      <c r="I84" s="17" t="str">
        <f>VLOOKUP(A84,'Regional lookup table'!$A$2:$B$161,2)</f>
        <v>Middle East</v>
      </c>
    </row>
    <row r="85" spans="1:9" ht="16">
      <c r="A85" s="10" t="str">
        <f>'Sovereign Ratings (Moody''s,S&amp;P)'!A85</f>
        <v>Liechtenstein</v>
      </c>
      <c r="B85" s="138">
        <f>'Country GDP'!B85</f>
        <v>6.8390000000000004</v>
      </c>
      <c r="C85" s="11" t="str">
        <f>'Sovereign Ratings (Moody''s,S&amp;P)'!C85</f>
        <v>Aaa</v>
      </c>
      <c r="D85" s="13" t="str">
        <f>'10-year CDS Spreads'!C85</f>
        <v>NA</v>
      </c>
      <c r="E85" s="23">
        <f>'ERPs by country'!D91</f>
        <v>0</v>
      </c>
      <c r="F85" s="12">
        <f>'ERPs by country'!E91</f>
        <v>4.24E-2</v>
      </c>
      <c r="G85" s="16">
        <f>'ERPs by country'!F91</f>
        <v>0</v>
      </c>
      <c r="H85" s="16">
        <f>'Country Tax Rates'!C85</f>
        <v>0.125</v>
      </c>
      <c r="I85" s="17" t="str">
        <f>VLOOKUP(A85,'Regional lookup table'!$A$2:$B$161,2)</f>
        <v>Western Europe</v>
      </c>
    </row>
    <row r="86" spans="1:9" ht="16">
      <c r="A86" s="10" t="str">
        <f>'Sovereign Ratings (Moody''s,S&amp;P)'!A86</f>
        <v>Lithuania</v>
      </c>
      <c r="B86" s="138">
        <f>'Country GDP'!B86</f>
        <v>55.887</v>
      </c>
      <c r="C86" s="11" t="str">
        <f>'Sovereign Ratings (Moody''s,S&amp;P)'!C86</f>
        <v>A2</v>
      </c>
      <c r="D86" s="13">
        <f>'10-year CDS Spreads'!C86</f>
        <v>7.9000000000000008E-3</v>
      </c>
      <c r="E86" s="23">
        <f>'ERPs by country'!D92</f>
        <v>7.2155677555223634E-3</v>
      </c>
      <c r="F86" s="12">
        <f>'ERPs by country'!E92</f>
        <v>5.0786340280806475E-2</v>
      </c>
      <c r="G86" s="16">
        <f>'ERPs by country'!F92</f>
        <v>8.3863402808064744E-3</v>
      </c>
      <c r="H86" s="16">
        <f>'Country Tax Rates'!C86</f>
        <v>0.15</v>
      </c>
      <c r="I86" s="17" t="str">
        <f>VLOOKUP(A86,'Regional lookup table'!$A$2:$B$161,2)</f>
        <v>Eastern Europe &amp; Russia</v>
      </c>
    </row>
    <row r="87" spans="1:9" ht="16">
      <c r="A87" s="10" t="str">
        <f>'Sovereign Ratings (Moody''s,S&amp;P)'!A87</f>
        <v>Luxembourg</v>
      </c>
      <c r="B87" s="138">
        <f>'Country GDP'!B87</f>
        <v>73.263999999999996</v>
      </c>
      <c r="C87" s="11" t="str">
        <f>'Sovereign Ratings (Moody''s,S&amp;P)'!C87</f>
        <v>Aaa</v>
      </c>
      <c r="D87" s="13" t="str">
        <f>'10-year CDS Spreads'!C87</f>
        <v>NA</v>
      </c>
      <c r="E87" s="23">
        <f>'ERPs by country'!D93</f>
        <v>0</v>
      </c>
      <c r="F87" s="12">
        <f>'ERPs by country'!E93</f>
        <v>4.24E-2</v>
      </c>
      <c r="G87" s="16">
        <f>'ERPs by country'!F93</f>
        <v>0</v>
      </c>
      <c r="H87" s="16">
        <f>'Country Tax Rates'!C87</f>
        <v>0.24940000000000001</v>
      </c>
      <c r="I87" s="17" t="str">
        <f>VLOOKUP(A87,'Regional lookup table'!$A$2:$B$161,2)</f>
        <v>Western Europe</v>
      </c>
    </row>
    <row r="88" spans="1:9" ht="16">
      <c r="A88" s="10" t="str">
        <f>'Sovereign Ratings (Moody''s,S&amp;P)'!A88</f>
        <v>Macao</v>
      </c>
      <c r="B88" s="138">
        <f>'Country GDP'!B88</f>
        <v>55.15</v>
      </c>
      <c r="C88" s="11" t="str">
        <f>'Sovereign Ratings (Moody''s,S&amp;P)'!C88</f>
        <v>Aa3</v>
      </c>
      <c r="D88" s="13" t="str">
        <f>'10-year CDS Spreads'!C88</f>
        <v>NA</v>
      </c>
      <c r="E88" s="23">
        <f>'ERPs by country'!D94</f>
        <v>5.1430110597872171E-3</v>
      </c>
      <c r="F88" s="12">
        <f>'ERPs by country'!E94</f>
        <v>4.8377497859723763E-2</v>
      </c>
      <c r="G88" s="16">
        <f>'ERPs by country'!F94</f>
        <v>5.9774978597237644E-3</v>
      </c>
      <c r="H88" s="16">
        <f>'Country Tax Rates'!C88</f>
        <v>0.2281</v>
      </c>
      <c r="I88" s="17" t="str">
        <f>VLOOKUP(A88,'Regional lookup table'!$A$2:$B$161,2)</f>
        <v>Asia</v>
      </c>
    </row>
    <row r="89" spans="1:9" ht="16">
      <c r="A89" s="10" t="str">
        <f>'Sovereign Ratings (Moody''s,S&amp;P)'!A89</f>
        <v>Macedonia</v>
      </c>
      <c r="B89" s="138">
        <f>'Country GDP'!B89</f>
        <v>12.27</v>
      </c>
      <c r="C89" s="11" t="str">
        <f>'Sovereign Ratings (Moody''s,S&amp;P)'!C89</f>
        <v>Ba3</v>
      </c>
      <c r="D89" s="13" t="str">
        <f>'10-year CDS Spreads'!C89</f>
        <v>NA</v>
      </c>
      <c r="E89" s="23">
        <f>'ERPs by country'!D95</f>
        <v>3.0627782281419401E-2</v>
      </c>
      <c r="F89" s="12">
        <f>'ERPs by country'!E95</f>
        <v>7.7997338000444505E-2</v>
      </c>
      <c r="G89" s="16">
        <f>'ERPs by country'!F95</f>
        <v>3.5597338000444512E-2</v>
      </c>
      <c r="H89" s="16">
        <f>'Country Tax Rates'!C89</f>
        <v>0.1</v>
      </c>
      <c r="I89" s="17" t="str">
        <f>VLOOKUP(A89,'Regional lookup table'!$A$2:$B$161,2)</f>
        <v>Eastern Europe &amp; Russia</v>
      </c>
    </row>
    <row r="90" spans="1:9" ht="16">
      <c r="A90" s="10" t="str">
        <f>'Sovereign Ratings (Moody''s,S&amp;P)'!A90</f>
        <v>Malaysia</v>
      </c>
      <c r="B90" s="138">
        <f>'Country GDP'!B90</f>
        <v>336.66399999999999</v>
      </c>
      <c r="C90" s="11" t="str">
        <f>'Sovereign Ratings (Moody''s,S&amp;P)'!C90</f>
        <v>A3</v>
      </c>
      <c r="D90" s="13">
        <f>'10-year CDS Spreads'!C90</f>
        <v>8.0999999999999996E-3</v>
      </c>
      <c r="E90" s="23">
        <f>'ERPs by country'!D96</f>
        <v>1.0209260760473134E-2</v>
      </c>
      <c r="F90" s="12">
        <f>'ERPs by country'!E96</f>
        <v>5.4265779333481506E-2</v>
      </c>
      <c r="G90" s="16">
        <f>'ERPs by country'!F96</f>
        <v>1.1865779333481504E-2</v>
      </c>
      <c r="H90" s="16">
        <f>'Country Tax Rates'!C90</f>
        <v>0.24</v>
      </c>
      <c r="I90" s="17" t="str">
        <f>VLOOKUP(A90,'Regional lookup table'!$A$2:$B$161,2)</f>
        <v>Asia</v>
      </c>
    </row>
    <row r="91" spans="1:9" ht="16">
      <c r="A91" s="10" t="str">
        <f>'Sovereign Ratings (Moody''s,S&amp;P)'!A91</f>
        <v>Maldives</v>
      </c>
      <c r="B91" s="138">
        <f>'Country GDP'!B91</f>
        <v>4.03</v>
      </c>
      <c r="C91" s="11" t="str">
        <f>'Sovereign Ratings (Moody''s,S&amp;P)'!C91</f>
        <v>Caa1</v>
      </c>
      <c r="D91" s="13" t="str">
        <f>'10-year CDS Spreads'!C91</f>
        <v>NA</v>
      </c>
      <c r="E91" s="23">
        <f>'ERPs by country'!D97</f>
        <v>6.3788689413181762E-2</v>
      </c>
      <c r="F91" s="12">
        <f>'ERPs by country'!E97</f>
        <v>0.11653881673776789</v>
      </c>
      <c r="G91" s="16">
        <f>'ERPs by country'!F97</f>
        <v>7.4138816737767899E-2</v>
      </c>
      <c r="H91" s="16">
        <f>'Country Tax Rates'!C91</f>
        <v>0.2281</v>
      </c>
      <c r="I91" s="17" t="str">
        <f>VLOOKUP(A91,'Regional lookup table'!$A$2:$B$161,2)</f>
        <v>Asia</v>
      </c>
    </row>
    <row r="92" spans="1:9" ht="16">
      <c r="A92" s="10" t="str">
        <f>'Sovereign Ratings (Moody''s,S&amp;P)'!A92</f>
        <v>Mali</v>
      </c>
      <c r="B92" s="138">
        <f>'Country GDP'!B92</f>
        <v>17.393999999999998</v>
      </c>
      <c r="C92" s="11" t="str">
        <f>'Sovereign Ratings (Moody''s,S&amp;P)'!C92</f>
        <v>Caa1</v>
      </c>
      <c r="D92" s="13" t="str">
        <f>'10-year CDS Spreads'!C92</f>
        <v>NA</v>
      </c>
      <c r="E92" s="23">
        <f>'ERPs by country'!D98</f>
        <v>6.3788689413181762E-2</v>
      </c>
      <c r="F92" s="12">
        <f>'ERPs by country'!E98</f>
        <v>0.11653881673776789</v>
      </c>
      <c r="G92" s="16">
        <f>'ERPs by country'!F98</f>
        <v>7.4138816737767899E-2</v>
      </c>
      <c r="H92" s="16">
        <f>'Country Tax Rates'!C92</f>
        <v>0.2281</v>
      </c>
      <c r="I92" s="17" t="str">
        <f>VLOOKUP(A92,'Regional lookup table'!$A$2:$B$161,2)</f>
        <v>Africa</v>
      </c>
    </row>
    <row r="93" spans="1:9" ht="16">
      <c r="A93" s="10" t="str">
        <f>'Sovereign Ratings (Moody''s,S&amp;P)'!A93</f>
        <v>Malta</v>
      </c>
      <c r="B93" s="138">
        <f>'Country GDP'!B93</f>
        <v>14.647</v>
      </c>
      <c r="C93" s="11" t="str">
        <f>'Sovereign Ratings (Moody''s,S&amp;P)'!C93</f>
        <v>A2</v>
      </c>
      <c r="D93" s="13" t="str">
        <f>'10-year CDS Spreads'!C93</f>
        <v>NA</v>
      </c>
      <c r="E93" s="23">
        <f>'ERPs by country'!D99</f>
        <v>7.2155677555223634E-3</v>
      </c>
      <c r="F93" s="12">
        <f>'ERPs by country'!E99</f>
        <v>5.0786340280806475E-2</v>
      </c>
      <c r="G93" s="16">
        <f>'ERPs by country'!F99</f>
        <v>8.3863402808064744E-3</v>
      </c>
      <c r="H93" s="16">
        <f>'Country Tax Rates'!C93</f>
        <v>0.35</v>
      </c>
      <c r="I93" s="17" t="str">
        <f>VLOOKUP(A93,'Regional lookup table'!$A$2:$B$161,2)</f>
        <v>Western Europe</v>
      </c>
    </row>
    <row r="94" spans="1:9" ht="16">
      <c r="A94" s="10" t="str">
        <f>'Sovereign Ratings (Moody''s,S&amp;P)'!A94</f>
        <v>Mauritius</v>
      </c>
      <c r="B94" s="138">
        <f>'Country GDP'!B94</f>
        <v>10.914</v>
      </c>
      <c r="C94" s="11" t="str">
        <f>'Sovereign Ratings (Moody''s,S&amp;P)'!C94</f>
        <v>Baa2</v>
      </c>
      <c r="D94" s="13" t="str">
        <f>'10-year CDS Spreads'!C94</f>
        <v>NA</v>
      </c>
      <c r="E94" s="23">
        <f>'ERPs by country'!D100</f>
        <v>1.6196646770374669E-2</v>
      </c>
      <c r="F94" s="12">
        <f>'ERPs by country'!E100</f>
        <v>6.1224657438831556E-2</v>
      </c>
      <c r="G94" s="16">
        <f>'ERPs by country'!F100</f>
        <v>1.8824657438831559E-2</v>
      </c>
      <c r="H94" s="16">
        <f>'Country Tax Rates'!C94</f>
        <v>0.15</v>
      </c>
      <c r="I94" s="17" t="str">
        <f>VLOOKUP(A94,'Regional lookup table'!$A$2:$B$161,2)</f>
        <v>Africa</v>
      </c>
    </row>
    <row r="95" spans="1:9" ht="16">
      <c r="A95" s="10" t="str">
        <f>'Sovereign Ratings (Moody''s,S&amp;P)'!A95</f>
        <v>Mexico</v>
      </c>
      <c r="B95" s="138">
        <f>'Country GDP'!B95</f>
        <v>1076.163</v>
      </c>
      <c r="C95" s="11" t="str">
        <f>'Sovereign Ratings (Moody''s,S&amp;P)'!C95</f>
        <v>Baa1</v>
      </c>
      <c r="D95" s="13">
        <f>'10-year CDS Spreads'!C95</f>
        <v>1.5800000000000002E-2</v>
      </c>
      <c r="E95" s="23">
        <f>'ERPs by country'!D101</f>
        <v>1.358676056093041E-2</v>
      </c>
      <c r="F95" s="12">
        <f>'ERPs by country'!E101</f>
        <v>5.8191300315986662E-2</v>
      </c>
      <c r="G95" s="16">
        <f>'ERPs by country'!F101</f>
        <v>1.5791300315986662E-2</v>
      </c>
      <c r="H95" s="16">
        <f>'Country Tax Rates'!C95</f>
        <v>0.3</v>
      </c>
      <c r="I95" s="17" t="str">
        <f>VLOOKUP(A95,'Regional lookup table'!$A$2:$B$161,2)</f>
        <v>Central and South America</v>
      </c>
    </row>
    <row r="96" spans="1:9" ht="16">
      <c r="A96" s="10" t="str">
        <f>'Sovereign Ratings (Moody''s,S&amp;P)'!A96</f>
        <v>Moldova</v>
      </c>
      <c r="B96" s="138">
        <f>'Country GDP'!B96</f>
        <v>11.914</v>
      </c>
      <c r="C96" s="11" t="str">
        <f>'Sovereign Ratings (Moody''s,S&amp;P)'!C96</f>
        <v>B3</v>
      </c>
      <c r="D96" s="13" t="str">
        <f>'10-year CDS Spreads'!C96</f>
        <v>NA</v>
      </c>
      <c r="E96" s="23">
        <f>'ERPs by country'!D102</f>
        <v>5.5344939912038545E-2</v>
      </c>
      <c r="F96" s="12">
        <f>'ERPs by country'!E102</f>
        <v>0.10672501428150497</v>
      </c>
      <c r="G96" s="16">
        <f>'ERPs by country'!F102</f>
        <v>6.4325014281504972E-2</v>
      </c>
      <c r="H96" s="16">
        <f>'Country Tax Rates'!C96</f>
        <v>0.12</v>
      </c>
      <c r="I96" s="17" t="str">
        <f>VLOOKUP(A96,'Regional lookup table'!$A$2:$B$161,2)</f>
        <v>Eastern Europe &amp; Russia</v>
      </c>
    </row>
    <row r="97" spans="1:9" ht="16">
      <c r="A97" s="10" t="str">
        <f>'Sovereign Ratings (Moody''s,S&amp;P)'!A97</f>
        <v>Mongolia</v>
      </c>
      <c r="B97" s="138">
        <f>'Country GDP'!B97</f>
        <v>13.137</v>
      </c>
      <c r="C97" s="11" t="str">
        <f>'Sovereign Ratings (Moody''s,S&amp;P)'!C97</f>
        <v>B3</v>
      </c>
      <c r="D97" s="13" t="str">
        <f>'10-year CDS Spreads'!C97</f>
        <v>NA</v>
      </c>
      <c r="E97" s="23">
        <f>'ERPs by country'!D103</f>
        <v>5.5344939912038545E-2</v>
      </c>
      <c r="F97" s="12">
        <f>'ERPs by country'!E103</f>
        <v>0.10672501428150497</v>
      </c>
      <c r="G97" s="16">
        <f>'ERPs by country'!F103</f>
        <v>6.4325014281504972E-2</v>
      </c>
      <c r="H97" s="16">
        <f>'Country Tax Rates'!C97</f>
        <v>0.25</v>
      </c>
      <c r="I97" s="17" t="str">
        <f>VLOOKUP(A97,'Regional lookup table'!$A$2:$B$161,2)</f>
        <v>Asia</v>
      </c>
    </row>
    <row r="98" spans="1:9" ht="16">
      <c r="A98" s="10" t="str">
        <f>'Sovereign Ratings (Moody''s,S&amp;P)'!A98</f>
        <v>Montenegro</v>
      </c>
      <c r="B98" s="138">
        <f>'Country GDP'!B98</f>
        <v>4.7789999999999999</v>
      </c>
      <c r="C98" s="11" t="str">
        <f>'Sovereign Ratings (Moody''s,S&amp;P)'!C98</f>
        <v>B1</v>
      </c>
      <c r="D98" s="13" t="str">
        <f>'10-year CDS Spreads'!C98</f>
        <v>NA</v>
      </c>
      <c r="E98" s="23">
        <f>'ERPs by country'!D104</f>
        <v>3.8303918191549574E-2</v>
      </c>
      <c r="F98" s="12">
        <f>'ERPs by country'!E104</f>
        <v>8.6918976597047143E-2</v>
      </c>
      <c r="G98" s="16">
        <f>'ERPs by country'!F104</f>
        <v>4.451897659704715E-2</v>
      </c>
      <c r="H98" s="16">
        <f>'Country Tax Rates'!C98</f>
        <v>0.09</v>
      </c>
      <c r="I98" s="17" t="str">
        <f>VLOOKUP(A98,'Regional lookup table'!$A$2:$B$161,2)</f>
        <v>Eastern Europe &amp; Russia</v>
      </c>
    </row>
    <row r="99" spans="1:9" ht="16">
      <c r="A99" s="10" t="str">
        <f>'Sovereign Ratings (Moody''s,S&amp;P)'!A99</f>
        <v>Montserrat</v>
      </c>
      <c r="B99" s="138">
        <f>'Country GDP'!B99</f>
        <v>0.25</v>
      </c>
      <c r="C99" s="11" t="str">
        <f>'Sovereign Ratings (Moody''s,S&amp;P)'!C99</f>
        <v>Baa3</v>
      </c>
      <c r="D99" s="13" t="str">
        <f>'10-year CDS Spreads'!C99</f>
        <v>NA</v>
      </c>
      <c r="E99" s="23">
        <f>'ERPs by country'!D105</f>
        <v>1.8729771620717626E-2</v>
      </c>
      <c r="F99" s="12">
        <f>'ERPs by country'!E105</f>
        <v>6.4168798175710431E-2</v>
      </c>
      <c r="G99" s="16">
        <f>'ERPs by country'!F105</f>
        <v>2.1768798175710428E-2</v>
      </c>
      <c r="H99" s="16">
        <f>'Country Tax Rates'!C99</f>
        <v>0.27179999999999999</v>
      </c>
      <c r="I99" s="17" t="str">
        <f>VLOOKUP(A99,'Regional lookup table'!$A$2:$B$161,2)</f>
        <v>Caribbean</v>
      </c>
    </row>
    <row r="100" spans="1:9" ht="16">
      <c r="A100" s="10" t="str">
        <f>'Sovereign Ratings (Moody''s,S&amp;P)'!A100</f>
        <v>Morocco</v>
      </c>
      <c r="B100" s="138">
        <f>'Country GDP'!B100</f>
        <v>112.871</v>
      </c>
      <c r="C100" s="11" t="str">
        <f>'Sovereign Ratings (Moody''s,S&amp;P)'!C100</f>
        <v>Ba1</v>
      </c>
      <c r="D100" s="13">
        <f>'10-year CDS Spreads'!C100</f>
        <v>1.32E-2</v>
      </c>
      <c r="E100" s="23">
        <f>'ERPs by country'!D106</f>
        <v>2.1262896471060586E-2</v>
      </c>
      <c r="F100" s="12">
        <f>'ERPs by country'!E106</f>
        <v>6.7112938912589293E-2</v>
      </c>
      <c r="G100" s="16">
        <f>'ERPs by country'!F106</f>
        <v>2.47129389125893E-2</v>
      </c>
      <c r="H100" s="16">
        <f>'Country Tax Rates'!C100</f>
        <v>0.31</v>
      </c>
      <c r="I100" s="17" t="str">
        <f>VLOOKUP(A100,'Regional lookup table'!$A$2:$B$161,2)</f>
        <v>Africa</v>
      </c>
    </row>
    <row r="101" spans="1:9" ht="16">
      <c r="A101" s="10" t="str">
        <f>'Sovereign Ratings (Moody''s,S&amp;P)'!A101</f>
        <v>Mozambique</v>
      </c>
      <c r="B101" s="138">
        <f>'Country GDP'!B101</f>
        <v>14.021000000000001</v>
      </c>
      <c r="C101" s="11" t="str">
        <f>'Sovereign Ratings (Moody''s,S&amp;P)'!C101</f>
        <v>Caa2</v>
      </c>
      <c r="D101" s="13" t="str">
        <f>'10-year CDS Spreads'!C101</f>
        <v>NA</v>
      </c>
      <c r="E101" s="23">
        <f>'ERPs by country'!D107</f>
        <v>7.6607836383099148E-2</v>
      </c>
      <c r="F101" s="12">
        <f>'ERPs by country'!E107</f>
        <v>0.13143795319409429</v>
      </c>
      <c r="G101" s="16">
        <f>'ERPs by country'!F107</f>
        <v>8.9037953194094299E-2</v>
      </c>
      <c r="H101" s="16">
        <f>'Country Tax Rates'!C101</f>
        <v>0.32</v>
      </c>
      <c r="I101" s="17" t="str">
        <f>VLOOKUP(A101,'Regional lookup table'!$A$2:$B$161,2)</f>
        <v>Africa</v>
      </c>
    </row>
    <row r="102" spans="1:9" ht="16">
      <c r="A102" s="10" t="str">
        <f>'Sovereign Ratings (Moody''s,S&amp;P)'!A102</f>
        <v>Namibia</v>
      </c>
      <c r="B102" s="138">
        <f>'Country GDP'!B102</f>
        <v>10.7</v>
      </c>
      <c r="C102" s="11" t="str">
        <f>'Sovereign Ratings (Moody''s,S&amp;P)'!C102</f>
        <v>Ba3</v>
      </c>
      <c r="D102" s="13" t="str">
        <f>'10-year CDS Spreads'!C102</f>
        <v>NA</v>
      </c>
      <c r="E102" s="23">
        <f>'ERPs by country'!D108</f>
        <v>3.0627782281419401E-2</v>
      </c>
      <c r="F102" s="12">
        <f>'ERPs by country'!E108</f>
        <v>7.7997338000444505E-2</v>
      </c>
      <c r="G102" s="16">
        <f>'ERPs by country'!F108</f>
        <v>3.5597338000444512E-2</v>
      </c>
      <c r="H102" s="16">
        <f>'Country Tax Rates'!C102</f>
        <v>0.32</v>
      </c>
      <c r="I102" s="17" t="str">
        <f>VLOOKUP(A102,'Regional lookup table'!$A$2:$B$161,2)</f>
        <v>Africa</v>
      </c>
    </row>
    <row r="103" spans="1:9" ht="16">
      <c r="A103" s="10" t="str">
        <f>'Sovereign Ratings (Moody''s,S&amp;P)'!A103</f>
        <v>Netherlands</v>
      </c>
      <c r="B103" s="138">
        <f>'Country GDP'!B103</f>
        <v>912.24199999999996</v>
      </c>
      <c r="C103" s="11" t="str">
        <f>'Sovereign Ratings (Moody''s,S&amp;P)'!C103</f>
        <v>Aaa</v>
      </c>
      <c r="D103" s="13">
        <f>'10-year CDS Spreads'!C103</f>
        <v>1.9E-3</v>
      </c>
      <c r="E103" s="23">
        <f>'ERPs by country'!D109</f>
        <v>0</v>
      </c>
      <c r="F103" s="12">
        <f>'ERPs by country'!E109</f>
        <v>4.24E-2</v>
      </c>
      <c r="G103" s="16">
        <f>'ERPs by country'!F109</f>
        <v>0</v>
      </c>
      <c r="H103" s="16">
        <f>'Country Tax Rates'!C103</f>
        <v>0.25</v>
      </c>
      <c r="I103" s="17" t="str">
        <f>VLOOKUP(A103,'Regional lookup table'!$A$2:$B$161,2)</f>
        <v>Western Europe</v>
      </c>
    </row>
    <row r="104" spans="1:9" ht="16">
      <c r="A104" s="10" t="str">
        <f>'Sovereign Ratings (Moody''s,S&amp;P)'!A104</f>
        <v>New Zealand</v>
      </c>
      <c r="B104" s="138">
        <f>'Country GDP'!B104</f>
        <v>212.482</v>
      </c>
      <c r="C104" s="11" t="str">
        <f>'Sovereign Ratings (Moody''s,S&amp;P)'!C104</f>
        <v>Aaa</v>
      </c>
      <c r="D104" s="13">
        <f>'10-year CDS Spreads'!C104</f>
        <v>2.0999999999999999E-3</v>
      </c>
      <c r="E104" s="23">
        <f>'ERPs by country'!D110</f>
        <v>0</v>
      </c>
      <c r="F104" s="12">
        <f>'ERPs by country'!E110</f>
        <v>4.24E-2</v>
      </c>
      <c r="G104" s="16">
        <f>'ERPs by country'!F110</f>
        <v>0</v>
      </c>
      <c r="H104" s="16">
        <f>'Country Tax Rates'!C104</f>
        <v>0.28000000000000003</v>
      </c>
      <c r="I104" s="17" t="str">
        <f>VLOOKUP(A104,'Regional lookup table'!$A$2:$B$161,2)</f>
        <v>Australia &amp; New Zealand</v>
      </c>
    </row>
    <row r="105" spans="1:9" ht="16">
      <c r="A105" s="10" t="str">
        <f>'Sovereign Ratings (Moody''s,S&amp;P)'!A105</f>
        <v>Nicaragua</v>
      </c>
      <c r="B105" s="138">
        <f>'Country GDP'!B105</f>
        <v>12.621</v>
      </c>
      <c r="C105" s="11" t="str">
        <f>'Sovereign Ratings (Moody''s,S&amp;P)'!C105</f>
        <v>B3</v>
      </c>
      <c r="D105" s="13">
        <f>'10-year CDS Spreads'!C105</f>
        <v>4.36E-2</v>
      </c>
      <c r="E105" s="23">
        <f>'ERPs by country'!D111</f>
        <v>5.5344939912038545E-2</v>
      </c>
      <c r="F105" s="12">
        <f>'ERPs by country'!E111</f>
        <v>0.10672501428150497</v>
      </c>
      <c r="G105" s="16">
        <f>'ERPs by country'!F111</f>
        <v>6.4325014281504972E-2</v>
      </c>
      <c r="H105" s="16">
        <f>'Country Tax Rates'!C105</f>
        <v>0.3</v>
      </c>
      <c r="I105" s="17" t="str">
        <f>VLOOKUP(A105,'Regional lookup table'!$A$2:$B$161,2)</f>
        <v>Central and South America</v>
      </c>
    </row>
    <row r="106" spans="1:9" ht="16">
      <c r="A106" s="10" t="str">
        <f>'Sovereign Ratings (Moody''s,S&amp;P)'!A106</f>
        <v>Niger</v>
      </c>
      <c r="B106" s="138">
        <f>'Country GDP'!B106</f>
        <v>13.678000000000001</v>
      </c>
      <c r="C106" s="11" t="str">
        <f>'Sovereign Ratings (Moody''s,S&amp;P)'!C106</f>
        <v>B3</v>
      </c>
      <c r="D106" s="13" t="str">
        <f>'10-year CDS Spreads'!C106</f>
        <v>NA</v>
      </c>
      <c r="E106" s="23">
        <f>'ERPs by country'!D112</f>
        <v>5.5344939912038545E-2</v>
      </c>
      <c r="F106" s="12">
        <f>'ERPs by country'!E112</f>
        <v>0.10672501428150497</v>
      </c>
      <c r="G106" s="16">
        <f>'ERPs by country'!F112</f>
        <v>6.4325014281504972E-2</v>
      </c>
      <c r="H106" s="16">
        <f>'Country Tax Rates'!C106</f>
        <v>0.2281</v>
      </c>
      <c r="I106" s="17" t="str">
        <f>VLOOKUP(A106,'Regional lookup table'!$A$2:$B$161,2)</f>
        <v>Africa</v>
      </c>
    </row>
    <row r="107" spans="1:9" ht="16">
      <c r="A107" s="10" t="str">
        <f>'Sovereign Ratings (Moody''s,S&amp;P)'!A107</f>
        <v>Nigeria</v>
      </c>
      <c r="B107" s="138">
        <f>'Country GDP'!B107</f>
        <v>432.29399999999998</v>
      </c>
      <c r="C107" s="11" t="str">
        <f>'Sovereign Ratings (Moody''s,S&amp;P)'!C107</f>
        <v>B2</v>
      </c>
      <c r="D107" s="13">
        <f>'10-year CDS Spreads'!C107</f>
        <v>5.5300000000000002E-2</v>
      </c>
      <c r="E107" s="23">
        <f>'ERPs by country'!D113</f>
        <v>4.6824429051794063E-2</v>
      </c>
      <c r="F107" s="12">
        <f>'ERPs by country'!E113</f>
        <v>9.6821995439276054E-2</v>
      </c>
      <c r="G107" s="16">
        <f>'ERPs by country'!F113</f>
        <v>5.4421995439276061E-2</v>
      </c>
      <c r="H107" s="16">
        <f>'Country Tax Rates'!C107</f>
        <v>0.3</v>
      </c>
      <c r="I107" s="17" t="str">
        <f>VLOOKUP(A107,'Regional lookup table'!$A$2:$B$161,2)</f>
        <v>Africa</v>
      </c>
    </row>
    <row r="108" spans="1:9" ht="16">
      <c r="A108" s="10" t="str">
        <f>'Sovereign Ratings (Moody''s,S&amp;P)'!A108</f>
        <v>Norway</v>
      </c>
      <c r="B108" s="138">
        <f>'Country GDP'!B108</f>
        <v>362.00900000000001</v>
      </c>
      <c r="C108" s="11" t="str">
        <f>'Sovereign Ratings (Moody''s,S&amp;P)'!C108</f>
        <v>Aaa</v>
      </c>
      <c r="D108" s="13">
        <f>'10-year CDS Spreads'!C108</f>
        <v>1.9E-3</v>
      </c>
      <c r="E108" s="23">
        <f>'ERPs by country'!D114</f>
        <v>0</v>
      </c>
      <c r="F108" s="12">
        <f>'ERPs by country'!E114</f>
        <v>4.24E-2</v>
      </c>
      <c r="G108" s="16">
        <f>'ERPs by country'!F114</f>
        <v>0</v>
      </c>
      <c r="H108" s="16">
        <f>'Country Tax Rates'!C108</f>
        <v>0.22</v>
      </c>
      <c r="I108" s="17" t="str">
        <f>VLOOKUP(A108,'Regional lookup table'!$A$2:$B$161,2)</f>
        <v>Western Europe</v>
      </c>
    </row>
    <row r="109" spans="1:9" ht="16">
      <c r="A109" s="10" t="str">
        <f>'Sovereign Ratings (Moody''s,S&amp;P)'!A109</f>
        <v>Oman</v>
      </c>
      <c r="B109" s="138">
        <f>'Country GDP'!B109</f>
        <v>76.331999999999994</v>
      </c>
      <c r="C109" s="11" t="str">
        <f>'Sovereign Ratings (Moody''s,S&amp;P)'!C109</f>
        <v>Ba3</v>
      </c>
      <c r="D109" s="13">
        <f>'10-year CDS Spreads'!C109</f>
        <v>3.1899999999999998E-2</v>
      </c>
      <c r="E109" s="23">
        <f>'ERPs by country'!D115</f>
        <v>3.0627782281419401E-2</v>
      </c>
      <c r="F109" s="12">
        <f>'ERPs by country'!E115</f>
        <v>7.7997338000444505E-2</v>
      </c>
      <c r="G109" s="16">
        <f>'ERPs by country'!F115</f>
        <v>3.5597338000444512E-2</v>
      </c>
      <c r="H109" s="16">
        <f>'Country Tax Rates'!C109</f>
        <v>0.15</v>
      </c>
      <c r="I109" s="17" t="str">
        <f>VLOOKUP(A109,'Regional lookup table'!$A$2:$B$161,2)</f>
        <v>Middle East</v>
      </c>
    </row>
    <row r="110" spans="1:9" ht="16">
      <c r="A110" s="10" t="str">
        <f>'Sovereign Ratings (Moody''s,S&amp;P)'!A110</f>
        <v>Pakistan</v>
      </c>
      <c r="B110" s="138">
        <f>'Country GDP'!B110</f>
        <v>263.68700000000001</v>
      </c>
      <c r="C110" s="11" t="str">
        <f>'Sovereign Ratings (Moody''s,S&amp;P)'!C110</f>
        <v>B3</v>
      </c>
      <c r="D110" s="13">
        <f>'10-year CDS Spreads'!C110</f>
        <v>3.6700000000000003E-2</v>
      </c>
      <c r="E110" s="23">
        <f>'ERPs by country'!D116</f>
        <v>5.5344939912038545E-2</v>
      </c>
      <c r="F110" s="12">
        <f>'ERPs by country'!E116</f>
        <v>0.10672501428150497</v>
      </c>
      <c r="G110" s="16">
        <f>'ERPs by country'!F116</f>
        <v>6.4325014281504972E-2</v>
      </c>
      <c r="H110" s="16">
        <f>'Country Tax Rates'!C110</f>
        <v>0.28999999999999998</v>
      </c>
      <c r="I110" s="17" t="str">
        <f>VLOOKUP(A110,'Regional lookup table'!$A$2:$B$161,2)</f>
        <v>Asia</v>
      </c>
    </row>
    <row r="111" spans="1:9" ht="16">
      <c r="A111" s="10" t="str">
        <f>'Sovereign Ratings (Moody''s,S&amp;P)'!A111</f>
        <v>Panama</v>
      </c>
      <c r="B111" s="138">
        <f>'Country GDP'!B111</f>
        <v>52.938000000000002</v>
      </c>
      <c r="C111" s="11" t="str">
        <f>'Sovereign Ratings (Moody''s,S&amp;P)'!C111</f>
        <v>Baa2</v>
      </c>
      <c r="D111" s="13">
        <f>'10-year CDS Spreads'!C111</f>
        <v>1.26E-2</v>
      </c>
      <c r="E111" s="23">
        <f>'ERPs by country'!D117</f>
        <v>1.6196646770374669E-2</v>
      </c>
      <c r="F111" s="12">
        <f>'ERPs by country'!E117</f>
        <v>6.1224657438831556E-2</v>
      </c>
      <c r="G111" s="16">
        <f>'ERPs by country'!F117</f>
        <v>1.8824657438831559E-2</v>
      </c>
      <c r="H111" s="16">
        <f>'Country Tax Rates'!C111</f>
        <v>0.25</v>
      </c>
      <c r="I111" s="17" t="str">
        <f>VLOOKUP(A111,'Regional lookup table'!$A$2:$B$161,2)</f>
        <v>Central and South America</v>
      </c>
    </row>
    <row r="112" spans="1:9" ht="16">
      <c r="A112" s="10" t="str">
        <f>'Sovereign Ratings (Moody''s,S&amp;P)'!A112</f>
        <v>Papua New Guinea</v>
      </c>
      <c r="B112" s="138">
        <f>'Country GDP'!B112</f>
        <v>23.591999999999999</v>
      </c>
      <c r="C112" s="11" t="str">
        <f>'Sovereign Ratings (Moody''s,S&amp;P)'!C112</f>
        <v>B2</v>
      </c>
      <c r="D112" s="13" t="str">
        <f>'10-year CDS Spreads'!C112</f>
        <v>NA</v>
      </c>
      <c r="E112" s="23">
        <f>'ERPs by country'!D118</f>
        <v>4.6824429051794063E-2</v>
      </c>
      <c r="F112" s="12">
        <f>'ERPs by country'!E118</f>
        <v>9.6821995439276054E-2</v>
      </c>
      <c r="G112" s="16">
        <f>'ERPs by country'!F118</f>
        <v>5.4421995439276061E-2</v>
      </c>
      <c r="H112" s="16">
        <f>'Country Tax Rates'!C112</f>
        <v>0.3</v>
      </c>
      <c r="I112" s="17" t="str">
        <f>VLOOKUP(A112,'Regional lookup table'!$A$2:$B$161,2)</f>
        <v>Asia</v>
      </c>
    </row>
    <row r="113" spans="1:9" ht="16">
      <c r="A113" s="10" t="str">
        <f>'Sovereign Ratings (Moody''s,S&amp;P)'!A113</f>
        <v>Paraguay</v>
      </c>
      <c r="B113" s="138">
        <f>'Country GDP'!B113</f>
        <v>35.304000000000002</v>
      </c>
      <c r="C113" s="11" t="str">
        <f>'Sovereign Ratings (Moody''s,S&amp;P)'!C113</f>
        <v>Ba1</v>
      </c>
      <c r="D113" s="13" t="str">
        <f>'10-year CDS Spreads'!C113</f>
        <v>NA</v>
      </c>
      <c r="E113" s="23">
        <f>'ERPs by country'!D119</f>
        <v>2.1262896471060586E-2</v>
      </c>
      <c r="F113" s="12">
        <f>'ERPs by country'!E119</f>
        <v>6.7112938912589293E-2</v>
      </c>
      <c r="G113" s="16">
        <f>'ERPs by country'!F119</f>
        <v>2.47129389125893E-2</v>
      </c>
      <c r="H113" s="16">
        <f>'Country Tax Rates'!C113</f>
        <v>0.1</v>
      </c>
      <c r="I113" s="17" t="str">
        <f>VLOOKUP(A113,'Regional lookup table'!$A$2:$B$161,2)</f>
        <v>Central and South America</v>
      </c>
    </row>
    <row r="114" spans="1:9" ht="16">
      <c r="A114" s="10" t="str">
        <f>'Sovereign Ratings (Moody''s,S&amp;P)'!A114</f>
        <v>Peru</v>
      </c>
      <c r="B114" s="138">
        <f>'Country GDP'!B114</f>
        <v>202.01400000000001</v>
      </c>
      <c r="C114" s="11" t="str">
        <f>'Sovereign Ratings (Moody''s,S&amp;P)'!C114</f>
        <v>Baa1</v>
      </c>
      <c r="D114" s="13">
        <f>'10-year CDS Spreads'!C114</f>
        <v>1.3100000000000001E-2</v>
      </c>
      <c r="E114" s="23">
        <f>'ERPs by country'!D120</f>
        <v>1.358676056093041E-2</v>
      </c>
      <c r="F114" s="12">
        <f>'ERPs by country'!E120</f>
        <v>5.8191300315986662E-2</v>
      </c>
      <c r="G114" s="16">
        <f>'ERPs by country'!F120</f>
        <v>1.5791300315986662E-2</v>
      </c>
      <c r="H114" s="16">
        <f>'Country Tax Rates'!C114</f>
        <v>0.29499999999999998</v>
      </c>
      <c r="I114" s="17" t="str">
        <f>VLOOKUP(A114,'Regional lookup table'!$A$2:$B$161,2)</f>
        <v>Central and South America</v>
      </c>
    </row>
    <row r="115" spans="1:9" ht="16">
      <c r="A115" s="10" t="str">
        <f>'Sovereign Ratings (Moody''s,S&amp;P)'!A115</f>
        <v>Philippines</v>
      </c>
      <c r="B115" s="138">
        <f>'Country GDP'!B115</f>
        <v>361.48899999999998</v>
      </c>
      <c r="C115" s="11" t="str">
        <f>'Sovereign Ratings (Moody''s,S&amp;P)'!C115</f>
        <v>Baa2</v>
      </c>
      <c r="D115" s="13">
        <f>'10-year CDS Spreads'!C115</f>
        <v>9.1999999999999998E-3</v>
      </c>
      <c r="E115" s="23">
        <f>'ERPs by country'!D121</f>
        <v>1.6196646770374669E-2</v>
      </c>
      <c r="F115" s="12">
        <f>'ERPs by country'!E121</f>
        <v>6.1224657438831556E-2</v>
      </c>
      <c r="G115" s="16">
        <f>'ERPs by country'!F121</f>
        <v>1.8824657438831559E-2</v>
      </c>
      <c r="H115" s="16">
        <f>'Country Tax Rates'!C115</f>
        <v>0.3</v>
      </c>
      <c r="I115" s="17" t="str">
        <f>VLOOKUP(A115,'Regional lookup table'!$A$2:$B$161,2)</f>
        <v>Asia</v>
      </c>
    </row>
    <row r="116" spans="1:9" ht="16">
      <c r="A116" s="10" t="str">
        <f>'Sovereign Ratings (Moody''s,S&amp;P)'!A116</f>
        <v>Poland</v>
      </c>
      <c r="B116" s="138">
        <f>'Country GDP'!B116</f>
        <v>594.16499999999996</v>
      </c>
      <c r="C116" s="11" t="str">
        <f>'Sovereign Ratings (Moody''s,S&amp;P)'!C116</f>
        <v>A2</v>
      </c>
      <c r="D116" s="13">
        <f>'10-year CDS Spreads'!C116</f>
        <v>6.7999999999999996E-3</v>
      </c>
      <c r="E116" s="23">
        <f>'ERPs by country'!D122</f>
        <v>7.2155677555223634E-3</v>
      </c>
      <c r="F116" s="12">
        <f>'ERPs by country'!E122</f>
        <v>5.0786340280806475E-2</v>
      </c>
      <c r="G116" s="16">
        <f>'ERPs by country'!F122</f>
        <v>8.3863402808064744E-3</v>
      </c>
      <c r="H116" s="16">
        <f>'Country Tax Rates'!C116</f>
        <v>0.19</v>
      </c>
      <c r="I116" s="17" t="str">
        <f>VLOOKUP(A116,'Regional lookup table'!$A$2:$B$161,2)</f>
        <v>Eastern Europe &amp; Russia</v>
      </c>
    </row>
    <row r="117" spans="1:9" ht="16">
      <c r="A117" s="10" t="str">
        <f>'Sovereign Ratings (Moody''s,S&amp;P)'!A117</f>
        <v>Portugal</v>
      </c>
      <c r="B117" s="138">
        <f>'Country GDP'!B117</f>
        <v>231.256</v>
      </c>
      <c r="C117" s="11" t="str">
        <f>'Sovereign Ratings (Moody''s,S&amp;P)'!C117</f>
        <v>Baa2</v>
      </c>
      <c r="D117" s="13">
        <f>'10-year CDS Spreads'!C117</f>
        <v>5.5999999999999999E-3</v>
      </c>
      <c r="E117" s="23">
        <f>'ERPs by country'!D123</f>
        <v>1.6196646770374669E-2</v>
      </c>
      <c r="F117" s="12">
        <f>'ERPs by country'!E123</f>
        <v>6.1224657438831556E-2</v>
      </c>
      <c r="G117" s="16">
        <f>'ERPs by country'!F123</f>
        <v>1.8824657438831559E-2</v>
      </c>
      <c r="H117" s="16">
        <f>'Country Tax Rates'!C117</f>
        <v>0.21</v>
      </c>
      <c r="I117" s="17" t="str">
        <f>VLOOKUP(A117,'Regional lookup table'!$A$2:$B$161,2)</f>
        <v>Western Europe</v>
      </c>
    </row>
    <row r="118" spans="1:9" ht="16">
      <c r="A118" s="10" t="str">
        <f>'Sovereign Ratings (Moody''s,S&amp;P)'!A118</f>
        <v>Qatar</v>
      </c>
      <c r="B118" s="138">
        <f>'Country GDP'!B118</f>
        <v>146.374</v>
      </c>
      <c r="C118" s="11" t="str">
        <f>'Sovereign Ratings (Moody''s,S&amp;P)'!C118</f>
        <v>Aa3</v>
      </c>
      <c r="D118" s="13">
        <f>'10-year CDS Spreads'!C118</f>
        <v>7.4000000000000003E-3</v>
      </c>
      <c r="E118" s="23">
        <f>'ERPs by country'!D124</f>
        <v>5.1430110597872171E-3</v>
      </c>
      <c r="F118" s="12">
        <f>'ERPs by country'!E124</f>
        <v>4.8377497859723763E-2</v>
      </c>
      <c r="G118" s="16">
        <f>'ERPs by country'!F124</f>
        <v>5.9774978597237644E-3</v>
      </c>
      <c r="H118" s="16">
        <f>'Country Tax Rates'!C118</f>
        <v>0.1</v>
      </c>
      <c r="I118" s="17" t="str">
        <f>VLOOKUP(A118,'Regional lookup table'!$A$2:$B$161,2)</f>
        <v>Middle East</v>
      </c>
    </row>
    <row r="119" spans="1:9" ht="16">
      <c r="A119" s="10" t="str">
        <f>'Sovereign Ratings (Moody''s,S&amp;P)'!A119</f>
        <v>Ras Al Khaimah (Emirate of)</v>
      </c>
      <c r="B119" s="138">
        <f>'Country GDP'!B119</f>
        <v>3.52</v>
      </c>
      <c r="C119" s="11" t="str">
        <f>'Sovereign Ratings (Moody''s,S&amp;P)'!C119</f>
        <v>A3</v>
      </c>
      <c r="D119" s="13" t="str">
        <f>'10-year CDS Spreads'!C119</f>
        <v>NA</v>
      </c>
      <c r="E119" s="23">
        <f>'ERPs by country'!D125</f>
        <v>1.0209260760473134E-2</v>
      </c>
      <c r="F119" s="12">
        <f>'ERPs by country'!E125</f>
        <v>5.4265779333481506E-2</v>
      </c>
      <c r="G119" s="16">
        <f>'ERPs by country'!F125</f>
        <v>1.1865779333481504E-2</v>
      </c>
      <c r="H119" s="16">
        <f>'Country Tax Rates'!C119</f>
        <v>0</v>
      </c>
      <c r="I119" s="17" t="str">
        <f>VLOOKUP(A119,'Regional lookup table'!$A$2:$B$161,2)</f>
        <v>Middle East</v>
      </c>
    </row>
    <row r="120" spans="1:9" ht="16">
      <c r="A120" s="10" t="str">
        <f>'Sovereign Ratings (Moody''s,S&amp;P)'!A120</f>
        <v>Romania</v>
      </c>
      <c r="B120" s="138">
        <f>'Country GDP'!B120</f>
        <v>248.71600000000001</v>
      </c>
      <c r="C120" s="11" t="str">
        <f>'Sovereign Ratings (Moody''s,S&amp;P)'!C120</f>
        <v>Baa3</v>
      </c>
      <c r="D120" s="13">
        <f>'10-year CDS Spreads'!C120</f>
        <v>1.24E-2</v>
      </c>
      <c r="E120" s="23">
        <f>'ERPs by country'!D126</f>
        <v>1.8729771620717626E-2</v>
      </c>
      <c r="F120" s="12">
        <f>'ERPs by country'!E126</f>
        <v>6.4168798175710431E-2</v>
      </c>
      <c r="G120" s="16">
        <f>'ERPs by country'!F126</f>
        <v>2.1768798175710428E-2</v>
      </c>
      <c r="H120" s="16">
        <f>'Country Tax Rates'!C120</f>
        <v>0.16</v>
      </c>
      <c r="I120" s="17" t="str">
        <f>VLOOKUP(A120,'Regional lookup table'!$A$2:$B$161,2)</f>
        <v>Eastern Europe &amp; Russia</v>
      </c>
    </row>
    <row r="121" spans="1:9" ht="16">
      <c r="A121" s="10" t="str">
        <f>'Sovereign Ratings (Moody''s,S&amp;P)'!A121</f>
        <v>Russia</v>
      </c>
      <c r="B121" s="138">
        <f>'Country GDP'!B121</f>
        <v>1483.5</v>
      </c>
      <c r="C121" s="11" t="str">
        <f>'Sovereign Ratings (Moody''s,S&amp;P)'!C121</f>
        <v>Baa3</v>
      </c>
      <c r="D121" s="13">
        <f>'10-year CDS Spreads'!C121</f>
        <v>1.7000000000000001E-2</v>
      </c>
      <c r="E121" s="23">
        <f>'ERPs by country'!D127</f>
        <v>1.8729771620717626E-2</v>
      </c>
      <c r="F121" s="12">
        <f>'ERPs by country'!E127</f>
        <v>6.4168798175710431E-2</v>
      </c>
      <c r="G121" s="16">
        <f>'ERPs by country'!F127</f>
        <v>2.1768798175710428E-2</v>
      </c>
      <c r="H121" s="16">
        <f>'Country Tax Rates'!C121</f>
        <v>0.2</v>
      </c>
      <c r="I121" s="17" t="str">
        <f>VLOOKUP(A121,'Regional lookup table'!$A$2:$B$161,2)</f>
        <v>Eastern Europe &amp; Russia</v>
      </c>
    </row>
    <row r="122" spans="1:9" ht="16">
      <c r="A122" s="10" t="str">
        <f>'Sovereign Ratings (Moody''s,S&amp;P)'!A122</f>
        <v>Rwanda</v>
      </c>
      <c r="B122" s="138">
        <f>'Country GDP'!B122</f>
        <v>10.334</v>
      </c>
      <c r="C122" s="11" t="str">
        <f>'Sovereign Ratings (Moody''s,S&amp;P)'!C122</f>
        <v>B2</v>
      </c>
      <c r="D122" s="13">
        <f>'10-year CDS Spreads'!C122</f>
        <v>3.3599999999999998E-2</v>
      </c>
      <c r="E122" s="23">
        <f>'ERPs by country'!D128</f>
        <v>4.6824429051794063E-2</v>
      </c>
      <c r="F122" s="12">
        <f>'ERPs by country'!E128</f>
        <v>9.6821995439276054E-2</v>
      </c>
      <c r="G122" s="16">
        <f>'ERPs by country'!F128</f>
        <v>5.4421995439276061E-2</v>
      </c>
      <c r="H122" s="16">
        <f>'Country Tax Rates'!C122</f>
        <v>0.3</v>
      </c>
      <c r="I122" s="17" t="str">
        <f>VLOOKUP(A122,'Regional lookup table'!$A$2:$B$161,2)</f>
        <v>Africa</v>
      </c>
    </row>
    <row r="123" spans="1:9" ht="16">
      <c r="A123" s="10" t="str">
        <f>'Sovereign Ratings (Moody''s,S&amp;P)'!A123</f>
        <v>Saudi Arabia</v>
      </c>
      <c r="B123" s="138">
        <f>'Country GDP'!B123</f>
        <v>700.11800000000005</v>
      </c>
      <c r="C123" s="11" t="str">
        <f>'Sovereign Ratings (Moody''s,S&amp;P)'!C123</f>
        <v>A1</v>
      </c>
      <c r="D123" s="13">
        <f>'10-year CDS Spreads'!C123</f>
        <v>8.8000000000000005E-3</v>
      </c>
      <c r="E123" s="23">
        <f>'ERPs by country'!D129</f>
        <v>5.987386009901537E-3</v>
      </c>
      <c r="F123" s="12">
        <f>'ERPs by country'!E129</f>
        <v>4.9358878105350057E-2</v>
      </c>
      <c r="G123" s="16">
        <f>'ERPs by country'!F129</f>
        <v>6.958878105350055E-3</v>
      </c>
      <c r="H123" s="16">
        <f>'Country Tax Rates'!C123</f>
        <v>0.2</v>
      </c>
      <c r="I123" s="17" t="str">
        <f>VLOOKUP(A123,'Regional lookup table'!$A$2:$B$161,2)</f>
        <v>Middle East</v>
      </c>
    </row>
    <row r="124" spans="1:9" ht="16">
      <c r="A124" s="10" t="str">
        <f>'Sovereign Ratings (Moody''s,S&amp;P)'!A124</f>
        <v>Senegal</v>
      </c>
      <c r="B124" s="138">
        <f>'Country GDP'!B124</f>
        <v>24.911000000000001</v>
      </c>
      <c r="C124" s="11" t="str">
        <f>'Sovereign Ratings (Moody''s,S&amp;P)'!C124</f>
        <v>Ba3</v>
      </c>
      <c r="D124" s="13">
        <f>'10-year CDS Spreads'!C124</f>
        <v>2.6599999999999999E-2</v>
      </c>
      <c r="E124" s="23">
        <f>'ERPs by country'!D130</f>
        <v>3.0627782281419401E-2</v>
      </c>
      <c r="F124" s="12">
        <f>'ERPs by country'!E130</f>
        <v>7.7997338000444505E-2</v>
      </c>
      <c r="G124" s="16">
        <f>'ERPs by country'!F130</f>
        <v>3.5597338000444512E-2</v>
      </c>
      <c r="H124" s="16">
        <f>'Country Tax Rates'!C124</f>
        <v>0.3</v>
      </c>
      <c r="I124" s="17" t="str">
        <f>VLOOKUP(A124,'Regional lookup table'!$A$2:$B$161,2)</f>
        <v>Africa</v>
      </c>
    </row>
    <row r="125" spans="1:9" ht="16">
      <c r="A125" s="10" t="str">
        <f>'Sovereign Ratings (Moody''s,S&amp;P)'!A125</f>
        <v>Serbia</v>
      </c>
      <c r="B125" s="138">
        <f>'Country GDP'!B125</f>
        <v>52.96</v>
      </c>
      <c r="C125" s="11" t="str">
        <f>'Sovereign Ratings (Moody''s,S&amp;P)'!C125</f>
        <v>Ba2</v>
      </c>
      <c r="D125" s="13">
        <f>'10-year CDS Spreads'!C125</f>
        <v>1.37E-2</v>
      </c>
      <c r="E125" s="23">
        <f>'ERPs by country'!D131</f>
        <v>2.5561532580733477E-2</v>
      </c>
      <c r="F125" s="12">
        <f>'ERPs by country'!E131</f>
        <v>7.2109056526686768E-2</v>
      </c>
      <c r="G125" s="16">
        <f>'ERPs by country'!F131</f>
        <v>2.9709056526686765E-2</v>
      </c>
      <c r="H125" s="16">
        <f>'Country Tax Rates'!C125</f>
        <v>0.15</v>
      </c>
      <c r="I125" s="17" t="str">
        <f>VLOOKUP(A125,'Regional lookup table'!$A$2:$B$161,2)</f>
        <v>Eastern Europe &amp; Russia</v>
      </c>
    </row>
    <row r="126" spans="1:9" ht="16">
      <c r="A126" s="10" t="str">
        <f>'Sovereign Ratings (Moody''s,S&amp;P)'!A126</f>
        <v>Sharjah</v>
      </c>
      <c r="B126" s="138">
        <f>'Country GDP'!B126</f>
        <v>24.8</v>
      </c>
      <c r="C126" s="11" t="str">
        <f>'Sovereign Ratings (Moody''s,S&amp;P)'!C126</f>
        <v>Baa3</v>
      </c>
      <c r="D126" s="13" t="str">
        <f>'10-year CDS Spreads'!C126</f>
        <v>NA</v>
      </c>
      <c r="E126" s="23">
        <f>'ERPs by country'!D132</f>
        <v>1.8729771620717626E-2</v>
      </c>
      <c r="F126" s="12">
        <f>'ERPs by country'!E132</f>
        <v>6.4168798175710431E-2</v>
      </c>
      <c r="G126" s="16">
        <f>'ERPs by country'!F132</f>
        <v>2.1768798175710428E-2</v>
      </c>
      <c r="H126" s="16">
        <f>'Country Tax Rates'!C126</f>
        <v>0</v>
      </c>
      <c r="I126" s="17" t="str">
        <f>VLOOKUP(A126,'Regional lookup table'!$A$2:$B$161,2)</f>
        <v>Middle East</v>
      </c>
    </row>
    <row r="127" spans="1:9" ht="16">
      <c r="A127" s="10" t="str">
        <f>'Sovereign Ratings (Moody''s,S&amp;P)'!A127</f>
        <v>Singapore</v>
      </c>
      <c r="B127" s="138">
        <f>'Country GDP'!B127</f>
        <v>339.99799999999999</v>
      </c>
      <c r="C127" s="11" t="str">
        <f>'Sovereign Ratings (Moody''s,S&amp;P)'!C127</f>
        <v>Aaa</v>
      </c>
      <c r="D127" s="13" t="str">
        <f>'10-year CDS Spreads'!C127</f>
        <v>NA</v>
      </c>
      <c r="E127" s="23">
        <f>'ERPs by country'!D133</f>
        <v>0</v>
      </c>
      <c r="F127" s="12">
        <f>'ERPs by country'!E133</f>
        <v>4.24E-2</v>
      </c>
      <c r="G127" s="16">
        <f>'ERPs by country'!F133</f>
        <v>0</v>
      </c>
      <c r="H127" s="16">
        <f>'Country Tax Rates'!C127</f>
        <v>0.17</v>
      </c>
      <c r="I127" s="17" t="str">
        <f>VLOOKUP(A127,'Regional lookup table'!$A$2:$B$161,2)</f>
        <v>Asia</v>
      </c>
    </row>
    <row r="128" spans="1:9" ht="16">
      <c r="A128" s="10" t="str">
        <f>'Sovereign Ratings (Moody''s,S&amp;P)'!A128</f>
        <v>Slovakia</v>
      </c>
      <c r="B128" s="138">
        <f>'Country GDP'!B128</f>
        <v>104.57</v>
      </c>
      <c r="C128" s="11" t="str">
        <f>'Sovereign Ratings (Moody''s,S&amp;P)'!C128</f>
        <v>A2</v>
      </c>
      <c r="D128" s="13">
        <f>'10-year CDS Spreads'!C128</f>
        <v>6.3E-3</v>
      </c>
      <c r="E128" s="23">
        <f>'ERPs by country'!D134</f>
        <v>7.2155677555223634E-3</v>
      </c>
      <c r="F128" s="12">
        <f>'ERPs by country'!E134</f>
        <v>5.0786340280806475E-2</v>
      </c>
      <c r="G128" s="16">
        <f>'ERPs by country'!F134</f>
        <v>8.3863402808064744E-3</v>
      </c>
      <c r="H128" s="16">
        <f>'Country Tax Rates'!C128</f>
        <v>0.21</v>
      </c>
      <c r="I128" s="17" t="str">
        <f>VLOOKUP(A128,'Regional lookup table'!$A$2:$B$161,2)</f>
        <v>Eastern Europe &amp; Russia</v>
      </c>
    </row>
    <row r="129" spans="1:9" ht="16">
      <c r="A129" s="10" t="str">
        <f>'Sovereign Ratings (Moody''s,S&amp;P)'!A129</f>
        <v>Slovenia</v>
      </c>
      <c r="B129" s="138">
        <f>'Country GDP'!B129</f>
        <v>52.88</v>
      </c>
      <c r="C129" s="11" t="str">
        <f>'Sovereign Ratings (Moody''s,S&amp;P)'!C129</f>
        <v>A3</v>
      </c>
      <c r="D129" s="13">
        <f>'10-year CDS Spreads'!C129</f>
        <v>8.6999999999999994E-3</v>
      </c>
      <c r="E129" s="23">
        <f>'ERPs by country'!D135</f>
        <v>1.0209260760473134E-2</v>
      </c>
      <c r="F129" s="12">
        <f>'ERPs by country'!E135</f>
        <v>5.4265779333481506E-2</v>
      </c>
      <c r="G129" s="16">
        <f>'ERPs by country'!F135</f>
        <v>1.1865779333481504E-2</v>
      </c>
      <c r="H129" s="16">
        <f>'Country Tax Rates'!C129</f>
        <v>0.19</v>
      </c>
      <c r="I129" s="17" t="str">
        <f>VLOOKUP(A129,'Regional lookup table'!$A$2:$B$161,2)</f>
        <v>Eastern Europe &amp; Russia</v>
      </c>
    </row>
    <row r="130" spans="1:9" ht="16">
      <c r="A130" s="10" t="str">
        <f>'Sovereign Ratings (Moody''s,S&amp;P)'!A130</f>
        <v>Solomon Islands</v>
      </c>
      <c r="B130" s="138">
        <f>'Country GDP'!B130</f>
        <v>1.5509999999999999</v>
      </c>
      <c r="C130" s="11" t="str">
        <f>'Sovereign Ratings (Moody''s,S&amp;P)'!C130</f>
        <v>Caa1</v>
      </c>
      <c r="D130" s="13" t="str">
        <f>'10-year CDS Spreads'!C130</f>
        <v>NA</v>
      </c>
      <c r="E130" s="23">
        <f>'ERPs by country'!D136</f>
        <v>6.3788689413181762E-2</v>
      </c>
      <c r="F130" s="12">
        <f>'ERPs by country'!E136</f>
        <v>0.11653881673776789</v>
      </c>
      <c r="G130" s="16">
        <f>'ERPs by country'!F136</f>
        <v>7.4138816737767899E-2</v>
      </c>
      <c r="H130" s="16">
        <f>'Country Tax Rates'!C130</f>
        <v>0.3</v>
      </c>
      <c r="I130" s="17" t="str">
        <f>VLOOKUP(A130,'Regional lookup table'!$A$2:$B$161,2)</f>
        <v>Asia</v>
      </c>
    </row>
    <row r="131" spans="1:9" ht="16">
      <c r="A131" s="10" t="str">
        <f>'Sovereign Ratings (Moody''s,S&amp;P)'!A131</f>
        <v>South Africa</v>
      </c>
      <c r="B131" s="138">
        <f>'Country GDP'!B131</f>
        <v>301.92399999999998</v>
      </c>
      <c r="C131" s="11" t="str">
        <f>'Sovereign Ratings (Moody''s,S&amp;P)'!C131</f>
        <v>Ba2</v>
      </c>
      <c r="D131" s="13">
        <f>'10-year CDS Spreads'!C131</f>
        <v>2.8500000000000001E-2</v>
      </c>
      <c r="E131" s="23">
        <f>'ERPs by country'!D137</f>
        <v>2.5561532580733477E-2</v>
      </c>
      <c r="F131" s="12">
        <f>'ERPs by country'!E137</f>
        <v>7.2109056526686768E-2</v>
      </c>
      <c r="G131" s="16">
        <f>'ERPs by country'!F137</f>
        <v>2.9709056526686765E-2</v>
      </c>
      <c r="H131" s="16">
        <f>'Country Tax Rates'!C131</f>
        <v>0.28000000000000003</v>
      </c>
      <c r="I131" s="17" t="str">
        <f>VLOOKUP(A131,'Regional lookup table'!$A$2:$B$161,2)</f>
        <v>Africa</v>
      </c>
    </row>
    <row r="132" spans="1:9" ht="16">
      <c r="A132" s="10" t="str">
        <f>'Sovereign Ratings (Moody''s,S&amp;P)'!A132</f>
        <v>Spain</v>
      </c>
      <c r="B132" s="138">
        <f>'Country GDP'!B132</f>
        <v>1281.1990000000001</v>
      </c>
      <c r="C132" s="11" t="str">
        <f>'Sovereign Ratings (Moody''s,S&amp;P)'!C132</f>
        <v>Baa1</v>
      </c>
      <c r="D132" s="13">
        <f>'10-year CDS Spreads'!C132</f>
        <v>6.0000000000000001E-3</v>
      </c>
      <c r="E132" s="23">
        <f>'ERPs by country'!D138</f>
        <v>1.358676056093041E-2</v>
      </c>
      <c r="F132" s="12">
        <f>'ERPs by country'!E138</f>
        <v>5.8191300315986662E-2</v>
      </c>
      <c r="G132" s="16">
        <f>'ERPs by country'!F138</f>
        <v>1.5791300315986662E-2</v>
      </c>
      <c r="H132" s="16">
        <f>'Country Tax Rates'!C132</f>
        <v>0.25</v>
      </c>
      <c r="I132" s="17" t="str">
        <f>VLOOKUP(A132,'Regional lookup table'!$A$2:$B$161,2)</f>
        <v>Western Europe</v>
      </c>
    </row>
    <row r="133" spans="1:9" ht="16">
      <c r="A133" s="10" t="str">
        <f>'Sovereign Ratings (Moody''s,S&amp;P)'!A133</f>
        <v>Sri Lanka</v>
      </c>
      <c r="B133" s="138">
        <f>'Country GDP'!B133</f>
        <v>80.706999999999994</v>
      </c>
      <c r="C133" s="11" t="str">
        <f>'Sovereign Ratings (Moody''s,S&amp;P)'!C133</f>
        <v>Caa2</v>
      </c>
      <c r="D133" s="13">
        <f>'10-year CDS Spreads'!C133</f>
        <v>0.19689999999999999</v>
      </c>
      <c r="E133" s="23">
        <f>'ERPs by country'!D139</f>
        <v>7.6607836383099148E-2</v>
      </c>
      <c r="F133" s="12">
        <f>'ERPs by country'!E139</f>
        <v>0.13143795319409429</v>
      </c>
      <c r="G133" s="16">
        <f>'ERPs by country'!F139</f>
        <v>8.9037953194094299E-2</v>
      </c>
      <c r="H133" s="16">
        <f>'Country Tax Rates'!C133</f>
        <v>0.24</v>
      </c>
      <c r="I133" s="17" t="str">
        <f>VLOOKUP(A133,'Regional lookup table'!$A$2:$B$161,2)</f>
        <v>Asia</v>
      </c>
    </row>
    <row r="134" spans="1:9" ht="16">
      <c r="A134" s="10" t="str">
        <f>'Sovereign Ratings (Moody''s,S&amp;P)'!A134</f>
        <v>St. Maarten</v>
      </c>
      <c r="B134" s="138">
        <f>'Country GDP'!B134</f>
        <v>1.19</v>
      </c>
      <c r="C134" s="11" t="str">
        <f>'Sovereign Ratings (Moody''s,S&amp;P)'!C134</f>
        <v>Ba2</v>
      </c>
      <c r="D134" s="13" t="str">
        <f>'10-year CDS Spreads'!C134</f>
        <v>NA</v>
      </c>
      <c r="E134" s="23">
        <f>'ERPs by country'!D140</f>
        <v>2.5561532580733477E-2</v>
      </c>
      <c r="F134" s="12">
        <f>'ERPs by country'!E140</f>
        <v>7.2109056526686768E-2</v>
      </c>
      <c r="G134" s="16">
        <f>'ERPs by country'!F140</f>
        <v>2.9709056526686765E-2</v>
      </c>
      <c r="H134" s="16">
        <f>'Country Tax Rates'!C134</f>
        <v>0.27179999999999999</v>
      </c>
      <c r="I134" s="17" t="str">
        <f>VLOOKUP(A134,'Regional lookup table'!$A$2:$B$161,2)</f>
        <v>Caribbean</v>
      </c>
    </row>
    <row r="135" spans="1:9" ht="16">
      <c r="A135" s="10" t="str">
        <f>'Sovereign Ratings (Moody''s,S&amp;P)'!A135</f>
        <v>St. Vincent &amp; the Grenadines</v>
      </c>
      <c r="B135" s="138">
        <f>'Country GDP'!B135</f>
        <v>0.81</v>
      </c>
      <c r="C135" s="11" t="str">
        <f>'Sovereign Ratings (Moody''s,S&amp;P)'!C135</f>
        <v>B3</v>
      </c>
      <c r="D135" s="13" t="str">
        <f>'10-year CDS Spreads'!C135</f>
        <v>NA</v>
      </c>
      <c r="E135" s="23">
        <f>'ERPs by country'!D141</f>
        <v>5.5344939912038545E-2</v>
      </c>
      <c r="F135" s="12">
        <f>'ERPs by country'!E141</f>
        <v>0.10672501428150497</v>
      </c>
      <c r="G135" s="16">
        <f>'ERPs by country'!F141</f>
        <v>6.4325014281504972E-2</v>
      </c>
      <c r="H135" s="16">
        <f>'Country Tax Rates'!C135</f>
        <v>0.27179999999999999</v>
      </c>
      <c r="I135" s="17" t="str">
        <f>VLOOKUP(A135,'Regional lookup table'!$A$2:$B$161,2)</f>
        <v>Caribbean</v>
      </c>
    </row>
    <row r="136" spans="1:9" ht="16">
      <c r="A136" s="10" t="str">
        <f>'Sovereign Ratings (Moody''s,S&amp;P)'!A136</f>
        <v>Suriname</v>
      </c>
      <c r="B136" s="138">
        <f>'Country GDP'!B136</f>
        <v>3.8079999999999998</v>
      </c>
      <c r="C136" s="11" t="str">
        <f>'Sovereign Ratings (Moody''s,S&amp;P)'!C136</f>
        <v>Caa3</v>
      </c>
      <c r="D136" s="13" t="str">
        <f>'10-year CDS Spreads'!C136</f>
        <v>NA</v>
      </c>
      <c r="E136" s="23">
        <f>'ERPs by country'!D142</f>
        <v>8.5051585884242345E-2</v>
      </c>
      <c r="F136" s="12">
        <f>'ERPs by country'!E142</f>
        <v>0.14125175565035719</v>
      </c>
      <c r="G136" s="16">
        <f>'ERPs by country'!F142</f>
        <v>9.8851755650357198E-2</v>
      </c>
      <c r="H136" s="16">
        <f>'Country Tax Rates'!C136</f>
        <v>0.36</v>
      </c>
      <c r="I136" s="17" t="str">
        <f>VLOOKUP(A136,'Regional lookup table'!$A$2:$B$161,2)</f>
        <v>Central and South America</v>
      </c>
    </row>
    <row r="137" spans="1:9" ht="16">
      <c r="A137" s="10" t="str">
        <f>'Sovereign Ratings (Moody''s,S&amp;P)'!A137</f>
        <v>Swaziland</v>
      </c>
      <c r="B137" s="138">
        <f>'Country GDP'!B137</f>
        <v>3.96</v>
      </c>
      <c r="C137" s="11" t="str">
        <f>'Sovereign Ratings (Moody''s,S&amp;P)'!C137</f>
        <v>B3</v>
      </c>
      <c r="D137" s="13" t="str">
        <f>'10-year CDS Spreads'!C137</f>
        <v>NA</v>
      </c>
      <c r="E137" s="23">
        <f>'ERPs by country'!D143</f>
        <v>5.5344939912038545E-2</v>
      </c>
      <c r="F137" s="12">
        <f>'ERPs by country'!E143</f>
        <v>0.10672501428150497</v>
      </c>
      <c r="G137" s="16">
        <f>'ERPs by country'!F143</f>
        <v>6.4325014281504972E-2</v>
      </c>
      <c r="H137" s="16">
        <f>'Country Tax Rates'!C137</f>
        <v>0.27500000000000002</v>
      </c>
      <c r="I137" s="17" t="str">
        <f>VLOOKUP(A137,'Regional lookup table'!$A$2:$B$161,2)</f>
        <v>Africa</v>
      </c>
    </row>
    <row r="138" spans="1:9" ht="16">
      <c r="A138" s="10" t="str">
        <f>'Sovereign Ratings (Moody''s,S&amp;P)'!A138</f>
        <v>Sweden</v>
      </c>
      <c r="B138" s="138">
        <f>'Country GDP'!B138</f>
        <v>537.61</v>
      </c>
      <c r="C138" s="11" t="str">
        <f>'Sovereign Ratings (Moody''s,S&amp;P)'!C138</f>
        <v>Aaa</v>
      </c>
      <c r="D138" s="13">
        <f>'10-year CDS Spreads'!C138</f>
        <v>1.9E-3</v>
      </c>
      <c r="E138" s="23">
        <f>'ERPs by country'!D144</f>
        <v>0</v>
      </c>
      <c r="F138" s="12">
        <f>'ERPs by country'!E144</f>
        <v>4.24E-2</v>
      </c>
      <c r="G138" s="16">
        <f>'ERPs by country'!F144</f>
        <v>0</v>
      </c>
      <c r="H138" s="16">
        <f>'Country Tax Rates'!C138</f>
        <v>0.20600000000000002</v>
      </c>
      <c r="I138" s="17" t="str">
        <f>VLOOKUP(A138,'Regional lookup table'!$A$2:$B$161,2)</f>
        <v>Western Europe</v>
      </c>
    </row>
    <row r="139" spans="1:9" ht="16">
      <c r="A139" s="10" t="str">
        <f>'Sovereign Ratings (Moody''s,S&amp;P)'!A139</f>
        <v>Switzerland</v>
      </c>
      <c r="B139" s="138">
        <f>'Country GDP'!B139</f>
        <v>747.96900000000005</v>
      </c>
      <c r="C139" s="11" t="str">
        <f>'Sovereign Ratings (Moody''s,S&amp;P)'!C139</f>
        <v>Aaa</v>
      </c>
      <c r="D139" s="13">
        <f>'10-year CDS Spreads'!C139</f>
        <v>1.1000000000000001E-3</v>
      </c>
      <c r="E139" s="23">
        <f>'ERPs by country'!D145</f>
        <v>0</v>
      </c>
      <c r="F139" s="12">
        <f>'ERPs by country'!E145</f>
        <v>4.24E-2</v>
      </c>
      <c r="G139" s="16">
        <f>'ERPs by country'!F145</f>
        <v>0</v>
      </c>
      <c r="H139" s="16">
        <f>'Country Tax Rates'!C139</f>
        <v>0.14929999999999999</v>
      </c>
      <c r="I139" s="17" t="str">
        <f>VLOOKUP(A139,'Regional lookup table'!$A$2:$B$161,2)</f>
        <v>Western Europe</v>
      </c>
    </row>
    <row r="140" spans="1:9" ht="16">
      <c r="A140" s="10" t="str">
        <f>'Sovereign Ratings (Moody''s,S&amp;P)'!A140</f>
        <v>Taiwan</v>
      </c>
      <c r="B140" s="138">
        <f>'Country GDP'!B140</f>
        <v>689</v>
      </c>
      <c r="C140" s="11" t="str">
        <f>'Sovereign Ratings (Moody''s,S&amp;P)'!C140</f>
        <v>Aa3</v>
      </c>
      <c r="D140" s="13" t="str">
        <f>'10-year CDS Spreads'!C140</f>
        <v>NA</v>
      </c>
      <c r="E140" s="23">
        <f>'ERPs by country'!D146</f>
        <v>5.1430110597872171E-3</v>
      </c>
      <c r="F140" s="12">
        <f>'ERPs by country'!E146</f>
        <v>4.8377497859723763E-2</v>
      </c>
      <c r="G140" s="16">
        <f>'ERPs by country'!F146</f>
        <v>5.9774978597237644E-3</v>
      </c>
      <c r="H140" s="16">
        <f>'Country Tax Rates'!C140</f>
        <v>0.2</v>
      </c>
      <c r="I140" s="17" t="str">
        <f>VLOOKUP(A140,'Regional lookup table'!$A$2:$B$161,2)</f>
        <v>Asia</v>
      </c>
    </row>
    <row r="141" spans="1:9" ht="16">
      <c r="A141" s="10" t="str">
        <f>'Sovereign Ratings (Moody''s,S&amp;P)'!A141</f>
        <v>Tajikistan</v>
      </c>
      <c r="B141" s="138">
        <f>'Country GDP'!B141</f>
        <v>8.1940000000000008</v>
      </c>
      <c r="C141" s="11" t="str">
        <f>'Sovereign Ratings (Moody''s,S&amp;P)'!C141</f>
        <v>B3</v>
      </c>
      <c r="D141" s="13" t="str">
        <f>'10-year CDS Spreads'!C141</f>
        <v>NA</v>
      </c>
      <c r="E141" s="23">
        <f>'ERPs by country'!D147</f>
        <v>5.5344939912038545E-2</v>
      </c>
      <c r="F141" s="12">
        <f>'ERPs by country'!E147</f>
        <v>0.10672501428150497</v>
      </c>
      <c r="G141" s="16">
        <f>'ERPs by country'!F147</f>
        <v>6.4325014281504972E-2</v>
      </c>
      <c r="H141" s="16">
        <f>'Country Tax Rates'!C141</f>
        <v>0.2281</v>
      </c>
      <c r="I141" s="17" t="str">
        <f>VLOOKUP(A141,'Regional lookup table'!$A$2:$B$161,2)</f>
        <v>Eastern Europe &amp; Russia</v>
      </c>
    </row>
    <row r="142" spans="1:9" ht="16">
      <c r="A142" s="10" t="str">
        <f>'Sovereign Ratings (Moody''s,S&amp;P)'!A142</f>
        <v>Tanzania</v>
      </c>
      <c r="B142" s="138">
        <f>'Country GDP'!B142</f>
        <v>62.41</v>
      </c>
      <c r="C142" s="11" t="str">
        <f>'Sovereign Ratings (Moody''s,S&amp;P)'!C142</f>
        <v>B2</v>
      </c>
      <c r="D142" s="13" t="str">
        <f>'10-year CDS Spreads'!C142</f>
        <v>NA</v>
      </c>
      <c r="E142" s="23">
        <f>'ERPs by country'!D148</f>
        <v>4.6824429051794063E-2</v>
      </c>
      <c r="F142" s="12">
        <f>'ERPs by country'!E148</f>
        <v>9.6821995439276054E-2</v>
      </c>
      <c r="G142" s="16">
        <f>'ERPs by country'!F148</f>
        <v>5.4421995439276061E-2</v>
      </c>
      <c r="H142" s="16">
        <f>'Country Tax Rates'!C142</f>
        <v>0.3</v>
      </c>
      <c r="I142" s="17" t="str">
        <f>VLOOKUP(A142,'Regional lookup table'!$A$2:$B$161,2)</f>
        <v>Africa</v>
      </c>
    </row>
    <row r="143" spans="1:9" ht="16">
      <c r="A143" s="10" t="str">
        <f>'Sovereign Ratings (Moody''s,S&amp;P)'!A143</f>
        <v>Thailand</v>
      </c>
      <c r="B143" s="138">
        <f>'Country GDP'!B143</f>
        <v>501.79500000000002</v>
      </c>
      <c r="C143" s="11" t="str">
        <f>'Sovereign Ratings (Moody''s,S&amp;P)'!C143</f>
        <v>Baa1</v>
      </c>
      <c r="D143" s="13">
        <f>'10-year CDS Spreads'!C143</f>
        <v>5.1999999999999998E-3</v>
      </c>
      <c r="E143" s="23">
        <f>'ERPs by country'!D149</f>
        <v>1.358676056093041E-2</v>
      </c>
      <c r="F143" s="12">
        <f>'ERPs by country'!E149</f>
        <v>5.8191300315986662E-2</v>
      </c>
      <c r="G143" s="16">
        <f>'ERPs by country'!F149</f>
        <v>1.5791300315986662E-2</v>
      </c>
      <c r="H143" s="16">
        <f>'Country Tax Rates'!C143</f>
        <v>0.2</v>
      </c>
      <c r="I143" s="17" t="str">
        <f>VLOOKUP(A143,'Regional lookup table'!$A$2:$B$161,2)</f>
        <v>Asia</v>
      </c>
    </row>
    <row r="144" spans="1:9" ht="16">
      <c r="A144" s="10" t="str">
        <f>'Sovereign Ratings (Moody''s,S&amp;P)'!A144</f>
        <v>Togo</v>
      </c>
      <c r="B144" s="138">
        <f>'Country GDP'!B144</f>
        <v>7.5750000000000002</v>
      </c>
      <c r="C144" s="11" t="str">
        <f>'Sovereign Ratings (Moody''s,S&amp;P)'!C144</f>
        <v>B3</v>
      </c>
      <c r="D144" s="13" t="str">
        <f>'10-year CDS Spreads'!C144</f>
        <v>NA</v>
      </c>
      <c r="E144" s="23">
        <f>'ERPs by country'!D150</f>
        <v>5.5344939912038545E-2</v>
      </c>
      <c r="F144" s="12">
        <f>'ERPs by country'!E150</f>
        <v>0.10672501428150497</v>
      </c>
      <c r="G144" s="16">
        <f>'ERPs by country'!F150</f>
        <v>6.4325014281504972E-2</v>
      </c>
      <c r="H144" s="16">
        <f>'Country Tax Rates'!C144</f>
        <v>0.2281</v>
      </c>
      <c r="I144" s="17" t="str">
        <f>VLOOKUP(A144,'Regional lookup table'!$A$2:$B$161,2)</f>
        <v>Africa</v>
      </c>
    </row>
    <row r="145" spans="1:9" ht="16">
      <c r="A145" s="10" t="str">
        <f>'Sovereign Ratings (Moody''s,S&amp;P)'!A145</f>
        <v>Trinidad and Tobago</v>
      </c>
      <c r="B145" s="138">
        <f>'Country GDP'!B145</f>
        <v>21.53</v>
      </c>
      <c r="C145" s="11" t="str">
        <f>'Sovereign Ratings (Moody''s,S&amp;P)'!C145</f>
        <v>Ba2</v>
      </c>
      <c r="D145" s="13" t="str">
        <f>'10-year CDS Spreads'!C145</f>
        <v>NA</v>
      </c>
      <c r="E145" s="23">
        <f>'ERPs by country'!D151</f>
        <v>2.5561532580733477E-2</v>
      </c>
      <c r="F145" s="12">
        <f>'ERPs by country'!E151</f>
        <v>7.2109056526686768E-2</v>
      </c>
      <c r="G145" s="16">
        <f>'ERPs by country'!F151</f>
        <v>2.9709056526686765E-2</v>
      </c>
      <c r="H145" s="16">
        <f>'Country Tax Rates'!C145</f>
        <v>0.3</v>
      </c>
      <c r="I145" s="17" t="str">
        <f>VLOOKUP(A145,'Regional lookup table'!$A$2:$B$161,2)</f>
        <v>Caribbean</v>
      </c>
    </row>
    <row r="146" spans="1:9" ht="16">
      <c r="A146" s="10" t="str">
        <f>'Sovereign Ratings (Moody''s,S&amp;P)'!A146</f>
        <v>Tunisia</v>
      </c>
      <c r="B146" s="138">
        <f>'Country GDP'!B146</f>
        <v>39.235999999999997</v>
      </c>
      <c r="C146" s="11" t="str">
        <f>'Sovereign Ratings (Moody''s,S&amp;P)'!C146</f>
        <v>Caa1</v>
      </c>
      <c r="D146" s="13">
        <f>'10-year CDS Spreads'!C146</f>
        <v>8.8200000000000001E-2</v>
      </c>
      <c r="E146" s="23">
        <f>'ERPs by country'!D152</f>
        <v>6.3788689413181762E-2</v>
      </c>
      <c r="F146" s="12">
        <f>'ERPs by country'!E152</f>
        <v>0.11653881673776789</v>
      </c>
      <c r="G146" s="16">
        <f>'ERPs by country'!F152</f>
        <v>7.4138816737767899E-2</v>
      </c>
      <c r="H146" s="16">
        <f>'Country Tax Rates'!C146</f>
        <v>0.15</v>
      </c>
      <c r="I146" s="17" t="str">
        <f>VLOOKUP(A146,'Regional lookup table'!$A$2:$B$161,2)</f>
        <v>Africa</v>
      </c>
    </row>
    <row r="147" spans="1:9" ht="16">
      <c r="A147" s="10" t="str">
        <f>'Sovereign Ratings (Moody''s,S&amp;P)'!A147</f>
        <v>Turkey</v>
      </c>
      <c r="B147" s="138">
        <f>'Country GDP'!B147</f>
        <v>720.101</v>
      </c>
      <c r="C147" s="11" t="str">
        <f>'Sovereign Ratings (Moody''s,S&amp;P)'!C147</f>
        <v>B2</v>
      </c>
      <c r="D147" s="13">
        <f>'10-year CDS Spreads'!C147</f>
        <v>5.5100000000000003E-2</v>
      </c>
      <c r="E147" s="23">
        <f>'ERPs by country'!D153</f>
        <v>4.6824429051794063E-2</v>
      </c>
      <c r="F147" s="12">
        <f>'ERPs by country'!E153</f>
        <v>9.6821995439276054E-2</v>
      </c>
      <c r="G147" s="16">
        <f>'ERPs by country'!F153</f>
        <v>5.4421995439276061E-2</v>
      </c>
      <c r="H147" s="16">
        <f>'Country Tax Rates'!C147</f>
        <v>0.2</v>
      </c>
      <c r="I147" s="17" t="str">
        <f>VLOOKUP(A147,'Regional lookup table'!$A$2:$B$161,2)</f>
        <v>Western Europe</v>
      </c>
    </row>
    <row r="148" spans="1:9" ht="16">
      <c r="A148" s="10" t="str">
        <f>'Sovereign Ratings (Moody''s,S&amp;P)'!A148</f>
        <v>Turks and Caicos Islands</v>
      </c>
      <c r="B148" s="138">
        <f>'Country GDP'!B148</f>
        <v>0.92500000000000004</v>
      </c>
      <c r="C148" s="11" t="str">
        <f>'Sovereign Ratings (Moody''s,S&amp;P)'!C148</f>
        <v>Baa1</v>
      </c>
      <c r="D148" s="13" t="str">
        <f>'10-year CDS Spreads'!C148</f>
        <v>NA</v>
      </c>
      <c r="E148" s="23">
        <f>'ERPs by country'!D154</f>
        <v>1.358676056093041E-2</v>
      </c>
      <c r="F148" s="12">
        <f>'ERPs by country'!E154</f>
        <v>5.8191300315986662E-2</v>
      </c>
      <c r="G148" s="16">
        <f>'ERPs by country'!F154</f>
        <v>1.5791300315986662E-2</v>
      </c>
      <c r="H148" s="16">
        <f>'Country Tax Rates'!C148</f>
        <v>0</v>
      </c>
      <c r="I148" s="17" t="str">
        <f>VLOOKUP(A148,'Regional lookup table'!$A$2:$B$161,2)</f>
        <v>Caribbean</v>
      </c>
    </row>
    <row r="149" spans="1:9" ht="16">
      <c r="A149" s="10" t="str">
        <f>'Sovereign Ratings (Moody''s,S&amp;P)'!A149</f>
        <v>Uganda</v>
      </c>
      <c r="B149" s="138">
        <f>'Country GDP'!B149</f>
        <v>37.372</v>
      </c>
      <c r="C149" s="11" t="str">
        <f>'Sovereign Ratings (Moody''s,S&amp;P)'!C149</f>
        <v>B2</v>
      </c>
      <c r="D149" s="13" t="str">
        <f>'10-year CDS Spreads'!C149</f>
        <v>NA</v>
      </c>
      <c r="E149" s="23">
        <f>'ERPs by country'!D155</f>
        <v>4.6824429051794063E-2</v>
      </c>
      <c r="F149" s="12">
        <f>'ERPs by country'!E155</f>
        <v>9.6821995439276054E-2</v>
      </c>
      <c r="G149" s="16">
        <f>'ERPs by country'!F155</f>
        <v>5.4421995439276061E-2</v>
      </c>
      <c r="H149" s="16">
        <f>'Country Tax Rates'!C149</f>
        <v>0.3</v>
      </c>
      <c r="I149" s="17" t="str">
        <f>VLOOKUP(A149,'Regional lookup table'!$A$2:$B$161,2)</f>
        <v>Africa</v>
      </c>
    </row>
    <row r="150" spans="1:9" ht="16">
      <c r="A150" s="10" t="str">
        <f>'Sovereign Ratings (Moody''s,S&amp;P)'!A150</f>
        <v>Ukraine</v>
      </c>
      <c r="B150" s="138">
        <f>'Country GDP'!B150</f>
        <v>155.58199999999999</v>
      </c>
      <c r="C150" s="11" t="str">
        <f>'Sovereign Ratings (Moody''s,S&amp;P)'!C150</f>
        <v>B3</v>
      </c>
      <c r="D150" s="13">
        <f>'10-year CDS Spreads'!C150</f>
        <v>6.1699999999999998E-2</v>
      </c>
      <c r="E150" s="23">
        <f>'ERPs by country'!D156</f>
        <v>5.5344939912038545E-2</v>
      </c>
      <c r="F150" s="12">
        <f>'ERPs by country'!E156</f>
        <v>0.10672501428150497</v>
      </c>
      <c r="G150" s="16">
        <f>'ERPs by country'!F156</f>
        <v>6.4325014281504972E-2</v>
      </c>
      <c r="H150" s="16">
        <f>'Country Tax Rates'!C150</f>
        <v>0.18</v>
      </c>
      <c r="I150" s="17" t="str">
        <f>VLOOKUP(A150,'Regional lookup table'!$A$2:$B$161,2)</f>
        <v>Eastern Europe &amp; Russia</v>
      </c>
    </row>
    <row r="151" spans="1:9" ht="16">
      <c r="A151" s="10" t="str">
        <f>'Sovereign Ratings (Moody''s,S&amp;P)'!A151</f>
        <v>United Arab Emirates</v>
      </c>
      <c r="B151" s="138">
        <f>'Country GDP'!B151</f>
        <v>421.142</v>
      </c>
      <c r="C151" s="11" t="str">
        <f>'Sovereign Ratings (Moody''s,S&amp;P)'!C151</f>
        <v>Aa2</v>
      </c>
      <c r="D151" s="13" t="str">
        <f>'10-year CDS Spreads'!C151</f>
        <v>NA</v>
      </c>
      <c r="E151" s="23">
        <f>'ERPs by country'!D157</f>
        <v>4.2218747505715949E-3</v>
      </c>
      <c r="F151" s="12">
        <f>'ERPs by country'!E157</f>
        <v>4.730690122813145E-2</v>
      </c>
      <c r="G151" s="16">
        <f>'ERPs by country'!F157</f>
        <v>4.9069012281314477E-3</v>
      </c>
      <c r="H151" s="16">
        <f>'Country Tax Rates'!C151</f>
        <v>0.55000000000000004</v>
      </c>
      <c r="I151" s="17" t="str">
        <f>VLOOKUP(A151,'Regional lookup table'!$A$2:$B$161,2)</f>
        <v>Middle East</v>
      </c>
    </row>
    <row r="152" spans="1:9" ht="16">
      <c r="A152" s="10" t="str">
        <f>'Sovereign Ratings (Moody''s,S&amp;P)'!A152</f>
        <v>United Kingdom</v>
      </c>
      <c r="B152" s="138">
        <f>'Country GDP'!B152</f>
        <v>2707.7440000000001</v>
      </c>
      <c r="C152" s="11" t="str">
        <f>'Sovereign Ratings (Moody''s,S&amp;P)'!C152</f>
        <v>Aa3</v>
      </c>
      <c r="D152" s="13">
        <f>'10-year CDS Spreads'!C152</f>
        <v>1.8E-3</v>
      </c>
      <c r="E152" s="23">
        <f>'ERPs by country'!D158</f>
        <v>5.1430110597872171E-3</v>
      </c>
      <c r="F152" s="12">
        <f>'ERPs by country'!E158</f>
        <v>4.8377497859723763E-2</v>
      </c>
      <c r="G152" s="16">
        <f>'ERPs by country'!F158</f>
        <v>5.9774978597237644E-3</v>
      </c>
      <c r="H152" s="16">
        <f>'Country Tax Rates'!C152</f>
        <v>0.19</v>
      </c>
      <c r="I152" s="17" t="str">
        <f>VLOOKUP(A152,'Regional lookup table'!$A$2:$B$161,2)</f>
        <v>Western Europe</v>
      </c>
    </row>
    <row r="153" spans="1:9" ht="15" customHeight="1">
      <c r="A153" s="10" t="str">
        <f>'Sovereign Ratings (Moody''s,S&amp;P)'!A153</f>
        <v>United States</v>
      </c>
      <c r="B153" s="138">
        <f>'Country GDP'!B153</f>
        <v>20936.599999999999</v>
      </c>
      <c r="C153" s="11" t="str">
        <f>'Sovereign Ratings (Moody''s,S&amp;P)'!C153</f>
        <v>Aaa</v>
      </c>
      <c r="D153" s="13">
        <f>'10-year CDS Spreads'!C153</f>
        <v>1.9E-3</v>
      </c>
      <c r="E153" s="23">
        <f>'ERPs by country'!D159</f>
        <v>0</v>
      </c>
      <c r="F153" s="12">
        <f>'ERPs by country'!E159</f>
        <v>4.24E-2</v>
      </c>
      <c r="G153" s="16">
        <f>'ERPs by country'!F159</f>
        <v>0</v>
      </c>
      <c r="H153" s="16">
        <f>'Country Tax Rates'!C153</f>
        <v>0.27</v>
      </c>
      <c r="I153" s="17" t="str">
        <f>VLOOKUP(A153,'Regional lookup table'!$A$2:$B$161,2)</f>
        <v>North America</v>
      </c>
    </row>
    <row r="154" spans="1:9" ht="16">
      <c r="A154" s="10" t="str">
        <f>'Sovereign Ratings (Moody''s,S&amp;P)'!A154</f>
        <v>Uruguay</v>
      </c>
      <c r="B154" s="138">
        <f>'Country GDP'!B154</f>
        <v>53.628999999999998</v>
      </c>
      <c r="C154" s="11" t="str">
        <f>'Sovereign Ratings (Moody''s,S&amp;P)'!C154</f>
        <v>Baa2</v>
      </c>
      <c r="D154" s="13">
        <f>'10-year CDS Spreads'!C154</f>
        <v>1.46E-2</v>
      </c>
      <c r="E154" s="23">
        <f>'ERPs by country'!D160</f>
        <v>1.6196646770374669E-2</v>
      </c>
      <c r="F154" s="12">
        <f>'ERPs by country'!E160</f>
        <v>6.1224657438831556E-2</v>
      </c>
      <c r="G154" s="16">
        <f>'ERPs by country'!F160</f>
        <v>1.8824657438831559E-2</v>
      </c>
      <c r="H154" s="16">
        <f>'Country Tax Rates'!C154</f>
        <v>0.25</v>
      </c>
      <c r="I154" s="17" t="str">
        <f>VLOOKUP(A154,'Regional lookup table'!$A$2:$B$161,2)</f>
        <v>Central and South America</v>
      </c>
    </row>
    <row r="155" spans="1:9" ht="16">
      <c r="A155" s="10" t="str">
        <f>'Sovereign Ratings (Moody''s,S&amp;P)'!A155</f>
        <v>Uzbekistan</v>
      </c>
      <c r="B155" s="138">
        <f>'Country GDP'!B155</f>
        <v>57.707000000000001</v>
      </c>
      <c r="C155" s="11" t="str">
        <f>'Sovereign Ratings (Moody''s,S&amp;P)'!C155</f>
        <v>B1</v>
      </c>
      <c r="D155" s="13" t="str">
        <f>'10-year CDS Spreads'!C155</f>
        <v>NA</v>
      </c>
      <c r="E155" s="23">
        <f>'ERPs by country'!D161</f>
        <v>3.8303918191549574E-2</v>
      </c>
      <c r="F155" s="12">
        <f>'ERPs by country'!E161</f>
        <v>8.6918976597047143E-2</v>
      </c>
      <c r="G155" s="16">
        <f>'ERPs by country'!F161</f>
        <v>4.451897659704715E-2</v>
      </c>
      <c r="H155" s="16">
        <f>'Country Tax Rates'!C155</f>
        <v>7.4999999999999997E-2</v>
      </c>
      <c r="I155" s="17" t="str">
        <f>VLOOKUP(A155,'Regional lookup table'!$A$2:$B$161,2)</f>
        <v>Eastern Europe &amp; Russia</v>
      </c>
    </row>
    <row r="156" spans="1:9" ht="16">
      <c r="A156" s="10" t="str">
        <f>'Sovereign Ratings (Moody''s,S&amp;P)'!A156</f>
        <v>Venezuela</v>
      </c>
      <c r="B156" s="138">
        <f>'Country GDP'!B156</f>
        <v>98.4</v>
      </c>
      <c r="C156" s="11" t="str">
        <f>'Sovereign Ratings (Moody''s,S&amp;P)'!C156</f>
        <v>C</v>
      </c>
      <c r="D156" s="13" t="str">
        <f>'10-year CDS Spreads'!C156</f>
        <v>NA</v>
      </c>
      <c r="E156" s="23">
        <f>'ERPs by country'!D162</f>
        <v>0.17499999999999999</v>
      </c>
      <c r="F156" s="12">
        <f>'ERPs by country'!E162</f>
        <v>0.24579488157642376</v>
      </c>
      <c r="G156" s="16">
        <f>'ERPs by country'!F162</f>
        <v>0.20339488157642377</v>
      </c>
      <c r="H156" s="16">
        <f>'Country Tax Rates'!C156</f>
        <v>0.34</v>
      </c>
      <c r="I156" s="17" t="str">
        <f>VLOOKUP(A156,'Regional lookup table'!$A$2:$B$161,2)</f>
        <v>Central and South America</v>
      </c>
    </row>
    <row r="157" spans="1:9" ht="16">
      <c r="A157" s="10" t="str">
        <f>'Sovereign Ratings (Moody''s,S&amp;P)'!A157</f>
        <v>Vietnam</v>
      </c>
      <c r="B157" s="138">
        <f>'Country GDP'!B157</f>
        <v>271.15800000000002</v>
      </c>
      <c r="C157" s="11" t="str">
        <f>'Sovereign Ratings (Moody''s,S&amp;P)'!C157</f>
        <v>Ba3</v>
      </c>
      <c r="D157" s="13">
        <f>'10-year CDS Spreads'!C157</f>
        <v>1.5599999999999999E-2</v>
      </c>
      <c r="E157" s="23">
        <f>'ERPs by country'!D163</f>
        <v>3.0627782281419401E-2</v>
      </c>
      <c r="F157" s="12">
        <f>'ERPs by country'!E163</f>
        <v>7.7997338000444505E-2</v>
      </c>
      <c r="G157" s="16">
        <f>'ERPs by country'!F163</f>
        <v>3.5597338000444512E-2</v>
      </c>
      <c r="H157" s="16">
        <f>'Country Tax Rates'!C157</f>
        <v>0.2</v>
      </c>
      <c r="I157" s="17" t="str">
        <f>VLOOKUP(A157,'Regional lookup table'!$A$2:$B$161,2)</f>
        <v>Asia</v>
      </c>
    </row>
    <row r="158" spans="1:9" ht="16">
      <c r="A158" s="10" t="str">
        <f>'Sovereign Ratings (Moody''s,S&amp;P)'!A158</f>
        <v>Zambia</v>
      </c>
      <c r="B158" s="138">
        <f>'Country GDP'!B158</f>
        <v>19.32</v>
      </c>
      <c r="C158" s="11" t="str">
        <f>'Sovereign Ratings (Moody''s,S&amp;P)'!C158</f>
        <v>Ca</v>
      </c>
      <c r="D158" s="13" t="str">
        <f>'10-year CDS Spreads'!C158</f>
        <v>NA</v>
      </c>
      <c r="E158" s="23">
        <f>'ERPs by country'!D164</f>
        <v>0.10209260760473131</v>
      </c>
      <c r="F158" s="12">
        <f>'ERPs by country'!E164</f>
        <v>0.16105779333481501</v>
      </c>
      <c r="G158" s="16">
        <f>'ERPs by country'!F164</f>
        <v>0.11865779333481502</v>
      </c>
      <c r="H158" s="16">
        <f>'Country Tax Rates'!C158</f>
        <v>0.35</v>
      </c>
      <c r="I158" s="17" t="str">
        <f>VLOOKUP(A158,'Regional lookup table'!$A$2:$B$161,2)</f>
        <v>Africa</v>
      </c>
    </row>
  </sheetData>
  <phoneticPr fontId="1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8"/>
  <sheetViews>
    <sheetView topLeftCell="A159" zoomScaleNormal="100" workbookViewId="0">
      <selection activeCell="B61" sqref="B61"/>
    </sheetView>
  </sheetViews>
  <sheetFormatPr baseColWidth="10" defaultRowHeight="16"/>
  <cols>
    <col min="1" max="1" width="24.83203125" style="43" bestFit="1" customWidth="1"/>
    <col min="2" max="2" width="16.1640625" style="43" bestFit="1" customWidth="1"/>
    <col min="3" max="3" width="19.6640625" style="43" bestFit="1" customWidth="1"/>
  </cols>
  <sheetData>
    <row r="1" spans="1:15" ht="17">
      <c r="A1" s="73" t="s">
        <v>75</v>
      </c>
      <c r="B1" s="74" t="s">
        <v>270</v>
      </c>
      <c r="C1" s="74" t="s">
        <v>271</v>
      </c>
    </row>
    <row r="2" spans="1:15">
      <c r="A2" s="51" t="str">
        <f>'Ratings worksheet'!A2</f>
        <v>Abu Dhabi</v>
      </c>
      <c r="B2" s="63" t="str">
        <f>'Ratings worksheet'!B2</f>
        <v>NA</v>
      </c>
      <c r="C2" s="63" t="str">
        <f>IF('Ratings worksheet'!C2="NA",VLOOKUP('Ratings worksheet'!B2,'Sovereign Ratings (Moody''s,S&amp;P)'!$F$9:$G$33,2),'Ratings worksheet'!C2)</f>
        <v>Aa2</v>
      </c>
      <c r="F2" s="254" t="s">
        <v>93</v>
      </c>
      <c r="G2" s="254"/>
      <c r="H2" s="254"/>
      <c r="I2" s="254"/>
      <c r="J2" s="254"/>
      <c r="K2" s="254"/>
      <c r="L2" s="254"/>
      <c r="M2" s="254"/>
      <c r="N2" s="254"/>
      <c r="O2" s="254"/>
    </row>
    <row r="3" spans="1:15">
      <c r="A3" s="51" t="str">
        <f>'Ratings worksheet'!A3</f>
        <v>Albania</v>
      </c>
      <c r="B3" s="63" t="str">
        <f>'Ratings worksheet'!B3</f>
        <v>B+</v>
      </c>
      <c r="C3" s="63" t="str">
        <f>IF('Ratings worksheet'!C3="NA",VLOOKUP('Ratings worksheet'!B3,'Sovereign Ratings (Moody''s,S&amp;P)'!$F$9:$G$33,2),'Ratings worksheet'!C3)</f>
        <v>B1</v>
      </c>
      <c r="F3" s="254" t="s">
        <v>229</v>
      </c>
      <c r="G3" s="254"/>
      <c r="H3" s="254"/>
      <c r="I3" s="254"/>
      <c r="J3" s="254"/>
      <c r="K3" s="254"/>
      <c r="L3" s="254"/>
      <c r="M3" s="254"/>
      <c r="N3" s="254"/>
      <c r="O3" s="254"/>
    </row>
    <row r="4" spans="1:15">
      <c r="A4" s="51" t="str">
        <f>'Ratings worksheet'!A4</f>
        <v>Andorra (Principality of)</v>
      </c>
      <c r="B4" s="63" t="str">
        <f>'Ratings worksheet'!B4</f>
        <v>BBB</v>
      </c>
      <c r="C4" s="63" t="str">
        <f>IF('Ratings worksheet'!C4="NA",VLOOKUP('Ratings worksheet'!B4,'Sovereign Ratings (Moody''s,S&amp;P)'!$F$9:$G$33,2),'Ratings worksheet'!C4)</f>
        <v>Baa2</v>
      </c>
      <c r="F4" s="255" t="s">
        <v>230</v>
      </c>
      <c r="G4" s="255"/>
      <c r="H4" s="255"/>
      <c r="I4" s="255"/>
      <c r="J4" s="255"/>
      <c r="K4" s="255"/>
      <c r="L4" s="255"/>
      <c r="M4" s="255"/>
      <c r="N4" s="255"/>
      <c r="O4" s="255"/>
    </row>
    <row r="5" spans="1:15">
      <c r="A5" s="51" t="str">
        <f>'Ratings worksheet'!A5</f>
        <v>Angola</v>
      </c>
      <c r="B5" s="63" t="str">
        <f>'Ratings worksheet'!B5</f>
        <v>CCC+</v>
      </c>
      <c r="C5" s="63" t="str">
        <f>IF('Ratings worksheet'!C5="NA",VLOOKUP('Ratings worksheet'!B5,'Sovereign Ratings (Moody''s,S&amp;P)'!$F$9:$G$33,2),'Ratings worksheet'!C5)</f>
        <v>B3</v>
      </c>
      <c r="F5" s="255" t="s">
        <v>231</v>
      </c>
      <c r="G5" s="255"/>
      <c r="H5" s="255"/>
      <c r="I5" s="255"/>
      <c r="J5" s="255"/>
      <c r="K5" s="255"/>
      <c r="L5" s="255"/>
      <c r="M5" s="255"/>
      <c r="N5" s="255"/>
      <c r="O5" s="255"/>
    </row>
    <row r="6" spans="1:15">
      <c r="A6" s="51" t="str">
        <f>'Ratings worksheet'!A6</f>
        <v>Argentina</v>
      </c>
      <c r="B6" s="63" t="str">
        <f>'Ratings worksheet'!B6</f>
        <v>CCC+</v>
      </c>
      <c r="C6" s="63" t="str">
        <f>IF('Ratings worksheet'!C6="NA",VLOOKUP('Ratings worksheet'!B6,'Sovereign Ratings (Moody''s,S&amp;P)'!$F$9:$G$33,2),'Ratings worksheet'!C6)</f>
        <v>Ca</v>
      </c>
      <c r="F6" s="39" t="s">
        <v>252</v>
      </c>
    </row>
    <row r="7" spans="1:15">
      <c r="A7" s="51" t="str">
        <f>'Ratings worksheet'!A7</f>
        <v>Armenia</v>
      </c>
      <c r="B7" s="63" t="str">
        <f>'Ratings worksheet'!B7</f>
        <v>NA</v>
      </c>
      <c r="C7" s="63" t="str">
        <f>IF('Ratings worksheet'!C7="NA",VLOOKUP('Ratings worksheet'!B7,'Sovereign Ratings (Moody''s,S&amp;P)'!$F$9:$G$33,2),'Ratings worksheet'!C7)</f>
        <v>Ba3</v>
      </c>
      <c r="F7" s="39" t="s">
        <v>232</v>
      </c>
    </row>
    <row r="8" spans="1:15">
      <c r="A8" s="51" t="str">
        <f>'Ratings worksheet'!A8</f>
        <v>Aruba</v>
      </c>
      <c r="B8" s="63" t="str">
        <f>'Ratings worksheet'!B8</f>
        <v>BBB</v>
      </c>
      <c r="C8" s="63" t="str">
        <f>IF('Ratings worksheet'!C8="NA",VLOOKUP('Ratings worksheet'!B8,'Sovereign Ratings (Moody''s,S&amp;P)'!$F$9:$G$33,2),'Ratings worksheet'!C8)</f>
        <v>Baa2</v>
      </c>
      <c r="F8" s="31" t="s">
        <v>233</v>
      </c>
      <c r="G8" s="32" t="s">
        <v>234</v>
      </c>
    </row>
    <row r="9" spans="1:15">
      <c r="A9" s="51" t="str">
        <f>'Ratings worksheet'!A9</f>
        <v>Australia</v>
      </c>
      <c r="B9" s="63" t="str">
        <f>'Ratings worksheet'!B9</f>
        <v>AAA</v>
      </c>
      <c r="C9" s="63" t="str">
        <f>IF('Ratings worksheet'!C9="NA",VLOOKUP('Ratings worksheet'!B9,'Sovereign Ratings (Moody''s,S&amp;P)'!$F$9:$G$33,2),'Ratings worksheet'!C9)</f>
        <v>Aaa</v>
      </c>
      <c r="F9" s="33" t="s">
        <v>224</v>
      </c>
      <c r="G9" s="17" t="s">
        <v>42</v>
      </c>
    </row>
    <row r="10" spans="1:15">
      <c r="A10" s="51" t="str">
        <f>'Ratings worksheet'!A10</f>
        <v>Austria</v>
      </c>
      <c r="B10" s="63" t="str">
        <f>'Ratings worksheet'!B10</f>
        <v>AA+</v>
      </c>
      <c r="C10" s="63" t="str">
        <f>IF('Ratings worksheet'!C10="NA",VLOOKUP('Ratings worksheet'!B10,'Sovereign Ratings (Moody''s,S&amp;P)'!$F$9:$G$33,2),'Ratings worksheet'!C10)</f>
        <v>Aa1</v>
      </c>
      <c r="F10" s="33" t="s">
        <v>198</v>
      </c>
      <c r="G10" s="17" t="s">
        <v>43</v>
      </c>
    </row>
    <row r="11" spans="1:15">
      <c r="A11" s="51" t="str">
        <f>'Ratings worksheet'!A11</f>
        <v>Azerbaijan</v>
      </c>
      <c r="B11" s="63" t="str">
        <f>'Ratings worksheet'!B11</f>
        <v>BB+</v>
      </c>
      <c r="C11" s="63" t="str">
        <f>IF('Ratings worksheet'!C11="NA",VLOOKUP('Ratings worksheet'!B11,'Sovereign Ratings (Moody''s,S&amp;P)'!$F$9:$G$33,2),'Ratings worksheet'!C11)</f>
        <v>Ba2</v>
      </c>
      <c r="F11" s="33" t="s">
        <v>222</v>
      </c>
      <c r="G11" s="17" t="s">
        <v>41</v>
      </c>
    </row>
    <row r="12" spans="1:15">
      <c r="A12" s="51" t="str">
        <f>'Ratings worksheet'!A12</f>
        <v>Bahamas</v>
      </c>
      <c r="B12" s="63" t="str">
        <f>'Ratings worksheet'!B12</f>
        <v>B+</v>
      </c>
      <c r="C12" s="63" t="str">
        <f>IF('Ratings worksheet'!C12="NA",VLOOKUP('Ratings worksheet'!B12,'Sovereign Ratings (Moody''s,S&amp;P)'!$F$9:$G$33,2),'Ratings worksheet'!C12)</f>
        <v>Ba3</v>
      </c>
      <c r="F12" s="33" t="s">
        <v>207</v>
      </c>
      <c r="G12" s="17" t="s">
        <v>45</v>
      </c>
    </row>
    <row r="13" spans="1:15">
      <c r="A13" s="51" t="str">
        <f>'Ratings worksheet'!A13</f>
        <v>Bahrain</v>
      </c>
      <c r="B13" s="63" t="str">
        <f>'Ratings worksheet'!B13</f>
        <v>B+</v>
      </c>
      <c r="C13" s="63" t="str">
        <f>IF('Ratings worksheet'!C13="NA",VLOOKUP('Ratings worksheet'!B13,'Sovereign Ratings (Moody''s,S&amp;P)'!$F$9:$G$33,2),'Ratings worksheet'!C13)</f>
        <v>B2</v>
      </c>
      <c r="F13" s="33" t="s">
        <v>210</v>
      </c>
      <c r="G13" s="17" t="s">
        <v>46</v>
      </c>
    </row>
    <row r="14" spans="1:15">
      <c r="A14" s="51" t="str">
        <f>'Ratings worksheet'!A14</f>
        <v>Bangladesh</v>
      </c>
      <c r="B14" s="63" t="str">
        <f>'Ratings worksheet'!B14</f>
        <v>BB-</v>
      </c>
      <c r="C14" s="63" t="str">
        <f>IF('Ratings worksheet'!C14="NA",VLOOKUP('Ratings worksheet'!B14,'Sovereign Ratings (Moody''s,S&amp;P)'!$F$9:$G$33,2),'Ratings worksheet'!C14)</f>
        <v>Ba3</v>
      </c>
      <c r="F14" s="33" t="s">
        <v>204</v>
      </c>
      <c r="G14" s="17" t="s">
        <v>44</v>
      </c>
    </row>
    <row r="15" spans="1:15">
      <c r="A15" s="51" t="str">
        <f>'Ratings worksheet'!A15</f>
        <v>Barbados</v>
      </c>
      <c r="B15" s="63" t="str">
        <f>'Ratings worksheet'!B15</f>
        <v>B-</v>
      </c>
      <c r="C15" s="63" t="str">
        <f>IF('Ratings worksheet'!C15="NA",VLOOKUP('Ratings worksheet'!B15,'Sovereign Ratings (Moody''s,S&amp;P)'!$F$9:$G$33,2),'Ratings worksheet'!C15)</f>
        <v>Caa1</v>
      </c>
      <c r="F15" s="33" t="s">
        <v>203</v>
      </c>
      <c r="G15" s="17" t="s">
        <v>47</v>
      </c>
    </row>
    <row r="16" spans="1:15">
      <c r="A16" s="51" t="str">
        <f>'Ratings worksheet'!A16</f>
        <v>Belarus</v>
      </c>
      <c r="B16" s="63" t="str">
        <f>'Ratings worksheet'!B16</f>
        <v>B </v>
      </c>
      <c r="C16" s="63" t="str">
        <f>IF('Ratings worksheet'!C16="NA",VLOOKUP('Ratings worksheet'!B16,'Sovereign Ratings (Moody''s,S&amp;P)'!$F$9:$G$33,2),'Ratings worksheet'!C16)</f>
        <v>B3</v>
      </c>
      <c r="F16" s="33" t="s">
        <v>209</v>
      </c>
      <c r="G16" s="17" t="s">
        <v>49</v>
      </c>
    </row>
    <row r="17" spans="1:7">
      <c r="A17" s="51" t="str">
        <f>'Ratings worksheet'!A17</f>
        <v>Belgium</v>
      </c>
      <c r="B17" s="63" t="str">
        <f>'Ratings worksheet'!B17</f>
        <v>AA</v>
      </c>
      <c r="C17" s="63" t="str">
        <f>IF('Ratings worksheet'!C17="NA",VLOOKUP('Ratings worksheet'!B17,'Sovereign Ratings (Moody''s,S&amp;P)'!$F$9:$G$33,2),'Ratings worksheet'!C17)</f>
        <v>Aa3</v>
      </c>
      <c r="F17" s="33" t="s">
        <v>200</v>
      </c>
      <c r="G17" s="17" t="s">
        <v>78</v>
      </c>
    </row>
    <row r="18" spans="1:7">
      <c r="A18" s="51" t="str">
        <f>'Ratings worksheet'!A18</f>
        <v>Belize</v>
      </c>
      <c r="B18" s="63" t="str">
        <f>'Ratings worksheet'!B18</f>
        <v>B-</v>
      </c>
      <c r="C18" s="63" t="str">
        <f>IF('Ratings worksheet'!C18="NA",VLOOKUP('Ratings worksheet'!B18,'Sovereign Ratings (Moody''s,S&amp;P)'!$F$9:$G$33,2),'Ratings worksheet'!C18)</f>
        <v>Caa3</v>
      </c>
      <c r="F18" s="33" t="s">
        <v>196</v>
      </c>
      <c r="G18" s="17" t="s">
        <v>48</v>
      </c>
    </row>
    <row r="19" spans="1:7">
      <c r="A19" s="51" t="str">
        <f>'Ratings worksheet'!A19</f>
        <v>Benin</v>
      </c>
      <c r="B19" s="63" t="str">
        <f>'Ratings worksheet'!B19</f>
        <v>B+</v>
      </c>
      <c r="C19" s="63" t="str">
        <f>IF('Ratings worksheet'!C19="NA",VLOOKUP('Ratings worksheet'!B19,'Sovereign Ratings (Moody''s,S&amp;P)'!$F$9:$G$33,2),'Ratings worksheet'!C19)</f>
        <v>B1</v>
      </c>
      <c r="F19" s="33" t="s">
        <v>215</v>
      </c>
      <c r="G19" s="17" t="s">
        <v>80</v>
      </c>
    </row>
    <row r="20" spans="1:7">
      <c r="A20" s="51" t="str">
        <f>'Ratings worksheet'!A20</f>
        <v>Bermuda</v>
      </c>
      <c r="B20" s="63" t="str">
        <f>'Ratings worksheet'!B20</f>
        <v>A+</v>
      </c>
      <c r="C20" s="63" t="str">
        <f>IF('Ratings worksheet'!C20="NA",VLOOKUP('Ratings worksheet'!B20,'Sovereign Ratings (Moody''s,S&amp;P)'!$F$9:$G$33,2),'Ratings worksheet'!C20)</f>
        <v>A2</v>
      </c>
      <c r="F20" s="33" t="s">
        <v>199</v>
      </c>
      <c r="G20" s="17" t="s">
        <v>81</v>
      </c>
    </row>
    <row r="21" spans="1:7">
      <c r="A21" s="51" t="str">
        <f>'Ratings worksheet'!A21</f>
        <v>Bolivia</v>
      </c>
      <c r="B21" s="63" t="str">
        <f>'Ratings worksheet'!B21</f>
        <v>B+ </v>
      </c>
      <c r="C21" s="63" t="str">
        <f>IF('Ratings worksheet'!C21="NA",VLOOKUP('Ratings worksheet'!B21,'Sovereign Ratings (Moody''s,S&amp;P)'!$F$9:$G$33,2),'Ratings worksheet'!C21)</f>
        <v>B2</v>
      </c>
      <c r="F21" s="33" t="s">
        <v>216</v>
      </c>
      <c r="G21" s="17" t="s">
        <v>79</v>
      </c>
    </row>
    <row r="22" spans="1:7">
      <c r="A22" s="51" t="str">
        <f>'Ratings worksheet'!A22</f>
        <v>Bosnia and Herzegovina</v>
      </c>
      <c r="B22" s="63" t="str">
        <f>'Ratings worksheet'!B22</f>
        <v>B</v>
      </c>
      <c r="C22" s="63" t="str">
        <f>IF('Ratings worksheet'!C22="NA",VLOOKUP('Ratings worksheet'!B22,'Sovereign Ratings (Moody''s,S&amp;P)'!$F$9:$G$33,2),'Ratings worksheet'!C22)</f>
        <v>B3</v>
      </c>
      <c r="F22" s="33" t="s">
        <v>206</v>
      </c>
      <c r="G22" s="17" t="s">
        <v>83</v>
      </c>
    </row>
    <row r="23" spans="1:7">
      <c r="A23" s="51" t="str">
        <f>'Ratings worksheet'!A23</f>
        <v>Botswana</v>
      </c>
      <c r="B23" s="63" t="str">
        <f>'Ratings worksheet'!B23</f>
        <v>BBB+</v>
      </c>
      <c r="C23" s="63" t="str">
        <f>IF('Ratings worksheet'!C23="NA",VLOOKUP('Ratings worksheet'!B23,'Sovereign Ratings (Moody''s,S&amp;P)'!$F$9:$G$33,2),'Ratings worksheet'!C23)</f>
        <v>A3</v>
      </c>
      <c r="F23" s="33" t="s">
        <v>205</v>
      </c>
      <c r="G23" s="17" t="s">
        <v>124</v>
      </c>
    </row>
    <row r="24" spans="1:7">
      <c r="A24" s="51" t="str">
        <f>'Ratings worksheet'!A24</f>
        <v>Brazil</v>
      </c>
      <c r="B24" s="63" t="str">
        <f>'Ratings worksheet'!B24</f>
        <v>BB-</v>
      </c>
      <c r="C24" s="63" t="str">
        <f>IF('Ratings worksheet'!C24="NA",VLOOKUP('Ratings worksheet'!B24,'Sovereign Ratings (Moody''s,S&amp;P)'!$F$9:$G$33,2),'Ratings worksheet'!C24)</f>
        <v>Ba2</v>
      </c>
      <c r="F24" s="33" t="s">
        <v>202</v>
      </c>
      <c r="G24" s="17" t="s">
        <v>82</v>
      </c>
    </row>
    <row r="25" spans="1:7">
      <c r="A25" s="51" t="str">
        <f>'Ratings worksheet'!A25</f>
        <v>Bulgaria</v>
      </c>
      <c r="B25" s="63" t="str">
        <f>'Ratings worksheet'!B25</f>
        <v>BBB</v>
      </c>
      <c r="C25" s="63" t="str">
        <f>IF('Ratings worksheet'!C25="NA",VLOOKUP('Ratings worksheet'!B25,'Sovereign Ratings (Moody''s,S&amp;P)'!$F$9:$G$33,2),'Ratings worksheet'!C25)</f>
        <v>Baa1</v>
      </c>
      <c r="F25" s="33" t="s">
        <v>137</v>
      </c>
      <c r="G25" s="17" t="s">
        <v>244</v>
      </c>
    </row>
    <row r="26" spans="1:7">
      <c r="A26" s="51" t="str">
        <f>'Ratings worksheet'!A26</f>
        <v>Burkina Faso</v>
      </c>
      <c r="B26" s="63" t="str">
        <f>'Ratings worksheet'!B26</f>
        <v>B</v>
      </c>
      <c r="C26" s="63" t="str">
        <f>IF('Ratings worksheet'!C26="NA",VLOOKUP('Ratings worksheet'!B26,'Sovereign Ratings (Moody''s,S&amp;P)'!$F$9:$G$33,2),'Ratings worksheet'!C26)</f>
        <v>B2</v>
      </c>
      <c r="F26" s="33" t="s">
        <v>245</v>
      </c>
      <c r="G26" s="17" t="s">
        <v>246</v>
      </c>
    </row>
    <row r="27" spans="1:7">
      <c r="A27" s="51" t="str">
        <f>'Ratings worksheet'!A27</f>
        <v>Cambodia</v>
      </c>
      <c r="B27" s="63" t="str">
        <f>'Ratings worksheet'!B27</f>
        <v>NA</v>
      </c>
      <c r="C27" s="63" t="str">
        <f>IF('Ratings worksheet'!C27="NA",VLOOKUP('Ratings worksheet'!B27,'Sovereign Ratings (Moody''s,S&amp;P)'!$F$9:$G$33,2),'Ratings worksheet'!C27)</f>
        <v>B2</v>
      </c>
      <c r="F27" s="33" t="s">
        <v>242</v>
      </c>
      <c r="G27" s="17" t="s">
        <v>243</v>
      </c>
    </row>
    <row r="28" spans="1:7">
      <c r="A28" s="51" t="str">
        <f>'Ratings worksheet'!A28</f>
        <v>Cameroon</v>
      </c>
      <c r="B28" s="63" t="str">
        <f>'Ratings worksheet'!B28</f>
        <v>B-</v>
      </c>
      <c r="C28" s="63" t="str">
        <f>IF('Ratings worksheet'!C28="NA",VLOOKUP('Ratings worksheet'!B28,'Sovereign Ratings (Moody''s,S&amp;P)'!$F$9:$G$33,2),'Ratings worksheet'!C28)</f>
        <v>B2</v>
      </c>
      <c r="F28" s="33" t="s">
        <v>238</v>
      </c>
      <c r="G28" s="17" t="s">
        <v>239</v>
      </c>
    </row>
    <row r="29" spans="1:7" s="18" customFormat="1">
      <c r="A29" s="51" t="str">
        <f>'Ratings worksheet'!A29</f>
        <v>Canada</v>
      </c>
      <c r="B29" s="63" t="str">
        <f>'Ratings worksheet'!B29</f>
        <v>AAA</v>
      </c>
      <c r="C29" s="63" t="str">
        <f>IF('Ratings worksheet'!C29="NA",VLOOKUP('Ratings worksheet'!B29,'Sovereign Ratings (Moody''s,S&amp;P)'!$F$9:$G$33,2),'Ratings worksheet'!C29)</f>
        <v>Aaa</v>
      </c>
      <c r="F29" s="33" t="s">
        <v>240</v>
      </c>
      <c r="G29" s="17" t="s">
        <v>241</v>
      </c>
    </row>
    <row r="30" spans="1:7">
      <c r="A30" s="51" t="str">
        <f>'Ratings worksheet'!A30</f>
        <v>Cape Verde</v>
      </c>
      <c r="B30" s="63" t="str">
        <f>'Ratings worksheet'!B30</f>
        <v>B-</v>
      </c>
      <c r="C30" s="63" t="str">
        <f>IF('Ratings worksheet'!C30="NA",VLOOKUP('Ratings worksheet'!B30,'Sovereign Ratings (Moody''s,S&amp;P)'!$F$9:$G$33,2),'Ratings worksheet'!C30)</f>
        <v>B3</v>
      </c>
      <c r="F30" s="33" t="s">
        <v>237</v>
      </c>
      <c r="G30" s="17" t="s">
        <v>253</v>
      </c>
    </row>
    <row r="31" spans="1:7">
      <c r="A31" s="51" t="str">
        <f>'Ratings worksheet'!A31</f>
        <v>Cayman Islands</v>
      </c>
      <c r="B31" s="63" t="str">
        <f>'Ratings worksheet'!B31</f>
        <v>NA</v>
      </c>
      <c r="C31" s="63" t="str">
        <f>IF('Ratings worksheet'!C31="NA",VLOOKUP('Ratings worksheet'!B31,'Sovereign Ratings (Moody''s,S&amp;P)'!$F$9:$G$33,2),'Ratings worksheet'!C31)</f>
        <v>Aa3</v>
      </c>
      <c r="F31" s="33" t="s">
        <v>235</v>
      </c>
      <c r="G31" s="17" t="s">
        <v>58</v>
      </c>
    </row>
    <row r="32" spans="1:7">
      <c r="A32" s="51" t="str">
        <f>'Ratings worksheet'!A32</f>
        <v>Chile</v>
      </c>
      <c r="B32" s="63" t="str">
        <f>'Ratings worksheet'!B32</f>
        <v>A</v>
      </c>
      <c r="C32" s="63" t="str">
        <f>IF('Ratings worksheet'!C32="NA",VLOOKUP('Ratings worksheet'!B32,'Sovereign Ratings (Moody''s,S&amp;P)'!$F$9:$G$33,2),'Ratings worksheet'!C32)</f>
        <v>A1</v>
      </c>
      <c r="F32" s="33" t="s">
        <v>236</v>
      </c>
      <c r="G32" s="17" t="s">
        <v>62</v>
      </c>
    </row>
    <row r="33" spans="1:7">
      <c r="A33" s="51" t="str">
        <f>'Ratings worksheet'!A33</f>
        <v>China</v>
      </c>
      <c r="B33" s="63" t="str">
        <f>'Ratings worksheet'!B33</f>
        <v>A+</v>
      </c>
      <c r="C33" s="63" t="str">
        <f>IF('Ratings worksheet'!C33="NA",VLOOKUP('Ratings worksheet'!B33,'Sovereign Ratings (Moody''s,S&amp;P)'!$F$9:$G$33,2),'Ratings worksheet'!C33)</f>
        <v>A1</v>
      </c>
      <c r="F33" s="33" t="s">
        <v>218</v>
      </c>
      <c r="G33" s="17" t="s">
        <v>100</v>
      </c>
    </row>
    <row r="34" spans="1:7">
      <c r="A34" s="51" t="str">
        <f>'Ratings worksheet'!A34</f>
        <v>Colombia</v>
      </c>
      <c r="B34" s="63" t="str">
        <f>'Ratings worksheet'!B34</f>
        <v>BB+</v>
      </c>
      <c r="C34" s="63" t="str">
        <f>IF('Ratings worksheet'!C34="NA",VLOOKUP('Ratings worksheet'!B34,'Sovereign Ratings (Moody''s,S&amp;P)'!$F$9:$G$33,2),'Ratings worksheet'!C34)</f>
        <v>Baa2</v>
      </c>
    </row>
    <row r="35" spans="1:7">
      <c r="A35" s="51" t="str">
        <f>'Ratings worksheet'!A35</f>
        <v>Congo (Democratic Republic of)</v>
      </c>
      <c r="B35" s="63" t="str">
        <f>'Ratings worksheet'!B35</f>
        <v>CCC+</v>
      </c>
      <c r="C35" s="63" t="str">
        <f>IF('Ratings worksheet'!C35="NA",VLOOKUP('Ratings worksheet'!B35,'Sovereign Ratings (Moody''s,S&amp;P)'!$F$9:$G$33,2),'Ratings worksheet'!C35)</f>
        <v>Caa1</v>
      </c>
    </row>
    <row r="36" spans="1:7">
      <c r="A36" s="51" t="str">
        <f>'Ratings worksheet'!A36</f>
        <v>Congo (Republic of)</v>
      </c>
      <c r="B36" s="63" t="str">
        <f>'Ratings worksheet'!B36</f>
        <v>CCC+</v>
      </c>
      <c r="C36" s="63" t="str">
        <f>IF('Ratings worksheet'!C36="NA",VLOOKUP('Ratings worksheet'!B36,'Sovereign Ratings (Moody''s,S&amp;P)'!$F$9:$G$33,2),'Ratings worksheet'!C36)</f>
        <v>Caa2</v>
      </c>
    </row>
    <row r="37" spans="1:7">
      <c r="A37" s="51" t="str">
        <f>'Ratings worksheet'!A37</f>
        <v>Cook Islands</v>
      </c>
      <c r="B37" s="63" t="str">
        <f>'Ratings worksheet'!B37</f>
        <v>B+</v>
      </c>
      <c r="C37" s="63" t="str">
        <f>IF('Ratings worksheet'!C37="NA",VLOOKUP('Ratings worksheet'!B37,'Sovereign Ratings (Moody''s,S&amp;P)'!$F$9:$G$33,2),'Ratings worksheet'!C37)</f>
        <v>B1</v>
      </c>
    </row>
    <row r="38" spans="1:7">
      <c r="A38" s="51" t="str">
        <f>'Ratings worksheet'!A38</f>
        <v>Costa Rica</v>
      </c>
      <c r="B38" s="63" t="str">
        <f>'Ratings worksheet'!B38</f>
        <v>B </v>
      </c>
      <c r="C38" s="63" t="str">
        <f>IF('Ratings worksheet'!C38="NA",VLOOKUP('Ratings worksheet'!B38,'Sovereign Ratings (Moody''s,S&amp;P)'!$F$9:$G$33,2),'Ratings worksheet'!C38)</f>
        <v>B2</v>
      </c>
    </row>
    <row r="39" spans="1:7">
      <c r="A39" s="51" t="str">
        <f>'Ratings worksheet'!A39</f>
        <v>Côte d'Ivoire</v>
      </c>
      <c r="B39" s="63" t="str">
        <f>'Ratings worksheet'!B39</f>
        <v>NA</v>
      </c>
      <c r="C39" s="63" t="str">
        <f>IF('Ratings worksheet'!C39="NA",VLOOKUP('Ratings worksheet'!B39,'Sovereign Ratings (Moody''s,S&amp;P)'!$F$9:$G$33,2),'Ratings worksheet'!C39)</f>
        <v>Ba3</v>
      </c>
    </row>
    <row r="40" spans="1:7">
      <c r="A40" s="51" t="str">
        <f>'Ratings worksheet'!A40</f>
        <v>Croatia</v>
      </c>
      <c r="B40" s="63" t="str">
        <f>'Ratings worksheet'!B40</f>
        <v>BBB-</v>
      </c>
      <c r="C40" s="63" t="str">
        <f>IF('Ratings worksheet'!C40="NA",VLOOKUP('Ratings worksheet'!B40,'Sovereign Ratings (Moody''s,S&amp;P)'!$F$9:$G$33,2),'Ratings worksheet'!C40)</f>
        <v>Ba1</v>
      </c>
    </row>
    <row r="41" spans="1:7">
      <c r="A41" s="51" t="str">
        <f>'Ratings worksheet'!A41</f>
        <v>Cuba</v>
      </c>
      <c r="B41" s="63" t="str">
        <f>'Ratings worksheet'!B41</f>
        <v>NA</v>
      </c>
      <c r="C41" s="63" t="str">
        <f>IF('Ratings worksheet'!C41="NA",VLOOKUP('Ratings worksheet'!B41,'Sovereign Ratings (Moody''s,S&amp;P)'!$F$9:$G$33,2),'Ratings worksheet'!C41)</f>
        <v>Ca</v>
      </c>
    </row>
    <row r="42" spans="1:7">
      <c r="A42" s="51" t="str">
        <f>'Ratings worksheet'!A42</f>
        <v>Curacao</v>
      </c>
      <c r="B42" s="63" t="str">
        <f>'Ratings worksheet'!B42</f>
        <v>BBB</v>
      </c>
      <c r="C42" s="63" t="str">
        <f>IF('Ratings worksheet'!C42="NA",VLOOKUP('Ratings worksheet'!B42,'Sovereign Ratings (Moody''s,S&amp;P)'!$F$9:$G$33,2),'Ratings worksheet'!C42)</f>
        <v>Baa2</v>
      </c>
    </row>
    <row r="43" spans="1:7">
      <c r="A43" s="51" t="str">
        <f>'Ratings worksheet'!A43</f>
        <v>Cyprus</v>
      </c>
      <c r="B43" s="63" t="str">
        <f>'Ratings worksheet'!B43</f>
        <v>BBB- </v>
      </c>
      <c r="C43" s="63" t="str">
        <f>IF('Ratings worksheet'!C43="NA",VLOOKUP('Ratings worksheet'!B43,'Sovereign Ratings (Moody''s,S&amp;P)'!$F$9:$G$33,2),'Ratings worksheet'!C43)</f>
        <v>Ba1</v>
      </c>
    </row>
    <row r="44" spans="1:7">
      <c r="A44" s="51" t="str">
        <f>'Ratings worksheet'!A44</f>
        <v>Czech Republic</v>
      </c>
      <c r="B44" s="63" t="str">
        <f>'Ratings worksheet'!B44</f>
        <v>AA-</v>
      </c>
      <c r="C44" s="63" t="str">
        <f>IF('Ratings worksheet'!C44="NA",VLOOKUP('Ratings worksheet'!B44,'Sovereign Ratings (Moody''s,S&amp;P)'!$F$9:$G$33,2),'Ratings worksheet'!C44)</f>
        <v>Aa3</v>
      </c>
    </row>
    <row r="45" spans="1:7">
      <c r="A45" s="51" t="str">
        <f>'Ratings worksheet'!A45</f>
        <v>Denmark</v>
      </c>
      <c r="B45" s="63" t="str">
        <f>'Ratings worksheet'!B45</f>
        <v>AAA</v>
      </c>
      <c r="C45" s="63" t="str">
        <f>IF('Ratings worksheet'!C45="NA",VLOOKUP('Ratings worksheet'!B45,'Sovereign Ratings (Moody''s,S&amp;P)'!$F$9:$G$33,2),'Ratings worksheet'!C45)</f>
        <v>Aaa</v>
      </c>
    </row>
    <row r="46" spans="1:7">
      <c r="A46" s="51" t="str">
        <f>'Ratings worksheet'!A46</f>
        <v>Dominican Republic</v>
      </c>
      <c r="B46" s="63" t="str">
        <f>'Ratings worksheet'!B46</f>
        <v>BB-</v>
      </c>
      <c r="C46" s="63" t="str">
        <f>IF('Ratings worksheet'!C46="NA",VLOOKUP('Ratings worksheet'!B46,'Sovereign Ratings (Moody''s,S&amp;P)'!$F$9:$G$33,2),'Ratings worksheet'!C46)</f>
        <v>Ba3</v>
      </c>
    </row>
    <row r="47" spans="1:7">
      <c r="A47" s="51" t="str">
        <f>'Ratings worksheet'!A47</f>
        <v>Ecuador</v>
      </c>
      <c r="B47" s="63" t="str">
        <f>'Ratings worksheet'!B47</f>
        <v>B-</v>
      </c>
      <c r="C47" s="63" t="str">
        <f>IF('Ratings worksheet'!C47="NA",VLOOKUP('Ratings worksheet'!B47,'Sovereign Ratings (Moody''s,S&amp;P)'!$F$9:$G$33,2),'Ratings worksheet'!C47)</f>
        <v>Caa3</v>
      </c>
    </row>
    <row r="48" spans="1:7">
      <c r="A48" s="51" t="str">
        <f>'Ratings worksheet'!A48</f>
        <v>Egypt</v>
      </c>
      <c r="B48" s="63" t="str">
        <f>'Ratings worksheet'!B48</f>
        <v>B</v>
      </c>
      <c r="C48" s="63" t="str">
        <f>IF('Ratings worksheet'!C48="NA",VLOOKUP('Ratings worksheet'!B48,'Sovereign Ratings (Moody''s,S&amp;P)'!$F$9:$G$33,2),'Ratings worksheet'!C48)</f>
        <v>B2</v>
      </c>
    </row>
    <row r="49" spans="1:3">
      <c r="A49" s="51" t="str">
        <f>'Ratings worksheet'!A49</f>
        <v>El Salvador</v>
      </c>
      <c r="B49" s="63" t="str">
        <f>'Ratings worksheet'!B49</f>
        <v>B- </v>
      </c>
      <c r="C49" s="63" t="str">
        <f>IF('Ratings worksheet'!C49="NA",VLOOKUP('Ratings worksheet'!B49,'Sovereign Ratings (Moody''s,S&amp;P)'!$F$9:$G$33,2),'Ratings worksheet'!C49)</f>
        <v>Caa1</v>
      </c>
    </row>
    <row r="50" spans="1:3">
      <c r="A50" s="51" t="str">
        <f>'Ratings worksheet'!A50</f>
        <v>Estonia</v>
      </c>
      <c r="B50" s="63" t="str">
        <f>'Ratings worksheet'!B50</f>
        <v>AA- </v>
      </c>
      <c r="C50" s="63" t="str">
        <f>IF('Ratings worksheet'!C50="NA",VLOOKUP('Ratings worksheet'!B50,'Sovereign Ratings (Moody''s,S&amp;P)'!$F$9:$G$33,2),'Ratings worksheet'!C50)</f>
        <v>A1</v>
      </c>
    </row>
    <row r="51" spans="1:3">
      <c r="A51" s="51" t="str">
        <f>'Ratings worksheet'!A51</f>
        <v>Ethiopia</v>
      </c>
      <c r="B51" s="63" t="str">
        <f>'Ratings worksheet'!B51</f>
        <v>CCC </v>
      </c>
      <c r="C51" s="63" t="str">
        <f>IF('Ratings worksheet'!C51="NA",VLOOKUP('Ratings worksheet'!B51,'Sovereign Ratings (Moody''s,S&amp;P)'!$F$9:$G$33,2),'Ratings worksheet'!C51)</f>
        <v>Caa2</v>
      </c>
    </row>
    <row r="52" spans="1:3">
      <c r="A52" s="51" t="str">
        <f>'Ratings worksheet'!A52</f>
        <v>Fiji</v>
      </c>
      <c r="B52" s="63" t="str">
        <f>'Ratings worksheet'!B52</f>
        <v>B+</v>
      </c>
      <c r="C52" s="63" t="str">
        <f>IF('Ratings worksheet'!C52="NA",VLOOKUP('Ratings worksheet'!B52,'Sovereign Ratings (Moody''s,S&amp;P)'!$F$9:$G$33,2),'Ratings worksheet'!C52)</f>
        <v>B1</v>
      </c>
    </row>
    <row r="53" spans="1:3">
      <c r="A53" s="51" t="str">
        <f>'Ratings worksheet'!A53</f>
        <v>Finland</v>
      </c>
      <c r="B53" s="63" t="str">
        <f>'Ratings worksheet'!B53</f>
        <v>AA+</v>
      </c>
      <c r="C53" s="63" t="str">
        <f>IF('Ratings worksheet'!C53="NA",VLOOKUP('Ratings worksheet'!B53,'Sovereign Ratings (Moody''s,S&amp;P)'!$F$9:$G$33,2),'Ratings worksheet'!C53)</f>
        <v>Aa1</v>
      </c>
    </row>
    <row r="54" spans="1:3">
      <c r="A54" s="51" t="str">
        <f>'Ratings worksheet'!A54</f>
        <v>France</v>
      </c>
      <c r="B54" s="63" t="str">
        <f>'Ratings worksheet'!B54</f>
        <v>AA</v>
      </c>
      <c r="C54" s="63" t="str">
        <f>IF('Ratings worksheet'!C54="NA",VLOOKUP('Ratings worksheet'!B54,'Sovereign Ratings (Moody''s,S&amp;P)'!$F$9:$G$33,2),'Ratings worksheet'!C54)</f>
        <v>Aa2</v>
      </c>
    </row>
    <row r="55" spans="1:3">
      <c r="A55" s="51" t="str">
        <f>'Ratings worksheet'!A55</f>
        <v>Gabon</v>
      </c>
      <c r="B55" s="63" t="str">
        <f>'Ratings worksheet'!B55</f>
        <v>N/A</v>
      </c>
      <c r="C55" s="63" t="str">
        <f>IF('Ratings worksheet'!C55="NA",VLOOKUP('Ratings worksheet'!B55,'Sovereign Ratings (Moody''s,S&amp;P)'!$F$9:$G$33,2),'Ratings worksheet'!C55)</f>
        <v>Caa1</v>
      </c>
    </row>
    <row r="56" spans="1:3">
      <c r="A56" s="51" t="str">
        <f>'Ratings worksheet'!A56</f>
        <v>Georgia</v>
      </c>
      <c r="B56" s="63" t="str">
        <f>'Ratings worksheet'!B56</f>
        <v>BB </v>
      </c>
      <c r="C56" s="63" t="str">
        <f>IF('Ratings worksheet'!C56="NA",VLOOKUP('Ratings worksheet'!B56,'Sovereign Ratings (Moody''s,S&amp;P)'!$F$9:$G$33,2),'Ratings worksheet'!C56)</f>
        <v>Ba2</v>
      </c>
    </row>
    <row r="57" spans="1:3">
      <c r="A57" s="51" t="str">
        <f>'Ratings worksheet'!A57</f>
        <v>Germany</v>
      </c>
      <c r="B57" s="63" t="str">
        <f>'Ratings worksheet'!B57</f>
        <v>AAA</v>
      </c>
      <c r="C57" s="63" t="str">
        <f>IF('Ratings worksheet'!C57="NA",VLOOKUP('Ratings worksheet'!B57,'Sovereign Ratings (Moody''s,S&amp;P)'!$F$9:$G$33,2),'Ratings worksheet'!C57)</f>
        <v>Aaa</v>
      </c>
    </row>
    <row r="58" spans="1:3">
      <c r="A58" s="51" t="str">
        <f>'Ratings worksheet'!A58</f>
        <v>Ghana</v>
      </c>
      <c r="B58" s="63" t="str">
        <f>'Ratings worksheet'!B58</f>
        <v>B-</v>
      </c>
      <c r="C58" s="63" t="str">
        <f>IF('Ratings worksheet'!C58="NA",VLOOKUP('Ratings worksheet'!B58,'Sovereign Ratings (Moody''s,S&amp;P)'!$F$9:$G$33,2),'Ratings worksheet'!C58)</f>
        <v>B3</v>
      </c>
    </row>
    <row r="59" spans="1:3">
      <c r="A59" s="51" t="str">
        <f>'Ratings worksheet'!A59</f>
        <v>Greece</v>
      </c>
      <c r="B59" s="63" t="str">
        <f>'Ratings worksheet'!B59</f>
        <v>BB </v>
      </c>
      <c r="C59" s="63" t="str">
        <f>IF('Ratings worksheet'!C59="NA",VLOOKUP('Ratings worksheet'!B59,'Sovereign Ratings (Moody''s,S&amp;P)'!$F$9:$G$33,2),'Ratings worksheet'!C59)</f>
        <v>Ba3</v>
      </c>
    </row>
    <row r="60" spans="1:3">
      <c r="A60" s="51" t="str">
        <f>'Ratings worksheet'!A60</f>
        <v>Guatemala</v>
      </c>
      <c r="B60" s="63" t="str">
        <f>'Ratings worksheet'!B60</f>
        <v>BB-</v>
      </c>
      <c r="C60" s="63" t="str">
        <f>IF('Ratings worksheet'!C60="NA",VLOOKUP('Ratings worksheet'!B60,'Sovereign Ratings (Moody''s,S&amp;P)'!$F$9:$G$33,2),'Ratings worksheet'!C60)</f>
        <v>Ba1</v>
      </c>
    </row>
    <row r="61" spans="1:3">
      <c r="A61" s="51" t="str">
        <f>'Ratings worksheet'!A61</f>
        <v>Guernsey (States of)</v>
      </c>
      <c r="B61" s="63" t="str">
        <f>'Ratings worksheet'!B61</f>
        <v>AA-</v>
      </c>
      <c r="C61" s="63" t="str">
        <f>IF('Ratings worksheet'!C61="NA",VLOOKUP('Ratings worksheet'!B61,'Sovereign Ratings (Moody''s,S&amp;P)'!$F$9:$G$33,2),'Ratings worksheet'!C61)</f>
        <v>Aa3</v>
      </c>
    </row>
    <row r="62" spans="1:3">
      <c r="A62" s="51" t="str">
        <f>'Ratings worksheet'!A62</f>
        <v>Honduras</v>
      </c>
      <c r="B62" s="63" t="str">
        <f>'Ratings worksheet'!B62</f>
        <v>BB-</v>
      </c>
      <c r="C62" s="63" t="str">
        <f>IF('Ratings worksheet'!C62="NA",VLOOKUP('Ratings worksheet'!B62,'Sovereign Ratings (Moody''s,S&amp;P)'!$F$9:$G$33,2),'Ratings worksheet'!C62)</f>
        <v>B1</v>
      </c>
    </row>
    <row r="63" spans="1:3">
      <c r="A63" s="51" t="str">
        <f>'Ratings worksheet'!A63</f>
        <v>Hong Kong</v>
      </c>
      <c r="B63" s="63" t="str">
        <f>'Ratings worksheet'!B63</f>
        <v>AA+</v>
      </c>
      <c r="C63" s="63" t="str">
        <f>IF('Ratings worksheet'!C63="NA",VLOOKUP('Ratings worksheet'!B63,'Sovereign Ratings (Moody''s,S&amp;P)'!$F$9:$G$33,2),'Ratings worksheet'!C63)</f>
        <v>Aa3</v>
      </c>
    </row>
    <row r="64" spans="1:3">
      <c r="A64" s="51" t="str">
        <f>'Ratings worksheet'!A64</f>
        <v>Hungary</v>
      </c>
      <c r="B64" s="63" t="str">
        <f>'Ratings worksheet'!B64</f>
        <v>BBB</v>
      </c>
      <c r="C64" s="63" t="str">
        <f>IF('Ratings worksheet'!C64="NA",VLOOKUP('Ratings worksheet'!B64,'Sovereign Ratings (Moody''s,S&amp;P)'!$F$9:$G$33,2),'Ratings worksheet'!C64)</f>
        <v>Baa2</v>
      </c>
    </row>
    <row r="65" spans="1:3">
      <c r="A65" s="51" t="str">
        <f>'Ratings worksheet'!A65</f>
        <v>Iceland</v>
      </c>
      <c r="B65" s="63" t="str">
        <f>'Ratings worksheet'!B65</f>
        <v>A</v>
      </c>
      <c r="C65" s="63" t="str">
        <f>IF('Ratings worksheet'!C65="NA",VLOOKUP('Ratings worksheet'!B65,'Sovereign Ratings (Moody''s,S&amp;P)'!$F$9:$G$33,2),'Ratings worksheet'!C65)</f>
        <v>A2</v>
      </c>
    </row>
    <row r="66" spans="1:3">
      <c r="A66" s="51" t="str">
        <f>'Ratings worksheet'!A66</f>
        <v>India</v>
      </c>
      <c r="B66" s="63" t="str">
        <f>'Ratings worksheet'!B66</f>
        <v>BBB-</v>
      </c>
      <c r="C66" s="63" t="str">
        <f>IF('Ratings worksheet'!C66="NA",VLOOKUP('Ratings worksheet'!B66,'Sovereign Ratings (Moody''s,S&amp;P)'!$F$9:$G$33,2),'Ratings worksheet'!C66)</f>
        <v>Baa3</v>
      </c>
    </row>
    <row r="67" spans="1:3">
      <c r="A67" s="51" t="str">
        <f>'Ratings worksheet'!A67</f>
        <v>Indonesia</v>
      </c>
      <c r="B67" s="63" t="str">
        <f>'Ratings worksheet'!B67</f>
        <v>BBB </v>
      </c>
      <c r="C67" s="63" t="str">
        <f>IF('Ratings worksheet'!C67="NA",VLOOKUP('Ratings worksheet'!B67,'Sovereign Ratings (Moody''s,S&amp;P)'!$F$9:$G$33,2),'Ratings worksheet'!C67)</f>
        <v>Baa2</v>
      </c>
    </row>
    <row r="68" spans="1:3">
      <c r="A68" s="51" t="str">
        <f>'Ratings worksheet'!A68</f>
        <v>Iraq</v>
      </c>
      <c r="B68" s="63" t="str">
        <f>'Ratings worksheet'!B68</f>
        <v>B-</v>
      </c>
      <c r="C68" s="63" t="str">
        <f>IF('Ratings worksheet'!C68="NA",VLOOKUP('Ratings worksheet'!B68,'Sovereign Ratings (Moody''s,S&amp;P)'!$F$9:$G$33,2),'Ratings worksheet'!C68)</f>
        <v>Caa1</v>
      </c>
    </row>
    <row r="69" spans="1:3">
      <c r="A69" s="51" t="str">
        <f>'Ratings worksheet'!A69</f>
        <v>Ireland</v>
      </c>
      <c r="B69" s="63" t="str">
        <f>'Ratings worksheet'!B69</f>
        <v>AA-</v>
      </c>
      <c r="C69" s="63" t="str">
        <f>IF('Ratings worksheet'!C69="NA",VLOOKUP('Ratings worksheet'!B69,'Sovereign Ratings (Moody''s,S&amp;P)'!$F$9:$G$33,2),'Ratings worksheet'!C69)</f>
        <v>A2</v>
      </c>
    </row>
    <row r="70" spans="1:3">
      <c r="A70" s="51" t="str">
        <f>'Ratings worksheet'!A70</f>
        <v>Isle of Man</v>
      </c>
      <c r="B70" s="63" t="str">
        <f>'Ratings worksheet'!B70</f>
        <v>NA</v>
      </c>
      <c r="C70" s="63" t="str">
        <f>IF('Ratings worksheet'!C70="NA",VLOOKUP('Ratings worksheet'!B70,'Sovereign Ratings (Moody''s,S&amp;P)'!$F$9:$G$33,2),'Ratings worksheet'!C70)</f>
        <v>Aa3</v>
      </c>
    </row>
    <row r="71" spans="1:3">
      <c r="A71" s="51" t="str">
        <f>'Ratings worksheet'!A71</f>
        <v>Israel</v>
      </c>
      <c r="B71" s="63" t="str">
        <f>'Ratings worksheet'!B71</f>
        <v>AA-</v>
      </c>
      <c r="C71" s="63" t="str">
        <f>IF('Ratings worksheet'!C71="NA",VLOOKUP('Ratings worksheet'!B71,'Sovereign Ratings (Moody''s,S&amp;P)'!$F$9:$G$33,2),'Ratings worksheet'!C71)</f>
        <v>A1</v>
      </c>
    </row>
    <row r="72" spans="1:3">
      <c r="A72" s="51" t="str">
        <f>'Ratings worksheet'!A72</f>
        <v>Italy</v>
      </c>
      <c r="B72" s="63" t="str">
        <f>'Ratings worksheet'!B72</f>
        <v>BBB </v>
      </c>
      <c r="C72" s="63" t="str">
        <f>IF('Ratings worksheet'!C72="NA",VLOOKUP('Ratings worksheet'!B72,'Sovereign Ratings (Moody''s,S&amp;P)'!$F$9:$G$33,2),'Ratings worksheet'!C72)</f>
        <v>Baa3</v>
      </c>
    </row>
    <row r="73" spans="1:3">
      <c r="A73" s="51" t="str">
        <f>'Ratings worksheet'!A73</f>
        <v>Jamaica</v>
      </c>
      <c r="B73" s="63" t="str">
        <f>'Ratings worksheet'!B73</f>
        <v>B+</v>
      </c>
      <c r="C73" s="63" t="str">
        <f>IF('Ratings worksheet'!C73="NA",VLOOKUP('Ratings worksheet'!B73,'Sovereign Ratings (Moody''s,S&amp;P)'!$F$9:$G$33,2),'Ratings worksheet'!C73)</f>
        <v>B2</v>
      </c>
    </row>
    <row r="74" spans="1:3">
      <c r="A74" s="51" t="str">
        <f>'Ratings worksheet'!A74</f>
        <v>Japan</v>
      </c>
      <c r="B74" s="63" t="str">
        <f>'Ratings worksheet'!B74</f>
        <v>A+</v>
      </c>
      <c r="C74" s="63" t="str">
        <f>IF('Ratings worksheet'!C74="NA",VLOOKUP('Ratings worksheet'!B74,'Sovereign Ratings (Moody''s,S&amp;P)'!$F$9:$G$33,2),'Ratings worksheet'!C74)</f>
        <v>A1</v>
      </c>
    </row>
    <row r="75" spans="1:3">
      <c r="A75" s="51" t="str">
        <f>'Ratings worksheet'!A75</f>
        <v>Jersey (States of)</v>
      </c>
      <c r="B75" s="63" t="str">
        <f>'Ratings worksheet'!B75</f>
        <v>AA</v>
      </c>
      <c r="C75" s="63" t="str">
        <f>IF('Ratings worksheet'!C75="NA",VLOOKUP('Ratings worksheet'!B75,'Sovereign Ratings (Moody''s,S&amp;P)'!$F$9:$G$33,2),'Ratings worksheet'!C75)</f>
        <v>Aaa</v>
      </c>
    </row>
    <row r="76" spans="1:3">
      <c r="A76" s="51" t="str">
        <f>'Ratings worksheet'!A76</f>
        <v>Jordan</v>
      </c>
      <c r="B76" s="63" t="str">
        <f>'Ratings worksheet'!B76</f>
        <v>B+</v>
      </c>
      <c r="C76" s="63" t="str">
        <f>IF('Ratings worksheet'!C76="NA",VLOOKUP('Ratings worksheet'!B76,'Sovereign Ratings (Moody''s,S&amp;P)'!$F$9:$G$33,2),'Ratings worksheet'!C76)</f>
        <v>B1</v>
      </c>
    </row>
    <row r="77" spans="1:3">
      <c r="A77" s="51" t="str">
        <f>'Ratings worksheet'!A77</f>
        <v>Kazakhstan</v>
      </c>
      <c r="B77" s="63" t="str">
        <f>'Ratings worksheet'!B77</f>
        <v>BBB-</v>
      </c>
      <c r="C77" s="63" t="str">
        <f>IF('Ratings worksheet'!C77="NA",VLOOKUP('Ratings worksheet'!B77,'Sovereign Ratings (Moody''s,S&amp;P)'!$F$9:$G$33,2),'Ratings worksheet'!C77)</f>
        <v>Baa2</v>
      </c>
    </row>
    <row r="78" spans="1:3">
      <c r="A78" s="51" t="str">
        <f>'Ratings worksheet'!A78</f>
        <v>Kenya</v>
      </c>
      <c r="B78" s="63" t="str">
        <f>'Ratings worksheet'!B78</f>
        <v>B</v>
      </c>
      <c r="C78" s="63" t="str">
        <f>IF('Ratings worksheet'!C78="NA",VLOOKUP('Ratings worksheet'!B78,'Sovereign Ratings (Moody''s,S&amp;P)'!$F$9:$G$33,2),'Ratings worksheet'!C78)</f>
        <v>B2</v>
      </c>
    </row>
    <row r="79" spans="1:3">
      <c r="A79" s="51" t="str">
        <f>'Ratings worksheet'!A79</f>
        <v>Korea</v>
      </c>
      <c r="B79" s="63" t="str">
        <f>'Ratings worksheet'!B79</f>
        <v>AA</v>
      </c>
      <c r="C79" s="63" t="str">
        <f>IF('Ratings worksheet'!C79="NA",VLOOKUP('Ratings worksheet'!B79,'Sovereign Ratings (Moody''s,S&amp;P)'!$F$9:$G$33,2),'Ratings worksheet'!C79)</f>
        <v>Aa2</v>
      </c>
    </row>
    <row r="80" spans="1:3">
      <c r="A80" s="51" t="str">
        <f>'Ratings worksheet'!A80</f>
        <v>Kuwait</v>
      </c>
      <c r="B80" s="63" t="str">
        <f>'Ratings worksheet'!B80</f>
        <v>A+ </v>
      </c>
      <c r="C80" s="63" t="str">
        <f>IF('Ratings worksheet'!C80="NA",VLOOKUP('Ratings worksheet'!B80,'Sovereign Ratings (Moody''s,S&amp;P)'!$F$9:$G$33,2),'Ratings worksheet'!C80)</f>
        <v>A1</v>
      </c>
    </row>
    <row r="81" spans="1:3">
      <c r="A81" s="51" t="str">
        <f>'Ratings worksheet'!A81</f>
        <v>Kyrgyzstan</v>
      </c>
      <c r="B81" s="63" t="str">
        <f>'Ratings worksheet'!B81</f>
        <v>NA</v>
      </c>
      <c r="C81" s="63" t="str">
        <f>IF('Ratings worksheet'!C81="NA",VLOOKUP('Ratings worksheet'!B81,'Sovereign Ratings (Moody''s,S&amp;P)'!$F$9:$G$33,2),'Ratings worksheet'!C81)</f>
        <v>B2</v>
      </c>
    </row>
    <row r="82" spans="1:3">
      <c r="A82" s="51" t="str">
        <f>'Ratings worksheet'!A82</f>
        <v>Laos</v>
      </c>
      <c r="B82" s="63" t="str">
        <f>'Ratings worksheet'!B82</f>
        <v>NA</v>
      </c>
      <c r="C82" s="63" t="str">
        <f>IF('Ratings worksheet'!C82="NA",VLOOKUP('Ratings worksheet'!B82,'Sovereign Ratings (Moody''s,S&amp;P)'!$F$9:$G$33,2),'Ratings worksheet'!C82)</f>
        <v>Caa2</v>
      </c>
    </row>
    <row r="83" spans="1:3">
      <c r="A83" s="51" t="str">
        <f>'Ratings worksheet'!A83</f>
        <v>Latvia</v>
      </c>
      <c r="B83" s="63" t="str">
        <f>'Ratings worksheet'!B83</f>
        <v>A+</v>
      </c>
      <c r="C83" s="63" t="str">
        <f>IF('Ratings worksheet'!C83="NA",VLOOKUP('Ratings worksheet'!B83,'Sovereign Ratings (Moody''s,S&amp;P)'!$F$9:$G$33,2),'Ratings worksheet'!C83)</f>
        <v>A3</v>
      </c>
    </row>
    <row r="84" spans="1:3">
      <c r="A84" s="51" t="str">
        <f>'Ratings worksheet'!A84</f>
        <v>Lebanon</v>
      </c>
      <c r="B84" s="63" t="str">
        <f>'Ratings worksheet'!B84</f>
        <v>D</v>
      </c>
      <c r="C84" s="63" t="str">
        <f>IF('Ratings worksheet'!C84="NA",VLOOKUP('Ratings worksheet'!B84,'Sovereign Ratings (Moody''s,S&amp;P)'!$F$9:$G$33,2),'Ratings worksheet'!C84)</f>
        <v>C</v>
      </c>
    </row>
    <row r="85" spans="1:3">
      <c r="A85" s="51" t="str">
        <f>'Ratings worksheet'!A85</f>
        <v>Liechtenstein</v>
      </c>
      <c r="B85" s="63" t="str">
        <f>'Ratings worksheet'!B85</f>
        <v>AAA</v>
      </c>
      <c r="C85" s="63" t="str">
        <f>IF('Ratings worksheet'!C85="NA",VLOOKUP('Ratings worksheet'!B85,'Sovereign Ratings (Moody''s,S&amp;P)'!$F$9:$G$33,2),'Ratings worksheet'!C85)</f>
        <v>Aaa</v>
      </c>
    </row>
    <row r="86" spans="1:3">
      <c r="A86" s="51" t="str">
        <f>'Ratings worksheet'!A86</f>
        <v>Lithuania</v>
      </c>
      <c r="B86" s="63" t="str">
        <f>'Ratings worksheet'!B86</f>
        <v>A+</v>
      </c>
      <c r="C86" s="63" t="str">
        <f>IF('Ratings worksheet'!C86="NA",VLOOKUP('Ratings worksheet'!B86,'Sovereign Ratings (Moody''s,S&amp;P)'!$F$9:$G$33,2),'Ratings worksheet'!C86)</f>
        <v>A2</v>
      </c>
    </row>
    <row r="87" spans="1:3">
      <c r="A87" s="51" t="str">
        <f>'Ratings worksheet'!A87</f>
        <v>Luxembourg</v>
      </c>
      <c r="B87" s="63" t="str">
        <f>'Ratings worksheet'!B87</f>
        <v>AAA</v>
      </c>
      <c r="C87" s="63" t="str">
        <f>IF('Ratings worksheet'!C87="NA",VLOOKUP('Ratings worksheet'!B87,'Sovereign Ratings (Moody''s,S&amp;P)'!$F$9:$G$33,2),'Ratings worksheet'!C87)</f>
        <v>Aaa</v>
      </c>
    </row>
    <row r="88" spans="1:3">
      <c r="A88" s="51" t="str">
        <f>'Ratings worksheet'!A88</f>
        <v>Macao</v>
      </c>
      <c r="B88" s="63" t="str">
        <f>'Ratings worksheet'!B88</f>
        <v>NA</v>
      </c>
      <c r="C88" s="63" t="str">
        <f>IF('Ratings worksheet'!C88="NA",VLOOKUP('Ratings worksheet'!B88,'Sovereign Ratings (Moody''s,S&amp;P)'!$F$9:$G$33,2),'Ratings worksheet'!C88)</f>
        <v>Aa3</v>
      </c>
    </row>
    <row r="89" spans="1:3">
      <c r="A89" s="51" t="str">
        <f>'Ratings worksheet'!A89</f>
        <v>Macedonia</v>
      </c>
      <c r="B89" s="63" t="str">
        <f>'Ratings worksheet'!B89</f>
        <v>BB-</v>
      </c>
      <c r="C89" s="63" t="str">
        <f>IF('Ratings worksheet'!C89="NA",VLOOKUP('Ratings worksheet'!B89,'Sovereign Ratings (Moody''s,S&amp;P)'!$F$9:$G$33,2),'Ratings worksheet'!C89)</f>
        <v>Ba3</v>
      </c>
    </row>
    <row r="90" spans="1:3">
      <c r="A90" s="51" t="str">
        <f>'Ratings worksheet'!A90</f>
        <v>Malaysia</v>
      </c>
      <c r="B90" s="63" t="str">
        <f>'Ratings worksheet'!B90</f>
        <v>A- </v>
      </c>
      <c r="C90" s="63" t="str">
        <f>IF('Ratings worksheet'!C90="NA",VLOOKUP('Ratings worksheet'!B90,'Sovereign Ratings (Moody''s,S&amp;P)'!$F$9:$G$33,2),'Ratings worksheet'!C90)</f>
        <v>A3</v>
      </c>
    </row>
    <row r="91" spans="1:3">
      <c r="A91" s="51" t="str">
        <f>'Ratings worksheet'!A91</f>
        <v>Maldives</v>
      </c>
      <c r="B91" s="63" t="str">
        <f>'Ratings worksheet'!B91</f>
        <v>NA</v>
      </c>
      <c r="C91" s="63" t="str">
        <f>IF('Ratings worksheet'!C91="NA",VLOOKUP('Ratings worksheet'!B91,'Sovereign Ratings (Moody''s,S&amp;P)'!$F$9:$G$33,2),'Ratings worksheet'!C91)</f>
        <v>Caa1</v>
      </c>
    </row>
    <row r="92" spans="1:3">
      <c r="A92" s="51" t="str">
        <f>'Ratings worksheet'!A92</f>
        <v>Mali</v>
      </c>
      <c r="B92" s="63" t="str">
        <f>'Ratings worksheet'!B92</f>
        <v>NA</v>
      </c>
      <c r="C92" s="63" t="str">
        <f>IF('Ratings worksheet'!C92="NA",VLOOKUP('Ratings worksheet'!B92,'Sovereign Ratings (Moody''s,S&amp;P)'!$F$9:$G$33,2),'Ratings worksheet'!C92)</f>
        <v>Caa1</v>
      </c>
    </row>
    <row r="93" spans="1:3">
      <c r="A93" s="51" t="str">
        <f>'Ratings worksheet'!A93</f>
        <v>Malta</v>
      </c>
      <c r="B93" s="63" t="str">
        <f>'Ratings worksheet'!B93</f>
        <v>A-</v>
      </c>
      <c r="C93" s="63" t="str">
        <f>IF('Ratings worksheet'!C93="NA",VLOOKUP('Ratings worksheet'!B93,'Sovereign Ratings (Moody''s,S&amp;P)'!$F$9:$G$33,2),'Ratings worksheet'!C93)</f>
        <v>A2</v>
      </c>
    </row>
    <row r="94" spans="1:3">
      <c r="A94" s="51" t="str">
        <f>'Ratings worksheet'!A94</f>
        <v>Mauritius</v>
      </c>
      <c r="B94" s="63" t="str">
        <f>'Ratings worksheet'!B94</f>
        <v>NA</v>
      </c>
      <c r="C94" s="63" t="str">
        <f>IF('Ratings worksheet'!C94="NA",VLOOKUP('Ratings worksheet'!B94,'Sovereign Ratings (Moody''s,S&amp;P)'!$F$9:$G$33,2),'Ratings worksheet'!C94)</f>
        <v>Baa2</v>
      </c>
    </row>
    <row r="95" spans="1:3">
      <c r="A95" s="51" t="str">
        <f>'Ratings worksheet'!A95</f>
        <v>Mexico</v>
      </c>
      <c r="B95" s="63" t="str">
        <f>'Ratings worksheet'!B95</f>
        <v>BBB </v>
      </c>
      <c r="C95" s="63" t="str">
        <f>IF('Ratings worksheet'!C95="NA",VLOOKUP('Ratings worksheet'!B95,'Sovereign Ratings (Moody''s,S&amp;P)'!$F$9:$G$33,2),'Ratings worksheet'!C95)</f>
        <v>Baa1</v>
      </c>
    </row>
    <row r="96" spans="1:3">
      <c r="A96" s="51" t="str">
        <f>'Ratings worksheet'!A96</f>
        <v>Moldova</v>
      </c>
      <c r="B96" s="63" t="str">
        <f>'Ratings worksheet'!B96</f>
        <v>NA</v>
      </c>
      <c r="C96" s="63" t="str">
        <f>IF('Ratings worksheet'!C96="NA",VLOOKUP('Ratings worksheet'!B96,'Sovereign Ratings (Moody''s,S&amp;P)'!$F$9:$G$33,2),'Ratings worksheet'!C96)</f>
        <v>B3</v>
      </c>
    </row>
    <row r="97" spans="1:3">
      <c r="A97" s="51" t="str">
        <f>'Ratings worksheet'!A97</f>
        <v>Mongolia</v>
      </c>
      <c r="B97" s="63" t="str">
        <f>'Ratings worksheet'!B97</f>
        <v>B</v>
      </c>
      <c r="C97" s="63" t="str">
        <f>IF('Ratings worksheet'!C97="NA",VLOOKUP('Ratings worksheet'!B97,'Sovereign Ratings (Moody''s,S&amp;P)'!$F$9:$G$33,2),'Ratings worksheet'!C97)</f>
        <v>B3</v>
      </c>
    </row>
    <row r="98" spans="1:3">
      <c r="A98" s="51" t="str">
        <f>'Ratings worksheet'!A98</f>
        <v>Montenegro</v>
      </c>
      <c r="B98" s="63" t="str">
        <f>'Ratings worksheet'!B98</f>
        <v>B</v>
      </c>
      <c r="C98" s="63" t="str">
        <f>IF('Ratings worksheet'!C98="NA",VLOOKUP('Ratings worksheet'!B98,'Sovereign Ratings (Moody''s,S&amp;P)'!$F$9:$G$33,2),'Ratings worksheet'!C98)</f>
        <v>B1</v>
      </c>
    </row>
    <row r="99" spans="1:3">
      <c r="A99" s="51" t="str">
        <f>'Ratings worksheet'!A99</f>
        <v>Montserrat</v>
      </c>
      <c r="B99" s="63" t="str">
        <f>'Ratings worksheet'!B99</f>
        <v>BBB-</v>
      </c>
      <c r="C99" s="63" t="str">
        <f>IF('Ratings worksheet'!C99="NA",VLOOKUP('Ratings worksheet'!B99,'Sovereign Ratings (Moody''s,S&amp;P)'!$F$9:$G$33,2),'Ratings worksheet'!C99)</f>
        <v>Baa3</v>
      </c>
    </row>
    <row r="100" spans="1:3">
      <c r="A100" s="51" t="str">
        <f>'Ratings worksheet'!A100</f>
        <v>Morocco</v>
      </c>
      <c r="B100" s="63" t="str">
        <f>'Ratings worksheet'!B100</f>
        <v>BB+</v>
      </c>
      <c r="C100" s="63" t="str">
        <f>IF('Ratings worksheet'!C100="NA",VLOOKUP('Ratings worksheet'!B100,'Sovereign Ratings (Moody''s,S&amp;P)'!$F$9:$G$33,2),'Ratings worksheet'!C100)</f>
        <v>Ba1</v>
      </c>
    </row>
    <row r="101" spans="1:3">
      <c r="A101" s="51" t="str">
        <f>'Ratings worksheet'!A101</f>
        <v>Mozambique</v>
      </c>
      <c r="B101" s="63" t="str">
        <f>'Ratings worksheet'!B101</f>
        <v>CCC+</v>
      </c>
      <c r="C101" s="63" t="str">
        <f>IF('Ratings worksheet'!C101="NA",VLOOKUP('Ratings worksheet'!B101,'Sovereign Ratings (Moody''s,S&amp;P)'!$F$9:$G$33,2),'Ratings worksheet'!C101)</f>
        <v>Caa2</v>
      </c>
    </row>
    <row r="102" spans="1:3">
      <c r="A102" s="51" t="str">
        <f>'Ratings worksheet'!A102</f>
        <v>Namibia</v>
      </c>
      <c r="B102" s="63" t="str">
        <f>'Ratings worksheet'!B102</f>
        <v>NA</v>
      </c>
      <c r="C102" s="63" t="str">
        <f>IF('Ratings worksheet'!C102="NA",VLOOKUP('Ratings worksheet'!B102,'Sovereign Ratings (Moody''s,S&amp;P)'!$F$9:$G$33,2),'Ratings worksheet'!C102)</f>
        <v>Ba3</v>
      </c>
    </row>
    <row r="103" spans="1:3">
      <c r="A103" s="51" t="str">
        <f>'Ratings worksheet'!A103</f>
        <v>Netherlands</v>
      </c>
      <c r="B103" s="63" t="str">
        <f>'Ratings worksheet'!B103</f>
        <v>AAA</v>
      </c>
      <c r="C103" s="63" t="str">
        <f>IF('Ratings worksheet'!C103="NA",VLOOKUP('Ratings worksheet'!B103,'Sovereign Ratings (Moody''s,S&amp;P)'!$F$9:$G$33,2),'Ratings worksheet'!C103)</f>
        <v>Aaa</v>
      </c>
    </row>
    <row r="104" spans="1:3">
      <c r="A104" s="51" t="str">
        <f>'Ratings worksheet'!A104</f>
        <v>New Zealand</v>
      </c>
      <c r="B104" s="63" t="str">
        <f>'Ratings worksheet'!B104</f>
        <v>AA+</v>
      </c>
      <c r="C104" s="63" t="str">
        <f>IF('Ratings worksheet'!C104="NA",VLOOKUP('Ratings worksheet'!B104,'Sovereign Ratings (Moody''s,S&amp;P)'!$F$9:$G$33,2),'Ratings worksheet'!C104)</f>
        <v>Aaa</v>
      </c>
    </row>
    <row r="105" spans="1:3">
      <c r="A105" s="51" t="str">
        <f>'Ratings worksheet'!A105</f>
        <v>Nicaragua</v>
      </c>
      <c r="B105" s="63" t="str">
        <f>'Ratings worksheet'!B105</f>
        <v>B-</v>
      </c>
      <c r="C105" s="63" t="str">
        <f>IF('Ratings worksheet'!C105="NA",VLOOKUP('Ratings worksheet'!B105,'Sovereign Ratings (Moody''s,S&amp;P)'!$F$9:$G$33,2),'Ratings worksheet'!C105)</f>
        <v>B3</v>
      </c>
    </row>
    <row r="106" spans="1:3">
      <c r="A106" s="51" t="str">
        <f>'Ratings worksheet'!A106</f>
        <v>Niger</v>
      </c>
      <c r="B106" s="63" t="str">
        <f>'Ratings worksheet'!B106</f>
        <v>NA</v>
      </c>
      <c r="C106" s="63" t="str">
        <f>IF('Ratings worksheet'!C106="NA",VLOOKUP('Ratings worksheet'!B106,'Sovereign Ratings (Moody''s,S&amp;P)'!$F$9:$G$33,2),'Ratings worksheet'!C106)</f>
        <v>B3</v>
      </c>
    </row>
    <row r="107" spans="1:3">
      <c r="A107" s="51" t="str">
        <f>'Ratings worksheet'!A107</f>
        <v>Nigeria</v>
      </c>
      <c r="B107" s="63" t="str">
        <f>'Ratings worksheet'!B107</f>
        <v>B-</v>
      </c>
      <c r="C107" s="63" t="str">
        <f>IF('Ratings worksheet'!C107="NA",VLOOKUP('Ratings worksheet'!B107,'Sovereign Ratings (Moody''s,S&amp;P)'!$F$9:$G$33,2),'Ratings worksheet'!C107)</f>
        <v>B2</v>
      </c>
    </row>
    <row r="108" spans="1:3">
      <c r="A108" s="51" t="str">
        <f>'Ratings worksheet'!A108</f>
        <v>Norway</v>
      </c>
      <c r="B108" s="63" t="str">
        <f>'Ratings worksheet'!B108</f>
        <v>AAA</v>
      </c>
      <c r="C108" s="63" t="str">
        <f>IF('Ratings worksheet'!C108="NA",VLOOKUP('Ratings worksheet'!B108,'Sovereign Ratings (Moody''s,S&amp;P)'!$F$9:$G$33,2),'Ratings worksheet'!C108)</f>
        <v>Aaa</v>
      </c>
    </row>
    <row r="109" spans="1:3">
      <c r="A109" s="51" t="str">
        <f>'Ratings worksheet'!A109</f>
        <v>Oman</v>
      </c>
      <c r="B109" s="63" t="str">
        <f>'Ratings worksheet'!B109</f>
        <v>B+ </v>
      </c>
      <c r="C109" s="63" t="str">
        <f>IF('Ratings worksheet'!C109="NA",VLOOKUP('Ratings worksheet'!B109,'Sovereign Ratings (Moody''s,S&amp;P)'!$F$9:$G$33,2),'Ratings worksheet'!C109)</f>
        <v>Ba3</v>
      </c>
    </row>
    <row r="110" spans="1:3">
      <c r="A110" s="51" t="str">
        <f>'Ratings worksheet'!A110</f>
        <v>Pakistan</v>
      </c>
      <c r="B110" s="63" t="str">
        <f>'Ratings worksheet'!B110</f>
        <v>B-</v>
      </c>
      <c r="C110" s="63" t="str">
        <f>IF('Ratings worksheet'!C110="NA",VLOOKUP('Ratings worksheet'!B110,'Sovereign Ratings (Moody''s,S&amp;P)'!$F$9:$G$33,2),'Ratings worksheet'!C110)</f>
        <v>B3</v>
      </c>
    </row>
    <row r="111" spans="1:3">
      <c r="A111" s="51" t="str">
        <f>'Ratings worksheet'!A111</f>
        <v>Panama</v>
      </c>
      <c r="B111" s="63" t="str">
        <f>'Ratings worksheet'!B111</f>
        <v>BBB </v>
      </c>
      <c r="C111" s="63" t="str">
        <f>IF('Ratings worksheet'!C111="NA",VLOOKUP('Ratings worksheet'!B111,'Sovereign Ratings (Moody''s,S&amp;P)'!$F$9:$G$33,2),'Ratings worksheet'!C111)</f>
        <v>Baa2</v>
      </c>
    </row>
    <row r="112" spans="1:3">
      <c r="A112" s="51" t="str">
        <f>'Ratings worksheet'!A112</f>
        <v>Papua New Guinea</v>
      </c>
      <c r="B112" s="63" t="str">
        <f>'Ratings worksheet'!B112</f>
        <v>B- </v>
      </c>
      <c r="C112" s="63" t="str">
        <f>IF('Ratings worksheet'!C112="NA",VLOOKUP('Ratings worksheet'!B112,'Sovereign Ratings (Moody''s,S&amp;P)'!$F$9:$G$33,2),'Ratings worksheet'!C112)</f>
        <v>B2</v>
      </c>
    </row>
    <row r="113" spans="1:3">
      <c r="A113" s="51" t="str">
        <f>'Ratings worksheet'!A113</f>
        <v>Paraguay</v>
      </c>
      <c r="B113" s="63" t="str">
        <f>'Ratings worksheet'!B113</f>
        <v>BB</v>
      </c>
      <c r="C113" s="63" t="str">
        <f>IF('Ratings worksheet'!C113="NA",VLOOKUP('Ratings worksheet'!B113,'Sovereign Ratings (Moody''s,S&amp;P)'!$F$9:$G$33,2),'Ratings worksheet'!C113)</f>
        <v>Ba1</v>
      </c>
    </row>
    <row r="114" spans="1:3">
      <c r="A114" s="51" t="str">
        <f>'Ratings worksheet'!A114</f>
        <v>Peru</v>
      </c>
      <c r="B114" s="63" t="e">
        <f>'Ratings worksheet'!B114</f>
        <v>#N/A</v>
      </c>
      <c r="C114" s="63" t="str">
        <f>IF('Ratings worksheet'!C114="NA",VLOOKUP('Ratings worksheet'!B114,'Sovereign Ratings (Moody''s,S&amp;P)'!$F$9:$G$33,2),'Ratings worksheet'!C114)</f>
        <v>Baa1</v>
      </c>
    </row>
    <row r="115" spans="1:3">
      <c r="A115" s="51" t="str">
        <f>'Ratings worksheet'!A115</f>
        <v>Philippines</v>
      </c>
      <c r="B115" s="63" t="str">
        <f>'Ratings worksheet'!B115</f>
        <v>BBB+</v>
      </c>
      <c r="C115" s="63" t="str">
        <f>IF('Ratings worksheet'!C115="NA",VLOOKUP('Ratings worksheet'!B115,'Sovereign Ratings (Moody''s,S&amp;P)'!$F$9:$G$33,2),'Ratings worksheet'!C115)</f>
        <v>Baa2</v>
      </c>
    </row>
    <row r="116" spans="1:3">
      <c r="A116" s="51" t="str">
        <f>'Ratings worksheet'!A116</f>
        <v>Poland</v>
      </c>
      <c r="B116" s="63" t="str">
        <f>'Ratings worksheet'!B116</f>
        <v>A-</v>
      </c>
      <c r="C116" s="63" t="str">
        <f>IF('Ratings worksheet'!C116="NA",VLOOKUP('Ratings worksheet'!B116,'Sovereign Ratings (Moody''s,S&amp;P)'!$F$9:$G$33,2),'Ratings worksheet'!C116)</f>
        <v>A2</v>
      </c>
    </row>
    <row r="117" spans="1:3">
      <c r="A117" s="51" t="str">
        <f>'Ratings worksheet'!A117</f>
        <v>Portugal</v>
      </c>
      <c r="B117" s="63" t="str">
        <f>'Ratings worksheet'!B117</f>
        <v>BBB</v>
      </c>
      <c r="C117" s="63" t="str">
        <f>IF('Ratings worksheet'!C117="NA",VLOOKUP('Ratings worksheet'!B117,'Sovereign Ratings (Moody''s,S&amp;P)'!$F$9:$G$33,2),'Ratings worksheet'!C117)</f>
        <v>Baa2</v>
      </c>
    </row>
    <row r="118" spans="1:3">
      <c r="A118" s="51" t="str">
        <f>'Ratings worksheet'!A118</f>
        <v>Qatar</v>
      </c>
      <c r="B118" s="63" t="str">
        <f>'Ratings worksheet'!B118</f>
        <v>AA-</v>
      </c>
      <c r="C118" s="63" t="str">
        <f>IF('Ratings worksheet'!C118="NA",VLOOKUP('Ratings worksheet'!B118,'Sovereign Ratings (Moody''s,S&amp;P)'!$F$9:$G$33,2),'Ratings worksheet'!C118)</f>
        <v>Aa3</v>
      </c>
    </row>
    <row r="119" spans="1:3">
      <c r="A119" s="51" t="str">
        <f>'Ratings worksheet'!A119</f>
        <v>Ras Al Khaimah (Emirate of)</v>
      </c>
      <c r="B119" s="63" t="str">
        <f>'Ratings worksheet'!B119</f>
        <v>A-</v>
      </c>
      <c r="C119" s="63" t="str">
        <f>IF('Ratings worksheet'!C119="NA",VLOOKUP('Ratings worksheet'!B119,'Sovereign Ratings (Moody''s,S&amp;P)'!$F$9:$G$33,2),'Ratings worksheet'!C119)</f>
        <v>A3</v>
      </c>
    </row>
    <row r="120" spans="1:3">
      <c r="A120" s="51" t="str">
        <f>'Ratings worksheet'!A120</f>
        <v>Romania</v>
      </c>
      <c r="B120" s="63" t="str">
        <f>'Ratings worksheet'!B120</f>
        <v>BBB-</v>
      </c>
      <c r="C120" s="63" t="str">
        <f>IF('Ratings worksheet'!C120="NA",VLOOKUP('Ratings worksheet'!B120,'Sovereign Ratings (Moody''s,S&amp;P)'!$F$9:$G$33,2),'Ratings worksheet'!C120)</f>
        <v>Baa3</v>
      </c>
    </row>
    <row r="121" spans="1:3">
      <c r="A121" s="51" t="str">
        <f>'Ratings worksheet'!A121</f>
        <v>Russia</v>
      </c>
      <c r="B121" s="63" t="str">
        <f>'Ratings worksheet'!B121</f>
        <v>BBB-</v>
      </c>
      <c r="C121" s="63" t="str">
        <f>IF('Ratings worksheet'!C121="NA",VLOOKUP('Ratings worksheet'!B121,'Sovereign Ratings (Moody''s,S&amp;P)'!$F$9:$G$33,2),'Ratings worksheet'!C121)</f>
        <v>Baa3</v>
      </c>
    </row>
    <row r="122" spans="1:3">
      <c r="A122" s="51" t="str">
        <f>'Ratings worksheet'!A122</f>
        <v>Rwanda</v>
      </c>
      <c r="B122" s="63" t="str">
        <f>'Ratings worksheet'!B122</f>
        <v>B+ </v>
      </c>
      <c r="C122" s="63" t="str">
        <f>IF('Ratings worksheet'!C122="NA",VLOOKUP('Ratings worksheet'!B122,'Sovereign Ratings (Moody''s,S&amp;P)'!$F$9:$G$33,2),'Ratings worksheet'!C122)</f>
        <v>B2</v>
      </c>
    </row>
    <row r="123" spans="1:3">
      <c r="A123" s="51" t="str">
        <f>'Ratings worksheet'!A123</f>
        <v>Saudi Arabia</v>
      </c>
      <c r="B123" s="63" t="str">
        <f>'Ratings worksheet'!B123</f>
        <v>A-</v>
      </c>
      <c r="C123" s="63" t="str">
        <f>IF('Ratings worksheet'!C123="NA",VLOOKUP('Ratings worksheet'!B123,'Sovereign Ratings (Moody''s,S&amp;P)'!$F$9:$G$33,2),'Ratings worksheet'!C123)</f>
        <v>A1</v>
      </c>
    </row>
    <row r="124" spans="1:3">
      <c r="A124" s="51" t="str">
        <f>'Ratings worksheet'!A124</f>
        <v>Senegal</v>
      </c>
      <c r="B124" s="63" t="str">
        <f>'Ratings worksheet'!B124</f>
        <v>B+</v>
      </c>
      <c r="C124" s="63" t="str">
        <f>IF('Ratings worksheet'!C124="NA",VLOOKUP('Ratings worksheet'!B124,'Sovereign Ratings (Moody''s,S&amp;P)'!$F$9:$G$33,2),'Ratings worksheet'!C124)</f>
        <v>Ba3</v>
      </c>
    </row>
    <row r="125" spans="1:3">
      <c r="A125" s="51" t="str">
        <f>'Ratings worksheet'!A125</f>
        <v>Serbia</v>
      </c>
      <c r="B125" s="63" t="str">
        <f>'Ratings worksheet'!B125</f>
        <v>BB+</v>
      </c>
      <c r="C125" s="63" t="str">
        <f>IF('Ratings worksheet'!C125="NA",VLOOKUP('Ratings worksheet'!B125,'Sovereign Ratings (Moody''s,S&amp;P)'!$F$9:$G$33,2),'Ratings worksheet'!C125)</f>
        <v>Ba2</v>
      </c>
    </row>
    <row r="126" spans="1:3">
      <c r="A126" s="51" t="str">
        <f>'Ratings worksheet'!A126</f>
        <v>Sharjah</v>
      </c>
      <c r="B126" s="63" t="str">
        <f>'Ratings worksheet'!B126</f>
        <v>NA</v>
      </c>
      <c r="C126" s="63" t="str">
        <f>IF('Ratings worksheet'!C126="NA",VLOOKUP('Ratings worksheet'!B126,'Sovereign Ratings (Moody''s,S&amp;P)'!$F$9:$G$33,2),'Ratings worksheet'!C126)</f>
        <v>Baa3</v>
      </c>
    </row>
    <row r="127" spans="1:3">
      <c r="A127" s="51" t="str">
        <f>'Ratings worksheet'!A127</f>
        <v>Singapore</v>
      </c>
      <c r="B127" s="63" t="str">
        <f>'Ratings worksheet'!B127</f>
        <v>NA</v>
      </c>
      <c r="C127" s="63" t="str">
        <f>IF('Ratings worksheet'!C127="NA",VLOOKUP('Ratings worksheet'!B127,'Sovereign Ratings (Moody''s,S&amp;P)'!$F$9:$G$33,2),'Ratings worksheet'!C127)</f>
        <v>Aaa</v>
      </c>
    </row>
    <row r="128" spans="1:3">
      <c r="A128" s="51" t="str">
        <f>'Ratings worksheet'!A128</f>
        <v>Slovakia</v>
      </c>
      <c r="B128" s="63" t="str">
        <f>'Ratings worksheet'!B128</f>
        <v>A+</v>
      </c>
      <c r="C128" s="63" t="str">
        <f>IF('Ratings worksheet'!C128="NA",VLOOKUP('Ratings worksheet'!B128,'Sovereign Ratings (Moody''s,S&amp;P)'!$F$9:$G$33,2),'Ratings worksheet'!C128)</f>
        <v>A2</v>
      </c>
    </row>
    <row r="129" spans="1:3">
      <c r="A129" s="51" t="str">
        <f>'Ratings worksheet'!A129</f>
        <v>Slovenia</v>
      </c>
      <c r="B129" s="63" t="str">
        <f>'Ratings worksheet'!B129</f>
        <v>AA-</v>
      </c>
      <c r="C129" s="63" t="str">
        <f>IF('Ratings worksheet'!C129="NA",VLOOKUP('Ratings worksheet'!B129,'Sovereign Ratings (Moody''s,S&amp;P)'!$F$9:$G$33,2),'Ratings worksheet'!C129)</f>
        <v>A3</v>
      </c>
    </row>
    <row r="130" spans="1:3">
      <c r="A130" s="51" t="str">
        <f>'Ratings worksheet'!A130</f>
        <v>Solomon Islands</v>
      </c>
      <c r="B130" s="63" t="str">
        <f>'Ratings worksheet'!B130</f>
        <v>NA</v>
      </c>
      <c r="C130" s="63" t="str">
        <f>IF('Ratings worksheet'!C130="NA",VLOOKUP('Ratings worksheet'!B130,'Sovereign Ratings (Moody''s,S&amp;P)'!$F$9:$G$33,2),'Ratings worksheet'!C130)</f>
        <v>Caa1</v>
      </c>
    </row>
    <row r="131" spans="1:3">
      <c r="A131" s="51" t="str">
        <f>'Ratings worksheet'!A131</f>
        <v>South Africa</v>
      </c>
      <c r="B131" s="63" t="str">
        <f>'Ratings worksheet'!B131</f>
        <v>BB-</v>
      </c>
      <c r="C131" s="63" t="str">
        <f>IF('Ratings worksheet'!C131="NA",VLOOKUP('Ratings worksheet'!B131,'Sovereign Ratings (Moody''s,S&amp;P)'!$F$9:$G$33,2),'Ratings worksheet'!C131)</f>
        <v>Ba2</v>
      </c>
    </row>
    <row r="132" spans="1:3">
      <c r="A132" s="51" t="str">
        <f>'Ratings worksheet'!A132</f>
        <v>Spain</v>
      </c>
      <c r="B132" s="63" t="str">
        <f>'Ratings worksheet'!B132</f>
        <v>A </v>
      </c>
      <c r="C132" s="63" t="str">
        <f>IF('Ratings worksheet'!C132="NA",VLOOKUP('Ratings worksheet'!B132,'Sovereign Ratings (Moody''s,S&amp;P)'!$F$9:$G$33,2),'Ratings worksheet'!C132)</f>
        <v>Baa1</v>
      </c>
    </row>
    <row r="133" spans="1:3">
      <c r="A133" s="51" t="str">
        <f>'Ratings worksheet'!A133</f>
        <v>Sri Lanka</v>
      </c>
      <c r="B133" s="63" t="str">
        <f>'Ratings worksheet'!B133</f>
        <v>CCC+ </v>
      </c>
      <c r="C133" s="63" t="str">
        <f>IF('Ratings worksheet'!C133="NA",VLOOKUP('Ratings worksheet'!B133,'Sovereign Ratings (Moody''s,S&amp;P)'!$F$9:$G$33,2),'Ratings worksheet'!C133)</f>
        <v>Caa2</v>
      </c>
    </row>
    <row r="134" spans="1:3">
      <c r="A134" s="51" t="str">
        <f>'Ratings worksheet'!A134</f>
        <v>St. Maarten</v>
      </c>
      <c r="B134" s="63" t="str">
        <f>'Ratings worksheet'!B134</f>
        <v>NA</v>
      </c>
      <c r="C134" s="63" t="str">
        <f>IF('Ratings worksheet'!C134="NA",VLOOKUP('Ratings worksheet'!B134,'Sovereign Ratings (Moody''s,S&amp;P)'!$F$9:$G$33,2),'Ratings worksheet'!C134)</f>
        <v>Ba2</v>
      </c>
    </row>
    <row r="135" spans="1:3">
      <c r="A135" s="51" t="str">
        <f>'Ratings worksheet'!A135</f>
        <v>St. Vincent &amp; the Grenadines</v>
      </c>
      <c r="B135" s="63" t="str">
        <f>'Ratings worksheet'!B135</f>
        <v>NA</v>
      </c>
      <c r="C135" s="63" t="str">
        <f>IF('Ratings worksheet'!C135="NA",VLOOKUP('Ratings worksheet'!B135,'Sovereign Ratings (Moody''s,S&amp;P)'!$F$9:$G$33,2),'Ratings worksheet'!C135)</f>
        <v>B3</v>
      </c>
    </row>
    <row r="136" spans="1:3">
      <c r="A136" s="51" t="str">
        <f>'Ratings worksheet'!A136</f>
        <v>Suriname</v>
      </c>
      <c r="B136" s="63" t="str">
        <f>'Ratings worksheet'!B136</f>
        <v>NA</v>
      </c>
      <c r="C136" s="63" t="str">
        <f>IF('Ratings worksheet'!C136="NA",VLOOKUP('Ratings worksheet'!B136,'Sovereign Ratings (Moody''s,S&amp;P)'!$F$9:$G$33,2),'Ratings worksheet'!C136)</f>
        <v>Caa3</v>
      </c>
    </row>
    <row r="137" spans="1:3">
      <c r="A137" s="51" t="str">
        <f>'Ratings worksheet'!A137</f>
        <v>Swaziland</v>
      </c>
      <c r="B137" s="63" t="str">
        <f>'Ratings worksheet'!B137</f>
        <v>NA</v>
      </c>
      <c r="C137" s="63" t="str">
        <f>IF('Ratings worksheet'!C137="NA",VLOOKUP('Ratings worksheet'!B137,'Sovereign Ratings (Moody''s,S&amp;P)'!$F$9:$G$33,2),'Ratings worksheet'!C137)</f>
        <v>B3</v>
      </c>
    </row>
    <row r="138" spans="1:3">
      <c r="A138" s="51" t="str">
        <f>'Ratings worksheet'!A138</f>
        <v>Sweden</v>
      </c>
      <c r="B138" s="63" t="str">
        <f>'Ratings worksheet'!B138</f>
        <v>AAA</v>
      </c>
      <c r="C138" s="63" t="str">
        <f>IF('Ratings worksheet'!C138="NA",VLOOKUP('Ratings worksheet'!B138,'Sovereign Ratings (Moody''s,S&amp;P)'!$F$9:$G$33,2),'Ratings worksheet'!C138)</f>
        <v>Aaa</v>
      </c>
    </row>
    <row r="139" spans="1:3">
      <c r="A139" s="51" t="str">
        <f>'Ratings worksheet'!A139</f>
        <v>Switzerland</v>
      </c>
      <c r="B139" s="63" t="str">
        <f>'Ratings worksheet'!B139</f>
        <v>AAA</v>
      </c>
      <c r="C139" s="63" t="str">
        <f>IF('Ratings worksheet'!C139="NA",VLOOKUP('Ratings worksheet'!B139,'Sovereign Ratings (Moody''s,S&amp;P)'!$F$9:$G$33,2),'Ratings worksheet'!C139)</f>
        <v>Aaa</v>
      </c>
    </row>
    <row r="140" spans="1:3">
      <c r="A140" s="51" t="str">
        <f>'Ratings worksheet'!A140</f>
        <v>Taiwan</v>
      </c>
      <c r="B140" s="63" t="str">
        <f>'Ratings worksheet'!B140</f>
        <v>AA </v>
      </c>
      <c r="C140" s="63" t="str">
        <f>IF('Ratings worksheet'!C140="NA",VLOOKUP('Ratings worksheet'!B140,'Sovereign Ratings (Moody''s,S&amp;P)'!$F$9:$G$33,2),'Ratings worksheet'!C140)</f>
        <v>Aa3</v>
      </c>
    </row>
    <row r="141" spans="1:3">
      <c r="A141" s="51" t="str">
        <f>'Ratings worksheet'!A141</f>
        <v>Tajikistan</v>
      </c>
      <c r="B141" s="63" t="str">
        <f>'Ratings worksheet'!B141</f>
        <v>B-</v>
      </c>
      <c r="C141" s="63" t="str">
        <f>IF('Ratings worksheet'!C141="NA",VLOOKUP('Ratings worksheet'!B141,'Sovereign Ratings (Moody''s,S&amp;P)'!$F$9:$G$33,2),'Ratings worksheet'!C141)</f>
        <v>B3</v>
      </c>
    </row>
    <row r="142" spans="1:3">
      <c r="A142" s="51" t="str">
        <f>'Ratings worksheet'!A142</f>
        <v>Tanzania</v>
      </c>
      <c r="B142" s="63" t="str">
        <f>'Ratings worksheet'!B142</f>
        <v>NA</v>
      </c>
      <c r="C142" s="63" t="str">
        <f>IF('Ratings worksheet'!C142="NA",VLOOKUP('Ratings worksheet'!B142,'Sovereign Ratings (Moody''s,S&amp;P)'!$F$9:$G$33,2),'Ratings worksheet'!C142)</f>
        <v>B2</v>
      </c>
    </row>
    <row r="143" spans="1:3">
      <c r="A143" s="51" t="str">
        <f>'Ratings worksheet'!A143</f>
        <v>Thailand</v>
      </c>
      <c r="B143" s="63" t="str">
        <f>'Ratings worksheet'!B143</f>
        <v>BBB+</v>
      </c>
      <c r="C143" s="63" t="str">
        <f>IF('Ratings worksheet'!C143="NA",VLOOKUP('Ratings worksheet'!B143,'Sovereign Ratings (Moody''s,S&amp;P)'!$F$9:$G$33,2),'Ratings worksheet'!C143)</f>
        <v>Baa1</v>
      </c>
    </row>
    <row r="144" spans="1:3">
      <c r="A144" s="51" t="str">
        <f>'Ratings worksheet'!A144</f>
        <v>Togo</v>
      </c>
      <c r="B144" s="63" t="str">
        <f>'Ratings worksheet'!B144</f>
        <v>B</v>
      </c>
      <c r="C144" s="63" t="str">
        <f>IF('Ratings worksheet'!C144="NA",VLOOKUP('Ratings worksheet'!B144,'Sovereign Ratings (Moody''s,S&amp;P)'!$F$9:$G$33,2),'Ratings worksheet'!C144)</f>
        <v>B3</v>
      </c>
    </row>
    <row r="145" spans="1:3">
      <c r="A145" s="51" t="str">
        <f>'Ratings worksheet'!A145</f>
        <v>Trinidad and Tobago</v>
      </c>
      <c r="B145" s="63" t="str">
        <f>'Ratings worksheet'!B145</f>
        <v>BBB- </v>
      </c>
      <c r="C145" s="63" t="str">
        <f>IF('Ratings worksheet'!C145="NA",VLOOKUP('Ratings worksheet'!B145,'Sovereign Ratings (Moody''s,S&amp;P)'!$F$9:$G$33,2),'Ratings worksheet'!C145)</f>
        <v>Ba2</v>
      </c>
    </row>
    <row r="146" spans="1:3">
      <c r="A146" s="51" t="str">
        <f>'Ratings worksheet'!A146</f>
        <v>Tunisia</v>
      </c>
      <c r="B146" s="63" t="str">
        <f>'Ratings worksheet'!B146</f>
        <v>N/A</v>
      </c>
      <c r="C146" s="63" t="str">
        <f>IF('Ratings worksheet'!C146="NA",VLOOKUP('Ratings worksheet'!B146,'Sovereign Ratings (Moody''s,S&amp;P)'!$F$9:$G$33,2),'Ratings worksheet'!C146)</f>
        <v>Caa1</v>
      </c>
    </row>
    <row r="147" spans="1:3">
      <c r="A147" s="51" t="str">
        <f>'Ratings worksheet'!A147</f>
        <v>Turkey</v>
      </c>
      <c r="B147" s="63" t="str">
        <f>'Ratings worksheet'!B147</f>
        <v>B+</v>
      </c>
      <c r="C147" s="63" t="str">
        <f>IF('Ratings worksheet'!C147="NA",VLOOKUP('Ratings worksheet'!B147,'Sovereign Ratings (Moody''s,S&amp;P)'!$F$9:$G$33,2),'Ratings worksheet'!C147)</f>
        <v>B2</v>
      </c>
    </row>
    <row r="148" spans="1:3">
      <c r="A148" s="51" t="str">
        <f>'Ratings worksheet'!A148</f>
        <v>Turks and Caicos Islands</v>
      </c>
      <c r="B148" s="63" t="str">
        <f>'Ratings worksheet'!B148</f>
        <v>BBB+</v>
      </c>
      <c r="C148" s="63" t="str">
        <f>IF('Ratings worksheet'!C148="NA",VLOOKUP('Ratings worksheet'!B148,'Sovereign Ratings (Moody''s,S&amp;P)'!$F$9:$G$33,2),'Ratings worksheet'!C148)</f>
        <v>Baa1</v>
      </c>
    </row>
    <row r="149" spans="1:3">
      <c r="A149" s="51" t="str">
        <f>'Ratings worksheet'!A149</f>
        <v>Uganda</v>
      </c>
      <c r="B149" s="63" t="str">
        <f>'Ratings worksheet'!B149</f>
        <v>B</v>
      </c>
      <c r="C149" s="63" t="str">
        <f>IF('Ratings worksheet'!C149="NA",VLOOKUP('Ratings worksheet'!B149,'Sovereign Ratings (Moody''s,S&amp;P)'!$F$9:$G$33,2),'Ratings worksheet'!C149)</f>
        <v>B2</v>
      </c>
    </row>
    <row r="150" spans="1:3">
      <c r="A150" s="51" t="str">
        <f>'Ratings worksheet'!A150</f>
        <v>Ukraine</v>
      </c>
      <c r="B150" s="63" t="str">
        <f>'Ratings worksheet'!B150</f>
        <v>B</v>
      </c>
      <c r="C150" s="63" t="str">
        <f>IF('Ratings worksheet'!C150="NA",VLOOKUP('Ratings worksheet'!B150,'Sovereign Ratings (Moody''s,S&amp;P)'!$F$9:$G$33,2),'Ratings worksheet'!C150)</f>
        <v>B3</v>
      </c>
    </row>
    <row r="151" spans="1:3">
      <c r="A151" s="51" t="str">
        <f>'Ratings worksheet'!A151</f>
        <v>United Arab Emirates</v>
      </c>
      <c r="B151" s="63" t="str">
        <f>'Ratings worksheet'!B151</f>
        <v>AA</v>
      </c>
      <c r="C151" s="63" t="str">
        <f>IF('Ratings worksheet'!C151="NA",VLOOKUP('Ratings worksheet'!B151,'Sovereign Ratings (Moody''s,S&amp;P)'!$F$9:$G$33,2),'Ratings worksheet'!C151)</f>
        <v>Aa2</v>
      </c>
    </row>
    <row r="152" spans="1:3">
      <c r="A152" s="51" t="str">
        <f>'Ratings worksheet'!A152</f>
        <v>United Kingdom</v>
      </c>
      <c r="B152" s="63" t="str">
        <f>'Ratings worksheet'!B152</f>
        <v>AA</v>
      </c>
      <c r="C152" s="63" t="str">
        <f>IF('Ratings worksheet'!C152="NA",VLOOKUP('Ratings worksheet'!B152,'Sovereign Ratings (Moody''s,S&amp;P)'!$F$9:$G$33,2),'Ratings worksheet'!C152)</f>
        <v>Aa3</v>
      </c>
    </row>
    <row r="153" spans="1:3">
      <c r="A153" s="51" t="str">
        <f>'Ratings worksheet'!A153</f>
        <v>United States</v>
      </c>
      <c r="B153" s="63" t="str">
        <f>'Ratings worksheet'!B153</f>
        <v>AAA</v>
      </c>
      <c r="C153" s="63" t="str">
        <f>IF('Ratings worksheet'!C153="NA",VLOOKUP('Ratings worksheet'!B153,'Sovereign Ratings (Moody''s,S&amp;P)'!$F$9:$G$33,2),'Ratings worksheet'!C153)</f>
        <v>Aaa</v>
      </c>
    </row>
    <row r="154" spans="1:3">
      <c r="A154" s="51" t="str">
        <f>'Ratings worksheet'!A154</f>
        <v>Uruguay</v>
      </c>
      <c r="B154" s="63" t="str">
        <f>'Ratings worksheet'!B154</f>
        <v>BBB</v>
      </c>
      <c r="C154" s="63" t="str">
        <f>IF('Ratings worksheet'!C154="NA",VLOOKUP('Ratings worksheet'!B154,'Sovereign Ratings (Moody''s,S&amp;P)'!$F$9:$G$33,2),'Ratings worksheet'!C154)</f>
        <v>Baa2</v>
      </c>
    </row>
    <row r="155" spans="1:3">
      <c r="A155" s="51" t="str">
        <f>'Ratings worksheet'!A155</f>
        <v>Uzbekistan</v>
      </c>
      <c r="B155" s="63" t="str">
        <f>'Ratings worksheet'!B155</f>
        <v>BB-</v>
      </c>
      <c r="C155" s="63" t="str">
        <f>IF('Ratings worksheet'!C155="NA",VLOOKUP('Ratings worksheet'!B155,'Sovereign Ratings (Moody''s,S&amp;P)'!$F$9:$G$33,2),'Ratings worksheet'!C155)</f>
        <v>B1</v>
      </c>
    </row>
    <row r="156" spans="1:3">
      <c r="A156" s="51" t="str">
        <f>'Ratings worksheet'!A156</f>
        <v>Venezuela</v>
      </c>
      <c r="B156" s="63" t="str">
        <f>'Ratings worksheet'!B156</f>
        <v>NA</v>
      </c>
      <c r="C156" s="63" t="str">
        <f>IF('Ratings worksheet'!C156="NA",VLOOKUP('Ratings worksheet'!B156,'Sovereign Ratings (Moody''s,S&amp;P)'!$F$9:$G$33,2),'Ratings worksheet'!C156)</f>
        <v>C</v>
      </c>
    </row>
    <row r="157" spans="1:3">
      <c r="A157" s="51" t="str">
        <f>'Ratings worksheet'!A157</f>
        <v>Vietnam</v>
      </c>
      <c r="B157" s="63" t="str">
        <f>'Ratings worksheet'!B157</f>
        <v>BB </v>
      </c>
      <c r="C157" s="63" t="str">
        <f>IF('Ratings worksheet'!C157="NA",VLOOKUP('Ratings worksheet'!B157,'Sovereign Ratings (Moody''s,S&amp;P)'!$F$9:$G$33,2),'Ratings worksheet'!C157)</f>
        <v>Ba3</v>
      </c>
    </row>
    <row r="158" spans="1:3">
      <c r="A158" s="51" t="str">
        <f>'Ratings worksheet'!A158</f>
        <v>Zambia</v>
      </c>
      <c r="B158" s="63" t="str">
        <f>'Ratings worksheet'!B158</f>
        <v>NA</v>
      </c>
      <c r="C158" s="63" t="str">
        <f>IF('Ratings worksheet'!C158="NA",VLOOKUP('Ratings worksheet'!B158,'Sovereign Ratings (Moody''s,S&amp;P)'!$F$9:$G$33,2),'Ratings worksheet'!C158)</f>
        <v>Ca</v>
      </c>
    </row>
  </sheetData>
  <mergeCells count="4">
    <mergeCell ref="F2:O2"/>
    <mergeCell ref="F3:O3"/>
    <mergeCell ref="F4:O4"/>
    <mergeCell ref="F5:O5"/>
  </mergeCells>
  <phoneticPr fontId="10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1"/>
  <sheetViews>
    <sheetView topLeftCell="A81" workbookViewId="0">
      <selection activeCell="B96" sqref="B96"/>
    </sheetView>
  </sheetViews>
  <sheetFormatPr baseColWidth="10" defaultRowHeight="13"/>
  <cols>
    <col min="1" max="1" width="32.5" customWidth="1"/>
    <col min="2" max="2" width="23" bestFit="1" customWidth="1"/>
    <col min="5" max="5" width="23.33203125" bestFit="1" customWidth="1"/>
  </cols>
  <sheetData>
    <row r="1" spans="1:2" ht="16">
      <c r="A1" s="9" t="s">
        <v>75</v>
      </c>
      <c r="B1" s="9" t="s">
        <v>52</v>
      </c>
    </row>
    <row r="2" spans="1:2" ht="16">
      <c r="A2" s="50" t="s">
        <v>272</v>
      </c>
      <c r="B2" s="10" t="s">
        <v>127</v>
      </c>
    </row>
    <row r="3" spans="1:2" ht="16">
      <c r="A3" s="10" t="s">
        <v>4</v>
      </c>
      <c r="B3" s="17" t="s">
        <v>125</v>
      </c>
    </row>
    <row r="4" spans="1:2" ht="16">
      <c r="A4" s="37" t="s">
        <v>197</v>
      </c>
      <c r="B4" s="17" t="s">
        <v>126</v>
      </c>
    </row>
    <row r="5" spans="1:2" ht="16">
      <c r="A5" s="10" t="s">
        <v>131</v>
      </c>
      <c r="B5" s="17" t="s">
        <v>128</v>
      </c>
    </row>
    <row r="6" spans="1:2" ht="16">
      <c r="A6" s="10" t="s">
        <v>84</v>
      </c>
      <c r="B6" s="17" t="s">
        <v>51</v>
      </c>
    </row>
    <row r="7" spans="1:2" ht="16">
      <c r="A7" s="10" t="s">
        <v>19</v>
      </c>
      <c r="B7" s="17" t="s">
        <v>125</v>
      </c>
    </row>
    <row r="8" spans="1:2" ht="16">
      <c r="A8" s="37" t="s">
        <v>201</v>
      </c>
      <c r="B8" s="10" t="s">
        <v>54</v>
      </c>
    </row>
    <row r="9" spans="1:2" ht="16">
      <c r="A9" s="10" t="s">
        <v>85</v>
      </c>
      <c r="B9" s="17" t="s">
        <v>53</v>
      </c>
    </row>
    <row r="10" spans="1:2" ht="16">
      <c r="A10" s="10" t="s">
        <v>176</v>
      </c>
      <c r="B10" s="10" t="s">
        <v>126</v>
      </c>
    </row>
    <row r="11" spans="1:2" ht="16">
      <c r="A11" s="10" t="s">
        <v>20</v>
      </c>
      <c r="B11" s="10" t="s">
        <v>125</v>
      </c>
    </row>
    <row r="12" spans="1:2" ht="16">
      <c r="A12" s="10" t="s">
        <v>86</v>
      </c>
      <c r="B12" s="17" t="s">
        <v>54</v>
      </c>
    </row>
    <row r="13" spans="1:2" ht="16">
      <c r="A13" s="10" t="s">
        <v>87</v>
      </c>
      <c r="B13" s="10" t="s">
        <v>127</v>
      </c>
    </row>
    <row r="14" spans="1:2" ht="16">
      <c r="A14" s="10" t="s">
        <v>132</v>
      </c>
      <c r="B14" s="10" t="s">
        <v>129</v>
      </c>
    </row>
    <row r="15" spans="1:2" ht="16">
      <c r="A15" s="10" t="s">
        <v>88</v>
      </c>
      <c r="B15" s="10" t="s">
        <v>54</v>
      </c>
    </row>
    <row r="16" spans="1:2" ht="16">
      <c r="A16" s="10" t="s">
        <v>5</v>
      </c>
      <c r="B16" s="10" t="s">
        <v>125</v>
      </c>
    </row>
    <row r="17" spans="1:2" ht="16">
      <c r="A17" s="10" t="s">
        <v>177</v>
      </c>
      <c r="B17" s="10" t="s">
        <v>126</v>
      </c>
    </row>
    <row r="18" spans="1:2" ht="16">
      <c r="A18" s="10" t="s">
        <v>89</v>
      </c>
      <c r="B18" s="10" t="s">
        <v>51</v>
      </c>
    </row>
    <row r="19" spans="1:2" ht="16">
      <c r="A19" s="10" t="s">
        <v>208</v>
      </c>
      <c r="B19" s="10" t="s">
        <v>128</v>
      </c>
    </row>
    <row r="20" spans="1:2" ht="16">
      <c r="A20" s="10" t="s">
        <v>90</v>
      </c>
      <c r="B20" s="10" t="s">
        <v>54</v>
      </c>
    </row>
    <row r="21" spans="1:2" ht="16">
      <c r="A21" s="10" t="s">
        <v>91</v>
      </c>
      <c r="B21" s="10" t="s">
        <v>51</v>
      </c>
    </row>
    <row r="22" spans="1:2" ht="16">
      <c r="A22" s="10" t="s">
        <v>7</v>
      </c>
      <c r="B22" s="10" t="s">
        <v>125</v>
      </c>
    </row>
    <row r="23" spans="1:2" ht="16">
      <c r="A23" s="10" t="s">
        <v>123</v>
      </c>
      <c r="B23" s="10" t="s">
        <v>128</v>
      </c>
    </row>
    <row r="24" spans="1:2" ht="16">
      <c r="A24" s="10" t="s">
        <v>92</v>
      </c>
      <c r="B24" s="10" t="s">
        <v>51</v>
      </c>
    </row>
    <row r="25" spans="1:2" ht="16">
      <c r="A25" s="10" t="s">
        <v>94</v>
      </c>
      <c r="B25" s="10" t="s">
        <v>125</v>
      </c>
    </row>
    <row r="26" spans="1:2" ht="16">
      <c r="A26" s="37" t="s">
        <v>211</v>
      </c>
      <c r="B26" s="10" t="s">
        <v>128</v>
      </c>
    </row>
    <row r="27" spans="1:2" ht="16">
      <c r="A27" s="10" t="s">
        <v>6</v>
      </c>
      <c r="B27" s="10" t="s">
        <v>129</v>
      </c>
    </row>
    <row r="28" spans="1:2" ht="16">
      <c r="A28" s="38" t="s">
        <v>212</v>
      </c>
      <c r="B28" s="10" t="s">
        <v>128</v>
      </c>
    </row>
    <row r="29" spans="1:2" ht="16">
      <c r="A29" s="10" t="s">
        <v>95</v>
      </c>
      <c r="B29" s="10" t="s">
        <v>130</v>
      </c>
    </row>
    <row r="30" spans="1:2" ht="16">
      <c r="A30" s="10" t="s">
        <v>213</v>
      </c>
      <c r="B30" s="10" t="s">
        <v>128</v>
      </c>
    </row>
    <row r="31" spans="1:2" ht="16">
      <c r="A31" s="10" t="s">
        <v>55</v>
      </c>
      <c r="B31" s="10" t="s">
        <v>54</v>
      </c>
    </row>
    <row r="32" spans="1:2" ht="16">
      <c r="A32" s="10" t="s">
        <v>96</v>
      </c>
      <c r="B32" s="10" t="s">
        <v>51</v>
      </c>
    </row>
    <row r="33" spans="1:2" ht="16">
      <c r="A33" s="10" t="s">
        <v>97</v>
      </c>
      <c r="B33" s="10" t="s">
        <v>129</v>
      </c>
    </row>
    <row r="34" spans="1:2" ht="16">
      <c r="A34" s="10" t="s">
        <v>50</v>
      </c>
      <c r="B34" s="10" t="s">
        <v>51</v>
      </c>
    </row>
    <row r="35" spans="1:2" ht="16">
      <c r="A35" s="50" t="s">
        <v>287</v>
      </c>
      <c r="B35" s="10" t="s">
        <v>128</v>
      </c>
    </row>
    <row r="36" spans="1:2" ht="16">
      <c r="A36" s="50" t="s">
        <v>288</v>
      </c>
      <c r="B36" s="10" t="s">
        <v>128</v>
      </c>
    </row>
    <row r="37" spans="1:2" ht="16">
      <c r="A37" s="38" t="s">
        <v>214</v>
      </c>
      <c r="B37" s="10" t="s">
        <v>53</v>
      </c>
    </row>
    <row r="38" spans="1:2" ht="16">
      <c r="A38" s="10" t="s">
        <v>56</v>
      </c>
      <c r="B38" s="10" t="s">
        <v>51</v>
      </c>
    </row>
    <row r="39" spans="1:2" ht="16">
      <c r="A39" s="50" t="s">
        <v>283</v>
      </c>
      <c r="B39" s="10" t="s">
        <v>128</v>
      </c>
    </row>
    <row r="40" spans="1:2" ht="16">
      <c r="A40" s="10" t="s">
        <v>98</v>
      </c>
      <c r="B40" s="10" t="s">
        <v>125</v>
      </c>
    </row>
    <row r="41" spans="1:2" ht="16">
      <c r="A41" s="10" t="s">
        <v>99</v>
      </c>
      <c r="B41" s="10" t="s">
        <v>54</v>
      </c>
    </row>
    <row r="42" spans="1:2" ht="16">
      <c r="A42" s="37" t="s">
        <v>217</v>
      </c>
      <c r="B42" s="10" t="s">
        <v>54</v>
      </c>
    </row>
    <row r="43" spans="1:2" ht="16">
      <c r="A43" s="10" t="s">
        <v>178</v>
      </c>
      <c r="B43" s="10" t="s">
        <v>126</v>
      </c>
    </row>
    <row r="44" spans="1:2" ht="16">
      <c r="A44" s="10" t="s">
        <v>101</v>
      </c>
      <c r="B44" s="10" t="s">
        <v>125</v>
      </c>
    </row>
    <row r="45" spans="1:2" ht="16">
      <c r="A45" s="43" t="s">
        <v>275</v>
      </c>
      <c r="B45" s="10" t="s">
        <v>128</v>
      </c>
    </row>
    <row r="46" spans="1:2" ht="16">
      <c r="A46" s="10" t="s">
        <v>102</v>
      </c>
      <c r="B46" s="10" t="s">
        <v>126</v>
      </c>
    </row>
    <row r="47" spans="1:2" ht="16">
      <c r="A47" s="10" t="s">
        <v>103</v>
      </c>
      <c r="B47" s="10" t="s">
        <v>54</v>
      </c>
    </row>
    <row r="48" spans="1:2" ht="16">
      <c r="A48" s="10" t="s">
        <v>104</v>
      </c>
      <c r="B48" s="10" t="s">
        <v>51</v>
      </c>
    </row>
    <row r="49" spans="1:2" ht="16">
      <c r="A49" s="10" t="s">
        <v>105</v>
      </c>
      <c r="B49" s="10" t="s">
        <v>128</v>
      </c>
    </row>
    <row r="50" spans="1:2" ht="16">
      <c r="A50" s="10" t="s">
        <v>31</v>
      </c>
      <c r="B50" s="10" t="s">
        <v>51</v>
      </c>
    </row>
    <row r="51" spans="1:2" ht="16">
      <c r="A51" s="10" t="s">
        <v>106</v>
      </c>
      <c r="B51" s="10" t="s">
        <v>125</v>
      </c>
    </row>
    <row r="52" spans="1:2" ht="16">
      <c r="A52" s="50" t="s">
        <v>284</v>
      </c>
      <c r="B52" s="10" t="s">
        <v>128</v>
      </c>
    </row>
    <row r="53" spans="1:2" ht="16">
      <c r="A53" s="10" t="s">
        <v>219</v>
      </c>
      <c r="B53" s="10" t="s">
        <v>129</v>
      </c>
    </row>
    <row r="54" spans="1:2" ht="16">
      <c r="A54" s="10" t="s">
        <v>179</v>
      </c>
      <c r="B54" s="10" t="s">
        <v>126</v>
      </c>
    </row>
    <row r="55" spans="1:2" ht="16">
      <c r="A55" s="10" t="s">
        <v>180</v>
      </c>
      <c r="B55" s="10" t="s">
        <v>126</v>
      </c>
    </row>
    <row r="56" spans="1:2" ht="16">
      <c r="A56" s="37" t="s">
        <v>220</v>
      </c>
      <c r="B56" s="10" t="s">
        <v>128</v>
      </c>
    </row>
    <row r="57" spans="1:2" ht="16">
      <c r="A57" s="10" t="s">
        <v>133</v>
      </c>
      <c r="B57" s="10" t="s">
        <v>125</v>
      </c>
    </row>
    <row r="58" spans="1:2" ht="16">
      <c r="A58" s="10" t="s">
        <v>181</v>
      </c>
      <c r="B58" s="10" t="s">
        <v>126</v>
      </c>
    </row>
    <row r="59" spans="1:2" ht="16">
      <c r="A59" s="10" t="s">
        <v>221</v>
      </c>
      <c r="B59" s="10" t="s">
        <v>128</v>
      </c>
    </row>
    <row r="60" spans="1:2" ht="16">
      <c r="A60" s="10" t="s">
        <v>182</v>
      </c>
      <c r="B60" s="10" t="s">
        <v>126</v>
      </c>
    </row>
    <row r="61" spans="1:2" ht="16">
      <c r="A61" s="10" t="s">
        <v>107</v>
      </c>
      <c r="B61" s="10" t="s">
        <v>51</v>
      </c>
    </row>
    <row r="62" spans="1:2" ht="16">
      <c r="A62" s="50" t="s">
        <v>289</v>
      </c>
      <c r="B62" s="10" t="s">
        <v>126</v>
      </c>
    </row>
    <row r="63" spans="1:2" ht="16">
      <c r="A63" s="10" t="s">
        <v>108</v>
      </c>
      <c r="B63" s="10" t="s">
        <v>51</v>
      </c>
    </row>
    <row r="64" spans="1:2" ht="16">
      <c r="A64" s="10" t="s">
        <v>59</v>
      </c>
      <c r="B64" s="10" t="s">
        <v>129</v>
      </c>
    </row>
    <row r="65" spans="1:2" ht="16">
      <c r="A65" s="10" t="s">
        <v>109</v>
      </c>
      <c r="B65" s="10" t="s">
        <v>125</v>
      </c>
    </row>
    <row r="66" spans="1:2" ht="16">
      <c r="A66" s="10" t="s">
        <v>110</v>
      </c>
      <c r="B66" s="10" t="s">
        <v>126</v>
      </c>
    </row>
    <row r="67" spans="1:2" ht="16">
      <c r="A67" s="10" t="s">
        <v>111</v>
      </c>
      <c r="B67" s="10" t="s">
        <v>129</v>
      </c>
    </row>
    <row r="68" spans="1:2" ht="16">
      <c r="A68" s="10" t="s">
        <v>112</v>
      </c>
      <c r="B68" s="10" t="s">
        <v>129</v>
      </c>
    </row>
    <row r="69" spans="1:2" ht="16">
      <c r="A69" s="10" t="s">
        <v>331</v>
      </c>
      <c r="B69" s="10" t="s">
        <v>127</v>
      </c>
    </row>
    <row r="70" spans="1:2" ht="16">
      <c r="A70" s="10" t="s">
        <v>183</v>
      </c>
      <c r="B70" s="10" t="s">
        <v>126</v>
      </c>
    </row>
    <row r="71" spans="1:2" ht="16">
      <c r="A71" s="10" t="s">
        <v>113</v>
      </c>
      <c r="B71" s="10" t="s">
        <v>126</v>
      </c>
    </row>
    <row r="72" spans="1:2" ht="16">
      <c r="A72" s="10" t="s">
        <v>114</v>
      </c>
      <c r="B72" s="10" t="s">
        <v>127</v>
      </c>
    </row>
    <row r="73" spans="1:2" ht="16">
      <c r="A73" s="10" t="s">
        <v>145</v>
      </c>
      <c r="B73" s="10" t="s">
        <v>126</v>
      </c>
    </row>
    <row r="74" spans="1:2" ht="16">
      <c r="A74" s="10" t="s">
        <v>115</v>
      </c>
      <c r="B74" s="10" t="s">
        <v>54</v>
      </c>
    </row>
    <row r="75" spans="1:2" ht="16">
      <c r="A75" s="10" t="s">
        <v>116</v>
      </c>
      <c r="B75" s="10" t="s">
        <v>129</v>
      </c>
    </row>
    <row r="76" spans="1:2" ht="16">
      <c r="A76" s="50" t="s">
        <v>290</v>
      </c>
      <c r="B76" s="10" t="s">
        <v>126</v>
      </c>
    </row>
    <row r="77" spans="1:2" ht="16">
      <c r="A77" s="10" t="s">
        <v>117</v>
      </c>
      <c r="B77" s="10" t="s">
        <v>127</v>
      </c>
    </row>
    <row r="78" spans="1:2" ht="16">
      <c r="A78" s="10" t="s">
        <v>118</v>
      </c>
      <c r="B78" s="10" t="s">
        <v>125</v>
      </c>
    </row>
    <row r="79" spans="1:2" ht="16">
      <c r="A79" s="10" t="s">
        <v>184</v>
      </c>
      <c r="B79" s="10" t="s">
        <v>128</v>
      </c>
    </row>
    <row r="80" spans="1:2" ht="16">
      <c r="A80" s="10" t="s">
        <v>119</v>
      </c>
      <c r="B80" s="10" t="s">
        <v>129</v>
      </c>
    </row>
    <row r="81" spans="1:2" ht="16">
      <c r="A81" s="10" t="s">
        <v>120</v>
      </c>
      <c r="B81" s="10" t="s">
        <v>127</v>
      </c>
    </row>
    <row r="82" spans="1:2" ht="16">
      <c r="A82" t="s">
        <v>353</v>
      </c>
      <c r="B82" s="10" t="s">
        <v>125</v>
      </c>
    </row>
    <row r="83" spans="1:2" ht="16">
      <c r="A83" s="188" t="s">
        <v>343</v>
      </c>
      <c r="B83" s="10" t="s">
        <v>129</v>
      </c>
    </row>
    <row r="84" spans="1:2" ht="16">
      <c r="A84" s="10" t="s">
        <v>121</v>
      </c>
      <c r="B84" s="10" t="s">
        <v>125</v>
      </c>
    </row>
    <row r="85" spans="1:2" ht="16">
      <c r="A85" s="10" t="s">
        <v>122</v>
      </c>
      <c r="B85" s="10" t="s">
        <v>127</v>
      </c>
    </row>
    <row r="86" spans="1:2" ht="16">
      <c r="A86" s="38" t="s">
        <v>223</v>
      </c>
      <c r="B86" s="10" t="s">
        <v>126</v>
      </c>
    </row>
    <row r="87" spans="1:2" ht="16">
      <c r="A87" s="10" t="s">
        <v>13</v>
      </c>
      <c r="B87" s="10" t="s">
        <v>125</v>
      </c>
    </row>
    <row r="88" spans="1:2" ht="16">
      <c r="A88" s="10" t="s">
        <v>185</v>
      </c>
      <c r="B88" s="10" t="s">
        <v>126</v>
      </c>
    </row>
    <row r="89" spans="1:2" ht="16">
      <c r="A89" s="10" t="s">
        <v>32</v>
      </c>
      <c r="B89" s="10" t="s">
        <v>129</v>
      </c>
    </row>
    <row r="90" spans="1:2" ht="16">
      <c r="A90" s="38" t="s">
        <v>146</v>
      </c>
      <c r="B90" s="10" t="s">
        <v>125</v>
      </c>
    </row>
    <row r="91" spans="1:2" ht="16">
      <c r="A91" s="10" t="s">
        <v>14</v>
      </c>
      <c r="B91" s="10" t="s">
        <v>129</v>
      </c>
    </row>
    <row r="92" spans="1:2" ht="16">
      <c r="A92" s="10" t="s">
        <v>414</v>
      </c>
      <c r="B92" s="10" t="s">
        <v>129</v>
      </c>
    </row>
    <row r="93" spans="1:2" ht="16">
      <c r="A93" s="10" t="s">
        <v>325</v>
      </c>
      <c r="B93" s="10" t="s">
        <v>128</v>
      </c>
    </row>
    <row r="94" spans="1:2" ht="16">
      <c r="A94" s="10" t="s">
        <v>186</v>
      </c>
      <c r="B94" s="10" t="s">
        <v>126</v>
      </c>
    </row>
    <row r="95" spans="1:2" ht="16">
      <c r="A95" s="10" t="s">
        <v>15</v>
      </c>
      <c r="B95" s="10" t="s">
        <v>128</v>
      </c>
    </row>
    <row r="96" spans="1:2" ht="16">
      <c r="A96" s="10" t="s">
        <v>16</v>
      </c>
      <c r="B96" s="10" t="s">
        <v>51</v>
      </c>
    </row>
    <row r="97" spans="1:2" ht="16">
      <c r="A97" s="10" t="s">
        <v>17</v>
      </c>
      <c r="B97" s="10" t="s">
        <v>125</v>
      </c>
    </row>
    <row r="98" spans="1:2" ht="16">
      <c r="A98" s="10" t="s">
        <v>63</v>
      </c>
      <c r="B98" s="10" t="s">
        <v>129</v>
      </c>
    </row>
    <row r="99" spans="1:2" ht="16">
      <c r="A99" s="10" t="s">
        <v>8</v>
      </c>
      <c r="B99" s="10" t="s">
        <v>125</v>
      </c>
    </row>
    <row r="100" spans="1:2" ht="16">
      <c r="A100" s="37" t="s">
        <v>225</v>
      </c>
      <c r="B100" s="10" t="s">
        <v>54</v>
      </c>
    </row>
    <row r="101" spans="1:2" ht="16">
      <c r="A101" s="10" t="s">
        <v>18</v>
      </c>
      <c r="B101" s="10" t="s">
        <v>128</v>
      </c>
    </row>
    <row r="102" spans="1:2" ht="16">
      <c r="A102" s="38" t="s">
        <v>226</v>
      </c>
      <c r="B102" s="10" t="s">
        <v>128</v>
      </c>
    </row>
    <row r="103" spans="1:2" ht="16">
      <c r="A103" s="10" t="s">
        <v>136</v>
      </c>
      <c r="B103" s="10" t="s">
        <v>128</v>
      </c>
    </row>
    <row r="104" spans="1:2" ht="16">
      <c r="A104" s="10" t="s">
        <v>187</v>
      </c>
      <c r="B104" s="10" t="s">
        <v>126</v>
      </c>
    </row>
    <row r="105" spans="1:2" ht="16">
      <c r="A105" s="10" t="s">
        <v>21</v>
      </c>
      <c r="B105" s="10" t="s">
        <v>53</v>
      </c>
    </row>
    <row r="106" spans="1:2" ht="16">
      <c r="A106" s="10" t="s">
        <v>22</v>
      </c>
      <c r="B106" s="10" t="s">
        <v>51</v>
      </c>
    </row>
    <row r="107" spans="1:2" ht="16">
      <c r="A107" s="10" t="s">
        <v>321</v>
      </c>
      <c r="B107" s="10" t="s">
        <v>128</v>
      </c>
    </row>
    <row r="108" spans="1:2" ht="16">
      <c r="A108" s="10" t="s">
        <v>188</v>
      </c>
      <c r="B108" s="10" t="s">
        <v>128</v>
      </c>
    </row>
    <row r="109" spans="1:2" ht="16">
      <c r="A109" s="10" t="s">
        <v>23</v>
      </c>
      <c r="B109" s="10" t="s">
        <v>126</v>
      </c>
    </row>
    <row r="110" spans="1:2" ht="16">
      <c r="A110" s="10" t="s">
        <v>24</v>
      </c>
      <c r="B110" s="10" t="s">
        <v>127</v>
      </c>
    </row>
    <row r="111" spans="1:2" ht="16">
      <c r="A111" s="10" t="s">
        <v>25</v>
      </c>
      <c r="B111" s="10" t="s">
        <v>129</v>
      </c>
    </row>
    <row r="112" spans="1:2" ht="16">
      <c r="A112" s="10" t="s">
        <v>26</v>
      </c>
      <c r="B112" s="10" t="s">
        <v>51</v>
      </c>
    </row>
    <row r="113" spans="1:2" ht="16">
      <c r="A113" s="10" t="s">
        <v>9</v>
      </c>
      <c r="B113" s="10" t="s">
        <v>129</v>
      </c>
    </row>
    <row r="114" spans="1:2" ht="16">
      <c r="A114" s="10" t="s">
        <v>27</v>
      </c>
      <c r="B114" s="10" t="s">
        <v>51</v>
      </c>
    </row>
    <row r="115" spans="1:2" ht="16">
      <c r="A115" s="10" t="s">
        <v>28</v>
      </c>
      <c r="B115" s="10" t="s">
        <v>51</v>
      </c>
    </row>
    <row r="116" spans="1:2" ht="16">
      <c r="A116" s="10" t="s">
        <v>29</v>
      </c>
      <c r="B116" s="10" t="s">
        <v>129</v>
      </c>
    </row>
    <row r="117" spans="1:2" ht="16">
      <c r="A117" s="10" t="s">
        <v>30</v>
      </c>
      <c r="B117" s="10" t="s">
        <v>125</v>
      </c>
    </row>
    <row r="118" spans="1:2" ht="16">
      <c r="A118" s="10" t="s">
        <v>189</v>
      </c>
      <c r="B118" s="10" t="s">
        <v>126</v>
      </c>
    </row>
    <row r="119" spans="1:2" ht="16">
      <c r="A119" s="10" t="s">
        <v>74</v>
      </c>
      <c r="B119" s="10" t="s">
        <v>127</v>
      </c>
    </row>
    <row r="120" spans="1:2" ht="16">
      <c r="A120" s="43" t="s">
        <v>273</v>
      </c>
      <c r="B120" s="10" t="s">
        <v>127</v>
      </c>
    </row>
    <row r="121" spans="1:2" ht="16">
      <c r="A121" s="43" t="s">
        <v>274</v>
      </c>
      <c r="B121" s="10" t="s">
        <v>128</v>
      </c>
    </row>
    <row r="122" spans="1:2" ht="16">
      <c r="A122" s="10" t="s">
        <v>0</v>
      </c>
      <c r="B122" s="10" t="s">
        <v>125</v>
      </c>
    </row>
    <row r="123" spans="1:2" ht="16">
      <c r="A123" s="10" t="s">
        <v>1</v>
      </c>
      <c r="B123" s="10" t="s">
        <v>125</v>
      </c>
    </row>
    <row r="124" spans="1:2" ht="16">
      <c r="A124" s="38" t="s">
        <v>227</v>
      </c>
      <c r="B124" s="10" t="s">
        <v>128</v>
      </c>
    </row>
    <row r="125" spans="1:2" ht="16">
      <c r="A125" s="10" t="s">
        <v>2</v>
      </c>
      <c r="B125" s="10" t="s">
        <v>127</v>
      </c>
    </row>
    <row r="126" spans="1:2" ht="16">
      <c r="A126" s="10" t="s">
        <v>135</v>
      </c>
      <c r="B126" s="10" t="s">
        <v>128</v>
      </c>
    </row>
    <row r="127" spans="1:2" ht="16">
      <c r="A127" s="38" t="s">
        <v>147</v>
      </c>
      <c r="B127" s="10" t="s">
        <v>125</v>
      </c>
    </row>
    <row r="128" spans="1:2" ht="16">
      <c r="A128" s="50" t="s">
        <v>285</v>
      </c>
      <c r="B128" s="10" t="s">
        <v>127</v>
      </c>
    </row>
    <row r="129" spans="1:2" ht="16">
      <c r="A129" s="10" t="s">
        <v>3</v>
      </c>
      <c r="B129" s="10" t="s">
        <v>129</v>
      </c>
    </row>
    <row r="130" spans="1:2" ht="16">
      <c r="A130" s="10" t="s">
        <v>61</v>
      </c>
      <c r="B130" s="10" t="s">
        <v>125</v>
      </c>
    </row>
    <row r="131" spans="1:2" ht="16">
      <c r="A131" s="10" t="s">
        <v>190</v>
      </c>
      <c r="B131" s="10" t="s">
        <v>125</v>
      </c>
    </row>
    <row r="132" spans="1:2" ht="16">
      <c r="A132" s="10" t="s">
        <v>426</v>
      </c>
      <c r="B132" s="10" t="s">
        <v>129</v>
      </c>
    </row>
    <row r="133" spans="1:2" ht="16">
      <c r="A133" s="10" t="s">
        <v>76</v>
      </c>
      <c r="B133" s="10" t="s">
        <v>128</v>
      </c>
    </row>
    <row r="134" spans="1:2" ht="16">
      <c r="A134" s="10" t="s">
        <v>138</v>
      </c>
      <c r="B134" s="10" t="s">
        <v>126</v>
      </c>
    </row>
    <row r="135" spans="1:2" ht="16">
      <c r="A135" s="10" t="s">
        <v>134</v>
      </c>
      <c r="B135" s="10" t="s">
        <v>129</v>
      </c>
    </row>
    <row r="136" spans="1:2" ht="16">
      <c r="A136" s="40" t="s">
        <v>191</v>
      </c>
      <c r="B136" s="10" t="s">
        <v>54</v>
      </c>
    </row>
    <row r="137" spans="1:2" ht="16">
      <c r="A137" s="10" t="s">
        <v>10</v>
      </c>
      <c r="B137" s="10" t="s">
        <v>54</v>
      </c>
    </row>
    <row r="138" spans="1:2" ht="16">
      <c r="A138" s="10" t="s">
        <v>33</v>
      </c>
      <c r="B138" s="10" t="s">
        <v>51</v>
      </c>
    </row>
    <row r="139" spans="1:2" ht="16">
      <c r="A139" s="10" t="s">
        <v>413</v>
      </c>
      <c r="B139" s="10" t="s">
        <v>128</v>
      </c>
    </row>
    <row r="140" spans="1:2" ht="16">
      <c r="A140" s="10" t="s">
        <v>34</v>
      </c>
      <c r="B140" s="10" t="s">
        <v>126</v>
      </c>
    </row>
    <row r="141" spans="1:2" ht="16">
      <c r="A141" s="10" t="s">
        <v>35</v>
      </c>
      <c r="B141" s="10" t="s">
        <v>126</v>
      </c>
    </row>
    <row r="142" spans="1:2" ht="16">
      <c r="A142" s="10" t="s">
        <v>64</v>
      </c>
      <c r="B142" s="10" t="s">
        <v>129</v>
      </c>
    </row>
    <row r="143" spans="1:2" ht="16">
      <c r="A143" s="10" t="s">
        <v>410</v>
      </c>
      <c r="B143" s="10" t="s">
        <v>125</v>
      </c>
    </row>
    <row r="144" spans="1:2" ht="16">
      <c r="A144" s="10" t="s">
        <v>332</v>
      </c>
      <c r="B144" s="10" t="s">
        <v>128</v>
      </c>
    </row>
    <row r="145" spans="1:2" ht="16">
      <c r="A145" s="10" t="s">
        <v>65</v>
      </c>
      <c r="B145" s="10" t="s">
        <v>129</v>
      </c>
    </row>
    <row r="146" spans="1:2" ht="16">
      <c r="A146" s="10" t="s">
        <v>324</v>
      </c>
      <c r="B146" s="10" t="s">
        <v>128</v>
      </c>
    </row>
    <row r="147" spans="1:2" ht="16">
      <c r="A147" s="10" t="s">
        <v>11</v>
      </c>
      <c r="B147" s="10" t="s">
        <v>54</v>
      </c>
    </row>
    <row r="148" spans="1:2" ht="16">
      <c r="A148" s="10" t="s">
        <v>77</v>
      </c>
      <c r="B148" s="10" t="s">
        <v>128</v>
      </c>
    </row>
    <row r="149" spans="1:2" ht="16">
      <c r="A149" s="10" t="s">
        <v>66</v>
      </c>
      <c r="B149" s="10" t="s">
        <v>126</v>
      </c>
    </row>
    <row r="150" spans="1:2" ht="16">
      <c r="A150" s="10" t="s">
        <v>67</v>
      </c>
      <c r="B150" s="10" t="s">
        <v>125</v>
      </c>
    </row>
    <row r="151" spans="1:2" ht="16">
      <c r="A151" s="10" t="s">
        <v>298</v>
      </c>
      <c r="B151" s="10" t="s">
        <v>54</v>
      </c>
    </row>
    <row r="152" spans="1:2" ht="16">
      <c r="A152" s="10" t="s">
        <v>228</v>
      </c>
      <c r="B152" s="10" t="s">
        <v>128</v>
      </c>
    </row>
    <row r="153" spans="1:2" ht="16">
      <c r="A153" s="10" t="s">
        <v>68</v>
      </c>
      <c r="B153" s="10" t="s">
        <v>125</v>
      </c>
    </row>
    <row r="154" spans="1:2" ht="16">
      <c r="A154" s="10" t="s">
        <v>60</v>
      </c>
      <c r="B154" s="10" t="s">
        <v>127</v>
      </c>
    </row>
    <row r="155" spans="1:2" ht="16">
      <c r="A155" s="10" t="s">
        <v>57</v>
      </c>
      <c r="B155" s="10" t="s">
        <v>126</v>
      </c>
    </row>
    <row r="156" spans="1:2" ht="16">
      <c r="A156" s="10" t="s">
        <v>356</v>
      </c>
      <c r="B156" s="10" t="s">
        <v>130</v>
      </c>
    </row>
    <row r="157" spans="1:2" ht="16">
      <c r="A157" s="10" t="s">
        <v>69</v>
      </c>
      <c r="B157" s="10" t="s">
        <v>51</v>
      </c>
    </row>
    <row r="158" spans="1:2" ht="16">
      <c r="A158" s="10" t="s">
        <v>402</v>
      </c>
      <c r="B158" s="10" t="s">
        <v>125</v>
      </c>
    </row>
    <row r="159" spans="1:2" ht="16">
      <c r="A159" s="10" t="s">
        <v>70</v>
      </c>
      <c r="B159" s="10" t="s">
        <v>51</v>
      </c>
    </row>
    <row r="160" spans="1:2" ht="16">
      <c r="A160" s="10" t="s">
        <v>71</v>
      </c>
      <c r="B160" s="10" t="s">
        <v>129</v>
      </c>
    </row>
    <row r="161" spans="1:2" ht="16">
      <c r="A161" s="41" t="s">
        <v>192</v>
      </c>
      <c r="B161" s="41" t="s">
        <v>128</v>
      </c>
    </row>
  </sheetData>
  <sortState xmlns:xlrd2="http://schemas.microsoft.com/office/spreadsheetml/2017/richdata2" ref="A2:B161">
    <sortCondition ref="A2:A161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  <vt:lpstr>Data Update 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1999-02-15T17:37:17Z</dcterms:created>
  <dcterms:modified xsi:type="dcterms:W3CDTF">2022-04-14T15:55:10Z</dcterms:modified>
</cp:coreProperties>
</file>