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3/To Transfer/"/>
    </mc:Choice>
  </mc:AlternateContent>
  <xr:revisionPtr revIDLastSave="0" documentId="8_{74F90B2F-2AE2-AC4B-8DE0-8B20FF9E48AD}" xr6:coauthVersionLast="47" xr6:coauthVersionMax="47" xr10:uidLastSave="{00000000-0000-0000-0000-000000000000}"/>
  <bookViews>
    <workbookView xWindow="8460" yWindow="-21100" windowWidth="25600" windowHeight="17900" firstSheet="2" activeTab="5" xr2:uid="{00000000-000D-0000-FFFF-FFFF00000000}"/>
  </bookViews>
  <sheets>
    <sheet name="Explanation and FAQ" sheetId="7" r:id="rId1"/>
    <sheet name="Country Lookup" sheetId="17" r:id="rId2"/>
    <sheet name="ERPs by country" sheetId="1" r:id="rId3"/>
    <sheet name="Relative Equity Volatility" sheetId="26" r:id="rId4"/>
    <sheet name="Regional Simple Averages" sheetId="16" r:id="rId5"/>
    <sheet name="Regional Weighted Averages" sheetId="10" r:id="rId6"/>
    <sheet name="Regional breakdown" sheetId="3" r:id="rId7"/>
    <sheet name="Sovereign Ratings (Moody's,S&amp;P)" sheetId="2" r:id="rId8"/>
    <sheet name="Regional lookup table" sheetId="4" r:id="rId9"/>
    <sheet name="Default Spreads for Ratings" sheetId="25" r:id="rId10"/>
    <sheet name="10-year CDS Spreads" sheetId="5" r:id="rId11"/>
    <sheet name="Equity vs Govt Bond vol" sheetId="6" r:id="rId12"/>
    <sheet name="Country GDP" sheetId="9" r:id="rId13"/>
    <sheet name="Ratings worksheet" sheetId="19" r:id="rId14"/>
    <sheet name="Country Tax Rates" sheetId="24" r:id="rId15"/>
    <sheet name="PRS Worksheet" sheetId="23" r:id="rId16"/>
    <sheet name="Data Update Sequence" sheetId="27" r:id="rId17"/>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iterateDelta="9.9999999999994451E-4"/>
  <pivotCaches>
    <pivotCache cacheId="24"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1" i="10" l="1"/>
  <c r="C190" i="10"/>
  <c r="C186" i="10"/>
  <c r="B180" i="9" l="1"/>
  <c r="B177" i="9"/>
  <c r="B176" i="9"/>
  <c r="B175" i="9"/>
  <c r="B174" i="9"/>
  <c r="B173" i="9"/>
  <c r="B172" i="9"/>
  <c r="B171" i="9"/>
  <c r="B170" i="9"/>
  <c r="B167" i="9"/>
  <c r="B166" i="9"/>
  <c r="B165" i="9"/>
  <c r="B164" i="9"/>
  <c r="B161" i="9"/>
  <c r="A167" i="1"/>
  <c r="A168" i="1"/>
  <c r="A169" i="1"/>
  <c r="A170" i="1"/>
  <c r="A171" i="1"/>
  <c r="A172" i="1"/>
  <c r="A173" i="1"/>
  <c r="A174" i="1"/>
  <c r="A175" i="1"/>
  <c r="A176" i="1"/>
  <c r="A177" i="1"/>
  <c r="A178" i="1"/>
  <c r="A179" i="1"/>
  <c r="A180" i="1"/>
  <c r="A181" i="1"/>
  <c r="A182" i="1"/>
  <c r="A183" i="1"/>
  <c r="A184" i="1"/>
  <c r="A185" i="1"/>
  <c r="A186" i="1"/>
  <c r="B75" i="10" l="1"/>
  <c r="G31" i="10"/>
  <c r="F31" i="10"/>
  <c r="E31" i="10"/>
  <c r="D31" i="10"/>
  <c r="C31" i="10"/>
  <c r="B31" i="10"/>
  <c r="A31" i="10"/>
  <c r="G30" i="10"/>
  <c r="F30" i="10"/>
  <c r="E30" i="10"/>
  <c r="D30" i="10"/>
  <c r="C30" i="10"/>
  <c r="B30" i="10"/>
  <c r="A30" i="10"/>
  <c r="G29" i="10"/>
  <c r="F29" i="10"/>
  <c r="E29" i="10"/>
  <c r="D29" i="10"/>
  <c r="C29" i="10"/>
  <c r="B29" i="10"/>
  <c r="A29" i="10"/>
  <c r="G28" i="10"/>
  <c r="F28" i="10"/>
  <c r="E28" i="10"/>
  <c r="D28" i="10"/>
  <c r="C28" i="10"/>
  <c r="B28" i="10"/>
  <c r="A28" i="10"/>
  <c r="G27" i="10"/>
  <c r="F27" i="10"/>
  <c r="E27" i="10"/>
  <c r="D27" i="10"/>
  <c r="C27" i="10"/>
  <c r="B27" i="10"/>
  <c r="A27" i="10"/>
  <c r="G26" i="10"/>
  <c r="F26" i="10"/>
  <c r="E26" i="10"/>
  <c r="D26" i="10"/>
  <c r="C26" i="10"/>
  <c r="B26" i="10"/>
  <c r="A26" i="10"/>
  <c r="G25" i="10"/>
  <c r="F25" i="10"/>
  <c r="E25" i="10"/>
  <c r="D25" i="10"/>
  <c r="C25" i="10"/>
  <c r="B25" i="10"/>
  <c r="A25" i="10"/>
  <c r="G24" i="10"/>
  <c r="F24" i="10"/>
  <c r="E24" i="10"/>
  <c r="D24" i="10"/>
  <c r="C24" i="10"/>
  <c r="B24" i="10"/>
  <c r="A24" i="10"/>
  <c r="G23" i="10"/>
  <c r="F23" i="10"/>
  <c r="E23" i="10"/>
  <c r="D23" i="10"/>
  <c r="C23" i="10"/>
  <c r="B23" i="10"/>
  <c r="A23" i="10"/>
  <c r="G22" i="10"/>
  <c r="F22" i="10"/>
  <c r="E22" i="10"/>
  <c r="D22" i="10"/>
  <c r="C22" i="10"/>
  <c r="B22" i="10"/>
  <c r="A22" i="10"/>
  <c r="G21" i="10"/>
  <c r="F21" i="10"/>
  <c r="E21" i="10"/>
  <c r="D21" i="10"/>
  <c r="C21" i="10"/>
  <c r="B21" i="10"/>
  <c r="A21" i="10"/>
  <c r="G20" i="10"/>
  <c r="F20" i="10"/>
  <c r="E20" i="10"/>
  <c r="D20" i="10"/>
  <c r="C20" i="10"/>
  <c r="B20" i="10"/>
  <c r="A20" i="10"/>
  <c r="G19" i="10"/>
  <c r="F19" i="10"/>
  <c r="E19" i="10"/>
  <c r="D19" i="10"/>
  <c r="C19" i="10"/>
  <c r="B19" i="10"/>
  <c r="A19" i="10"/>
  <c r="G18" i="10"/>
  <c r="F18" i="10"/>
  <c r="E18" i="10"/>
  <c r="D18" i="10"/>
  <c r="C18" i="10"/>
  <c r="B18" i="10"/>
  <c r="A18" i="10"/>
  <c r="G17" i="10"/>
  <c r="F17" i="10"/>
  <c r="E17" i="10"/>
  <c r="D17" i="10"/>
  <c r="C17" i="10"/>
  <c r="B17" i="10"/>
  <c r="A17" i="10"/>
  <c r="G16" i="10"/>
  <c r="F16" i="10"/>
  <c r="E16" i="10"/>
  <c r="D16" i="10"/>
  <c r="C16" i="10"/>
  <c r="B16" i="10"/>
  <c r="A16" i="10"/>
  <c r="G15" i="10"/>
  <c r="F15" i="10"/>
  <c r="E15" i="10"/>
  <c r="D15" i="10"/>
  <c r="C15" i="10"/>
  <c r="B15" i="10"/>
  <c r="A15" i="10"/>
  <c r="G14" i="10"/>
  <c r="F14" i="10"/>
  <c r="E14" i="10"/>
  <c r="D14" i="10"/>
  <c r="C14" i="10"/>
  <c r="B14" i="10"/>
  <c r="A14" i="10"/>
  <c r="G13" i="10"/>
  <c r="F13" i="10"/>
  <c r="E13" i="10"/>
  <c r="D13" i="10"/>
  <c r="C13" i="10"/>
  <c r="B13" i="10"/>
  <c r="A13" i="10"/>
  <c r="G12" i="10"/>
  <c r="F12" i="10"/>
  <c r="E12" i="10"/>
  <c r="D12" i="10"/>
  <c r="C12" i="10"/>
  <c r="B12" i="10"/>
  <c r="A12" i="10"/>
  <c r="G11" i="10"/>
  <c r="F11" i="10"/>
  <c r="E11" i="10"/>
  <c r="D11" i="10"/>
  <c r="C11" i="10"/>
  <c r="B11" i="10"/>
  <c r="A11" i="10"/>
  <c r="G10" i="10"/>
  <c r="F10" i="10"/>
  <c r="E10" i="10"/>
  <c r="D10" i="10"/>
  <c r="C10" i="10"/>
  <c r="B10" i="10"/>
  <c r="A10" i="10"/>
  <c r="G9" i="10"/>
  <c r="F9" i="10"/>
  <c r="E9" i="10"/>
  <c r="D9" i="10"/>
  <c r="C9" i="10"/>
  <c r="B9" i="10"/>
  <c r="A9" i="10"/>
  <c r="G8" i="10"/>
  <c r="F8" i="10"/>
  <c r="E8" i="10"/>
  <c r="D8" i="10"/>
  <c r="C8" i="10"/>
  <c r="B8" i="10"/>
  <c r="A8" i="10"/>
  <c r="G7" i="10"/>
  <c r="F7" i="10"/>
  <c r="E7" i="10"/>
  <c r="D7" i="10"/>
  <c r="C7" i="10"/>
  <c r="B7" i="10"/>
  <c r="A7" i="10"/>
  <c r="G6" i="10"/>
  <c r="F6" i="10"/>
  <c r="E6" i="10"/>
  <c r="D6" i="10"/>
  <c r="C6" i="10"/>
  <c r="B6" i="10"/>
  <c r="A6" i="10"/>
  <c r="G5" i="10"/>
  <c r="F5" i="10"/>
  <c r="E5" i="10"/>
  <c r="D5" i="10"/>
  <c r="C5" i="10"/>
  <c r="B5" i="10"/>
  <c r="A5" i="10"/>
  <c r="G4" i="10"/>
  <c r="F4" i="10"/>
  <c r="E4" i="10"/>
  <c r="D4" i="10"/>
  <c r="C4" i="10"/>
  <c r="B4" i="10"/>
  <c r="A4" i="10"/>
  <c r="G3" i="10"/>
  <c r="F3" i="10"/>
  <c r="E3" i="10"/>
  <c r="D3" i="10"/>
  <c r="C3" i="10"/>
  <c r="B3" i="10"/>
  <c r="A3" i="10"/>
  <c r="G2" i="10"/>
  <c r="F2" i="10"/>
  <c r="E2" i="10"/>
  <c r="D2" i="10"/>
  <c r="C2" i="10"/>
  <c r="B2" i="10"/>
  <c r="A2" i="10"/>
  <c r="C7" i="26"/>
  <c r="B7" i="26"/>
  <c r="D7" i="26" s="1"/>
  <c r="B32" i="10"/>
  <c r="D2" i="24"/>
  <c r="D3" i="24"/>
  <c r="I1319" i="26"/>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B6" i="26" s="1"/>
  <c r="D6" i="26" s="1"/>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B5" i="26" s="1"/>
  <c r="D5" i="26" s="1"/>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B4" i="26" s="1"/>
  <c r="D4" i="26" s="1"/>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B3" i="26" s="1"/>
  <c r="D3" i="26" s="1"/>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B2" i="26" s="1"/>
  <c r="D2" i="26" s="1"/>
  <c r="I16" i="26"/>
  <c r="C6" i="26"/>
  <c r="C5" i="26"/>
  <c r="C4" i="26"/>
  <c r="C3" i="26"/>
  <c r="C2" i="26"/>
  <c r="D141" i="24"/>
  <c r="C141" i="24" s="1"/>
  <c r="C121" i="2"/>
  <c r="B175" i="23"/>
  <c r="B181" i="23"/>
  <c r="B180" i="23"/>
  <c r="B179" i="23"/>
  <c r="B178" i="23"/>
  <c r="B177" i="23"/>
  <c r="B176" i="23"/>
  <c r="B174" i="23"/>
  <c r="B173" i="23"/>
  <c r="B172" i="23"/>
  <c r="B171" i="23"/>
  <c r="B170" i="23"/>
  <c r="B169" i="23"/>
  <c r="B168" i="23"/>
  <c r="B167" i="23"/>
  <c r="B166" i="23"/>
  <c r="B165" i="23"/>
  <c r="B164" i="23"/>
  <c r="B163" i="23"/>
  <c r="B162" i="23"/>
  <c r="B161" i="23"/>
  <c r="C148" i="2"/>
  <c r="C147" i="2"/>
  <c r="C140" i="2"/>
  <c r="C134" i="2"/>
  <c r="C119" i="2"/>
  <c r="C99" i="2"/>
  <c r="C89" i="2"/>
  <c r="C88" i="2"/>
  <c r="C85" i="2"/>
  <c r="C75" i="2"/>
  <c r="C63" i="2"/>
  <c r="C61" i="2"/>
  <c r="C36" i="2"/>
  <c r="C35" i="2"/>
  <c r="C30" i="2"/>
  <c r="C26" i="2"/>
  <c r="C8" i="2"/>
  <c r="G157" i="19"/>
  <c r="G155" i="19"/>
  <c r="G154" i="19"/>
  <c r="G152" i="19"/>
  <c r="G151" i="19"/>
  <c r="G150" i="19"/>
  <c r="G149" i="19"/>
  <c r="G146" i="19"/>
  <c r="G145" i="19"/>
  <c r="G144" i="19"/>
  <c r="G143" i="19"/>
  <c r="G141" i="19"/>
  <c r="G140" i="19"/>
  <c r="G139" i="19"/>
  <c r="G138" i="19"/>
  <c r="G133" i="19"/>
  <c r="G132" i="19"/>
  <c r="G131" i="19"/>
  <c r="G130" i="19"/>
  <c r="G129" i="19"/>
  <c r="G128" i="19"/>
  <c r="G125" i="19"/>
  <c r="G124" i="19"/>
  <c r="G123" i="19"/>
  <c r="G122" i="19"/>
  <c r="G120" i="19"/>
  <c r="G118" i="19"/>
  <c r="G117" i="19"/>
  <c r="G116" i="19"/>
  <c r="G115" i="19"/>
  <c r="G113" i="19"/>
  <c r="G112" i="19"/>
  <c r="G111" i="19"/>
  <c r="G110" i="19"/>
  <c r="G109" i="19"/>
  <c r="G108" i="19"/>
  <c r="G107" i="19"/>
  <c r="G106" i="19"/>
  <c r="G105" i="19"/>
  <c r="G104" i="19"/>
  <c r="G103" i="19"/>
  <c r="G102" i="19"/>
  <c r="G101" i="19"/>
  <c r="G100" i="19"/>
  <c r="G99" i="19"/>
  <c r="G98" i="19"/>
  <c r="G97" i="19"/>
  <c r="G96" i="19"/>
  <c r="G95" i="19"/>
  <c r="G94" i="19"/>
  <c r="G93" i="19"/>
  <c r="G92" i="19"/>
  <c r="G91" i="19"/>
  <c r="G90" i="19"/>
  <c r="G89" i="19"/>
  <c r="G87" i="19"/>
  <c r="G86" i="19"/>
  <c r="G85" i="19"/>
  <c r="G84" i="19"/>
  <c r="G83" i="19"/>
  <c r="G80" i="19"/>
  <c r="G78" i="19"/>
  <c r="G77" i="19"/>
  <c r="G76" i="19"/>
  <c r="G74" i="19"/>
  <c r="G73" i="19"/>
  <c r="G72" i="19"/>
  <c r="G71" i="19"/>
  <c r="G70" i="19"/>
  <c r="G69" i="19"/>
  <c r="G68" i="19"/>
  <c r="G67" i="19"/>
  <c r="G66" i="19"/>
  <c r="G65" i="19"/>
  <c r="G64" i="19"/>
  <c r="G63" i="19"/>
  <c r="G62" i="19"/>
  <c r="G60" i="19"/>
  <c r="G59" i="19"/>
  <c r="G58" i="19"/>
  <c r="G57" i="19"/>
  <c r="G56" i="19"/>
  <c r="G55" i="19"/>
  <c r="G54" i="19"/>
  <c r="G53" i="19"/>
  <c r="G52" i="19"/>
  <c r="G51" i="19"/>
  <c r="G50" i="19"/>
  <c r="G49" i="19"/>
  <c r="G48" i="19"/>
  <c r="G47" i="19"/>
  <c r="G46" i="19"/>
  <c r="G45" i="19"/>
  <c r="G44" i="19"/>
  <c r="G43" i="19"/>
  <c r="G40" i="19"/>
  <c r="G38" i="19"/>
  <c r="G34" i="19"/>
  <c r="G33" i="19"/>
  <c r="G32"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F158" i="19"/>
  <c r="F157" i="19"/>
  <c r="F156" i="19"/>
  <c r="F155" i="19"/>
  <c r="F154" i="19"/>
  <c r="F153" i="19"/>
  <c r="F152" i="19"/>
  <c r="F151" i="19"/>
  <c r="F150" i="19"/>
  <c r="F149" i="19"/>
  <c r="F146" i="19"/>
  <c r="F145" i="19"/>
  <c r="F144" i="19"/>
  <c r="F143" i="19"/>
  <c r="F142" i="19"/>
  <c r="F141" i="19"/>
  <c r="F139" i="19"/>
  <c r="F138" i="19"/>
  <c r="F137" i="19"/>
  <c r="F136" i="19"/>
  <c r="F135" i="19"/>
  <c r="F133" i="19"/>
  <c r="F132" i="19"/>
  <c r="F131" i="19"/>
  <c r="F130" i="19"/>
  <c r="F129" i="19"/>
  <c r="F128" i="19"/>
  <c r="F127" i="19"/>
  <c r="F126" i="19"/>
  <c r="F125" i="19"/>
  <c r="F124" i="19"/>
  <c r="F123" i="19"/>
  <c r="F122" i="19"/>
  <c r="F120" i="19"/>
  <c r="F118" i="19"/>
  <c r="F117" i="19"/>
  <c r="F116" i="19"/>
  <c r="F115" i="19"/>
  <c r="F114" i="19"/>
  <c r="F113" i="19"/>
  <c r="F112" i="19"/>
  <c r="F111" i="19"/>
  <c r="F110" i="19"/>
  <c r="F109" i="19"/>
  <c r="F108" i="19"/>
  <c r="F107" i="19"/>
  <c r="F106" i="19"/>
  <c r="F105" i="19"/>
  <c r="F104" i="19"/>
  <c r="F103" i="19"/>
  <c r="F102" i="19"/>
  <c r="F101" i="19"/>
  <c r="F100" i="19"/>
  <c r="F98" i="19"/>
  <c r="F97" i="19"/>
  <c r="F96" i="19"/>
  <c r="F95" i="19"/>
  <c r="F94" i="19"/>
  <c r="F93" i="19"/>
  <c r="F92" i="19"/>
  <c r="F91" i="19"/>
  <c r="F90" i="19"/>
  <c r="F87" i="19"/>
  <c r="F86" i="19"/>
  <c r="F84" i="19"/>
  <c r="F83" i="19"/>
  <c r="F82" i="19"/>
  <c r="F81" i="19"/>
  <c r="F80" i="19"/>
  <c r="F79" i="19"/>
  <c r="F78" i="19"/>
  <c r="F77" i="19"/>
  <c r="F76" i="19"/>
  <c r="F74" i="19"/>
  <c r="F73" i="19"/>
  <c r="F72" i="19"/>
  <c r="F71" i="19"/>
  <c r="F70" i="19"/>
  <c r="F69" i="19"/>
  <c r="F68" i="19"/>
  <c r="F67" i="19"/>
  <c r="F66" i="19"/>
  <c r="F65" i="19"/>
  <c r="F64" i="19"/>
  <c r="F62" i="19"/>
  <c r="F60" i="19"/>
  <c r="F59" i="19"/>
  <c r="F58" i="19"/>
  <c r="F57" i="19"/>
  <c r="F56" i="19"/>
  <c r="F55" i="19"/>
  <c r="F54" i="19"/>
  <c r="F53" i="19"/>
  <c r="F52" i="19"/>
  <c r="F51" i="19"/>
  <c r="F50" i="19"/>
  <c r="F49" i="19"/>
  <c r="F48" i="19"/>
  <c r="F47" i="19"/>
  <c r="F46" i="19"/>
  <c r="F45" i="19"/>
  <c r="F44" i="19"/>
  <c r="F43" i="19"/>
  <c r="F41" i="19"/>
  <c r="F40" i="19"/>
  <c r="F39" i="19"/>
  <c r="F38" i="19"/>
  <c r="F34" i="19"/>
  <c r="F33" i="19"/>
  <c r="F32" i="19"/>
  <c r="F31" i="19"/>
  <c r="F29" i="19"/>
  <c r="F28" i="19"/>
  <c r="F27" i="19"/>
  <c r="F25" i="19"/>
  <c r="F24" i="19"/>
  <c r="F23" i="19"/>
  <c r="F22" i="19"/>
  <c r="F21" i="19"/>
  <c r="F20" i="19"/>
  <c r="F19" i="19"/>
  <c r="F18" i="19"/>
  <c r="F17" i="19"/>
  <c r="F16" i="19"/>
  <c r="F15" i="19"/>
  <c r="F14" i="19"/>
  <c r="F13" i="19"/>
  <c r="F12" i="19"/>
  <c r="F11" i="19"/>
  <c r="F10" i="19"/>
  <c r="F9" i="19"/>
  <c r="F7" i="19"/>
  <c r="F6" i="19"/>
  <c r="F5" i="19"/>
  <c r="F4" i="19"/>
  <c r="F3" i="19"/>
  <c r="I50" i="25"/>
  <c r="K16" i="23" l="1"/>
  <c r="K8" i="23"/>
  <c r="K15" i="23"/>
  <c r="K7" i="23"/>
  <c r="K4" i="23"/>
  <c r="K17" i="23"/>
  <c r="K14" i="23"/>
  <c r="K6" i="23"/>
  <c r="K10" i="23"/>
  <c r="K9" i="23"/>
  <c r="K13" i="23"/>
  <c r="K5" i="23"/>
  <c r="K11" i="23"/>
  <c r="K12" i="23"/>
  <c r="K3" i="23"/>
  <c r="E5" i="1"/>
  <c r="J75" i="5" l="1"/>
  <c r="I24" i="10"/>
  <c r="J24" i="10" s="1"/>
  <c r="B2" i="19"/>
  <c r="G3" i="19"/>
  <c r="F2" i="19"/>
  <c r="C2" i="19" s="1"/>
  <c r="C2" i="2" s="1"/>
  <c r="B3" i="9"/>
  <c r="B5" i="9"/>
  <c r="B6" i="9"/>
  <c r="B7" i="9"/>
  <c r="B8" i="9"/>
  <c r="B9" i="9"/>
  <c r="B10" i="9"/>
  <c r="B11" i="9"/>
  <c r="B13" i="9"/>
  <c r="B14" i="9"/>
  <c r="B15" i="9"/>
  <c r="B16" i="9"/>
  <c r="B17" i="9"/>
  <c r="B18" i="9"/>
  <c r="B19" i="9"/>
  <c r="B20" i="9"/>
  <c r="B21" i="9"/>
  <c r="B22" i="9"/>
  <c r="B23" i="9"/>
  <c r="B24" i="9"/>
  <c r="B25" i="9"/>
  <c r="B26" i="9"/>
  <c r="B27" i="9"/>
  <c r="B28" i="9"/>
  <c r="B29" i="9"/>
  <c r="B31" i="9"/>
  <c r="B32" i="9"/>
  <c r="B33" i="9"/>
  <c r="B34" i="9"/>
  <c r="B35" i="9"/>
  <c r="B36" i="9"/>
  <c r="B38" i="9"/>
  <c r="B39" i="9"/>
  <c r="B40" i="9"/>
  <c r="B41" i="9"/>
  <c r="B43" i="9"/>
  <c r="B44" i="9"/>
  <c r="B45" i="9"/>
  <c r="B46" i="9"/>
  <c r="B47" i="9"/>
  <c r="B48" i="9"/>
  <c r="B49" i="9"/>
  <c r="B50" i="9"/>
  <c r="B51" i="9"/>
  <c r="B52" i="9"/>
  <c r="B53" i="9"/>
  <c r="B54" i="9"/>
  <c r="B55" i="9"/>
  <c r="B56" i="9"/>
  <c r="B57" i="9"/>
  <c r="B58" i="9"/>
  <c r="B59" i="9"/>
  <c r="B60" i="9"/>
  <c r="B62" i="9"/>
  <c r="B64" i="9"/>
  <c r="B65" i="9"/>
  <c r="B66" i="9"/>
  <c r="B67" i="9"/>
  <c r="B68" i="9"/>
  <c r="B69" i="9"/>
  <c r="B70" i="9"/>
  <c r="B71" i="9"/>
  <c r="B72" i="9"/>
  <c r="B73" i="9"/>
  <c r="B74" i="9"/>
  <c r="B76" i="9"/>
  <c r="B77" i="9"/>
  <c r="B78" i="9"/>
  <c r="B80" i="9"/>
  <c r="B83" i="9"/>
  <c r="B84" i="9"/>
  <c r="B85" i="9"/>
  <c r="B86" i="9"/>
  <c r="B87" i="9"/>
  <c r="B90" i="9"/>
  <c r="B91" i="9"/>
  <c r="B92" i="9"/>
  <c r="B93" i="9"/>
  <c r="B94" i="9"/>
  <c r="B95" i="9"/>
  <c r="B96" i="9"/>
  <c r="B97" i="9"/>
  <c r="B98" i="9"/>
  <c r="B100" i="9"/>
  <c r="B101" i="9"/>
  <c r="B102" i="9"/>
  <c r="B103" i="9"/>
  <c r="B104" i="9"/>
  <c r="B105" i="9"/>
  <c r="B106" i="9"/>
  <c r="B107" i="9"/>
  <c r="B108" i="9"/>
  <c r="B109" i="9"/>
  <c r="B110" i="9"/>
  <c r="B111" i="9"/>
  <c r="B112" i="9"/>
  <c r="B113" i="9"/>
  <c r="B114" i="9"/>
  <c r="B115" i="9"/>
  <c r="B116" i="9"/>
  <c r="B117" i="9"/>
  <c r="B118" i="9"/>
  <c r="B120" i="9"/>
  <c r="B122" i="9"/>
  <c r="B123" i="9"/>
  <c r="B124" i="9"/>
  <c r="B125" i="9"/>
  <c r="B127" i="9"/>
  <c r="B129" i="9"/>
  <c r="B130" i="9"/>
  <c r="B131" i="9"/>
  <c r="B132" i="9"/>
  <c r="B133" i="9"/>
  <c r="B136" i="9"/>
  <c r="B138" i="9"/>
  <c r="B139" i="9"/>
  <c r="B141" i="9"/>
  <c r="B142" i="9"/>
  <c r="B143" i="9"/>
  <c r="B144" i="9"/>
  <c r="B145" i="9"/>
  <c r="B146" i="9"/>
  <c r="B148" i="9"/>
  <c r="B149" i="9"/>
  <c r="B150" i="9"/>
  <c r="B151" i="9"/>
  <c r="B152" i="9"/>
  <c r="B154" i="9"/>
  <c r="B155" i="9"/>
  <c r="B157" i="9"/>
  <c r="B158" i="9"/>
  <c r="H81" i="25"/>
  <c r="H80" i="25"/>
  <c r="H79" i="25"/>
  <c r="H78" i="25"/>
  <c r="H77" i="25"/>
  <c r="H76" i="25"/>
  <c r="H75" i="25"/>
  <c r="H74" i="25"/>
  <c r="H73" i="25"/>
  <c r="H72" i="25"/>
  <c r="H71" i="25"/>
  <c r="H70" i="25"/>
  <c r="H69" i="25"/>
  <c r="H68" i="25"/>
  <c r="H67" i="25"/>
  <c r="H66" i="25"/>
  <c r="H64" i="25"/>
  <c r="H63" i="25"/>
  <c r="H62" i="25"/>
  <c r="H61" i="25"/>
  <c r="H60" i="25"/>
  <c r="H59" i="25"/>
  <c r="H58" i="25"/>
  <c r="H57" i="25"/>
  <c r="H56" i="25"/>
  <c r="H55" i="25"/>
  <c r="H54" i="25"/>
  <c r="H53" i="25"/>
  <c r="H52" i="25"/>
  <c r="H51"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H82" i="25"/>
  <c r="C39" i="24"/>
  <c r="J49" i="5"/>
  <c r="I2" i="10" l="1"/>
  <c r="I10" i="10"/>
  <c r="J10" i="10" s="1"/>
  <c r="I18" i="10"/>
  <c r="J18" i="10" s="1"/>
  <c r="I13" i="10"/>
  <c r="J13" i="10" s="1"/>
  <c r="I21" i="10"/>
  <c r="J21" i="10" s="1"/>
  <c r="I3" i="10"/>
  <c r="J3" i="10" s="1"/>
  <c r="I11" i="10"/>
  <c r="J11" i="10" s="1"/>
  <c r="I19" i="10"/>
  <c r="J19" i="10" s="1"/>
  <c r="I27" i="10"/>
  <c r="J27" i="10" s="1"/>
  <c r="I5" i="10"/>
  <c r="I29" i="10"/>
  <c r="J29" i="10" s="1"/>
  <c r="I25" i="10"/>
  <c r="J25" i="10" s="1"/>
  <c r="I9" i="10"/>
  <c r="J9" i="10" s="1"/>
  <c r="I17" i="10"/>
  <c r="J17" i="10" s="1"/>
  <c r="I31" i="10"/>
  <c r="J31" i="10" s="1"/>
  <c r="I30" i="10"/>
  <c r="J30" i="10" s="1"/>
  <c r="I16" i="10"/>
  <c r="J16" i="10" s="1"/>
  <c r="I26" i="10"/>
  <c r="I12" i="10"/>
  <c r="J12" i="10" s="1"/>
  <c r="I28" i="10"/>
  <c r="J28" i="10" s="1"/>
  <c r="I15" i="10"/>
  <c r="J15" i="10" s="1"/>
  <c r="I14" i="10"/>
  <c r="J14" i="10" s="1"/>
  <c r="I20" i="10"/>
  <c r="J20" i="10" s="1"/>
  <c r="I4" i="10"/>
  <c r="J4" i="10" s="1"/>
  <c r="I23" i="10"/>
  <c r="I22" i="10"/>
  <c r="J22" i="10" s="1"/>
  <c r="I7" i="10"/>
  <c r="J7" i="10" s="1"/>
  <c r="I6" i="10"/>
  <c r="J6" i="10" s="1"/>
  <c r="I8" i="10"/>
  <c r="J8" i="10" s="1"/>
  <c r="J23" i="10"/>
  <c r="J5" i="10"/>
  <c r="J26" i="10"/>
  <c r="D158" i="24"/>
  <c r="C158" i="24" s="1"/>
  <c r="D157" i="24"/>
  <c r="C157" i="24" s="1"/>
  <c r="D155" i="24"/>
  <c r="C155" i="24" s="1"/>
  <c r="F154" i="23" s="1"/>
  <c r="C144" i="24"/>
  <c r="H144" i="3" s="1"/>
  <c r="C135" i="24"/>
  <c r="H135" i="3" s="1"/>
  <c r="C134" i="24"/>
  <c r="C126" i="24"/>
  <c r="C119" i="24"/>
  <c r="F118" i="23" s="1"/>
  <c r="C106" i="24"/>
  <c r="C99" i="24"/>
  <c r="H99" i="3" s="1"/>
  <c r="C92" i="24"/>
  <c r="F91" i="23" s="1"/>
  <c r="C91" i="24"/>
  <c r="F90" i="23" s="1"/>
  <c r="C88" i="24"/>
  <c r="H88" i="3" s="1"/>
  <c r="C82" i="24"/>
  <c r="C79" i="24"/>
  <c r="F79" i="23" s="1"/>
  <c r="C75" i="24"/>
  <c r="F75" i="23" s="1"/>
  <c r="C63" i="24"/>
  <c r="F63" i="23" s="1"/>
  <c r="C61" i="24"/>
  <c r="H61" i="3" s="1"/>
  <c r="C41" i="24"/>
  <c r="F41" i="23" s="1"/>
  <c r="F39" i="23"/>
  <c r="C37" i="24"/>
  <c r="C36" i="24"/>
  <c r="H36" i="3" s="1"/>
  <c r="C35" i="24"/>
  <c r="F35" i="23" s="1"/>
  <c r="C30" i="24"/>
  <c r="C18" i="24"/>
  <c r="C4" i="24"/>
  <c r="H4" i="3" s="1"/>
  <c r="C2" i="24"/>
  <c r="F2" i="23" s="1"/>
  <c r="D188" i="10"/>
  <c r="G81" i="6"/>
  <c r="H81" i="6"/>
  <c r="D81" i="6"/>
  <c r="G80" i="6"/>
  <c r="H80" i="6"/>
  <c r="D80" i="6"/>
  <c r="G79" i="6"/>
  <c r="H79" i="6"/>
  <c r="D79" i="6"/>
  <c r="G78" i="6"/>
  <c r="H78" i="6"/>
  <c r="D78" i="6"/>
  <c r="G77" i="6"/>
  <c r="H77" i="6"/>
  <c r="D77" i="6"/>
  <c r="G76" i="6"/>
  <c r="H76" i="6"/>
  <c r="D76" i="6"/>
  <c r="H75" i="6"/>
  <c r="G75" i="6"/>
  <c r="D75" i="6"/>
  <c r="G74" i="6"/>
  <c r="H74" i="6"/>
  <c r="D74" i="6"/>
  <c r="G73" i="6"/>
  <c r="H73" i="6"/>
  <c r="D73" i="6"/>
  <c r="H72" i="6"/>
  <c r="G72" i="6"/>
  <c r="D72" i="6"/>
  <c r="G71" i="6"/>
  <c r="H71" i="6"/>
  <c r="D71" i="6"/>
  <c r="G70" i="6"/>
  <c r="H70" i="6"/>
  <c r="D70" i="6"/>
  <c r="G69" i="6"/>
  <c r="H69" i="6"/>
  <c r="D69" i="6"/>
  <c r="G68" i="6"/>
  <c r="H68" i="6"/>
  <c r="D68" i="6"/>
  <c r="G67" i="6"/>
  <c r="H67" i="6"/>
  <c r="D67" i="6"/>
  <c r="G66" i="6"/>
  <c r="H66" i="6"/>
  <c r="D66" i="6"/>
  <c r="G65" i="6"/>
  <c r="H65" i="6"/>
  <c r="D65" i="6"/>
  <c r="G64" i="6"/>
  <c r="H64" i="6"/>
  <c r="D64" i="6"/>
  <c r="G63" i="6"/>
  <c r="H63" i="6"/>
  <c r="D63" i="6"/>
  <c r="G62" i="6"/>
  <c r="H62" i="6"/>
  <c r="D62" i="6"/>
  <c r="G61" i="6"/>
  <c r="H61" i="6"/>
  <c r="D61" i="6"/>
  <c r="G60" i="6"/>
  <c r="H60" i="6"/>
  <c r="D60" i="6"/>
  <c r="G59" i="6"/>
  <c r="H59" i="6"/>
  <c r="D59" i="6"/>
  <c r="G58" i="6"/>
  <c r="H58" i="6"/>
  <c r="D58" i="6"/>
  <c r="G57" i="6"/>
  <c r="H57" i="6"/>
  <c r="D57" i="6"/>
  <c r="G56" i="6"/>
  <c r="H56" i="6"/>
  <c r="D56" i="6"/>
  <c r="G55" i="6"/>
  <c r="H55" i="6"/>
  <c r="D55" i="6"/>
  <c r="G54" i="6"/>
  <c r="H54" i="6"/>
  <c r="D54" i="6"/>
  <c r="G53" i="6"/>
  <c r="H53" i="6"/>
  <c r="D53" i="6"/>
  <c r="G52" i="6"/>
  <c r="H52" i="6"/>
  <c r="D52" i="6"/>
  <c r="G51" i="6"/>
  <c r="H51" i="6"/>
  <c r="D51" i="6"/>
  <c r="G50" i="6"/>
  <c r="H50" i="6"/>
  <c r="D50" i="6"/>
  <c r="G49" i="6"/>
  <c r="H49" i="6"/>
  <c r="D49" i="6"/>
  <c r="G48" i="6"/>
  <c r="H48" i="6"/>
  <c r="D48" i="6"/>
  <c r="G47" i="6"/>
  <c r="H47" i="6"/>
  <c r="D47" i="6"/>
  <c r="G46" i="6"/>
  <c r="H46" i="6"/>
  <c r="D46" i="6"/>
  <c r="G45" i="6"/>
  <c r="H45" i="6"/>
  <c r="D45" i="6"/>
  <c r="G44" i="6"/>
  <c r="H44" i="6"/>
  <c r="D44" i="6"/>
  <c r="G43" i="6"/>
  <c r="H43" i="6"/>
  <c r="D43" i="6"/>
  <c r="G42" i="6"/>
  <c r="H42" i="6"/>
  <c r="D42" i="6"/>
  <c r="G41" i="6"/>
  <c r="H41" i="6"/>
  <c r="D41" i="6"/>
  <c r="G40" i="6"/>
  <c r="H40" i="6"/>
  <c r="D40" i="6"/>
  <c r="G39" i="6"/>
  <c r="H39" i="6"/>
  <c r="D39" i="6"/>
  <c r="G38" i="6"/>
  <c r="H38" i="6"/>
  <c r="D38" i="6"/>
  <c r="G37" i="6"/>
  <c r="H37" i="6"/>
  <c r="D37" i="6"/>
  <c r="G36" i="6"/>
  <c r="H36" i="6"/>
  <c r="D36" i="6"/>
  <c r="G35" i="6"/>
  <c r="H35" i="6"/>
  <c r="D35" i="6"/>
  <c r="H34" i="6"/>
  <c r="G34" i="6"/>
  <c r="D34" i="6"/>
  <c r="G33" i="6"/>
  <c r="H33" i="6"/>
  <c r="D33" i="6"/>
  <c r="G32" i="6"/>
  <c r="H32" i="6"/>
  <c r="D32" i="6"/>
  <c r="G31" i="6"/>
  <c r="H31" i="6"/>
  <c r="D31" i="6"/>
  <c r="G30" i="6"/>
  <c r="H30" i="6"/>
  <c r="D30" i="6"/>
  <c r="G29" i="6"/>
  <c r="H29" i="6"/>
  <c r="D29" i="6"/>
  <c r="G28" i="6"/>
  <c r="H28" i="6"/>
  <c r="D28" i="6"/>
  <c r="H27" i="6"/>
  <c r="G27" i="6"/>
  <c r="D27" i="6"/>
  <c r="G26" i="6"/>
  <c r="H26" i="6"/>
  <c r="D26" i="6"/>
  <c r="G25" i="6"/>
  <c r="H25" i="6"/>
  <c r="D25" i="6"/>
  <c r="H24" i="6"/>
  <c r="G24" i="6"/>
  <c r="D24" i="6"/>
  <c r="G23" i="6"/>
  <c r="H23" i="6"/>
  <c r="D23" i="6"/>
  <c r="G22" i="6"/>
  <c r="H22" i="6"/>
  <c r="D22" i="6"/>
  <c r="G21" i="6"/>
  <c r="H21" i="6"/>
  <c r="D21" i="6"/>
  <c r="G20" i="6"/>
  <c r="H20" i="6"/>
  <c r="D20" i="6"/>
  <c r="G19" i="6"/>
  <c r="H19" i="6"/>
  <c r="D19" i="6"/>
  <c r="H18" i="6"/>
  <c r="G18" i="6"/>
  <c r="D18" i="6"/>
  <c r="G17" i="6"/>
  <c r="H17" i="6"/>
  <c r="D17" i="6"/>
  <c r="G16" i="6"/>
  <c r="H16" i="6"/>
  <c r="D16" i="6"/>
  <c r="G15" i="6"/>
  <c r="H15" i="6"/>
  <c r="D15" i="6"/>
  <c r="G14" i="6"/>
  <c r="H14" i="6"/>
  <c r="D14" i="6"/>
  <c r="G13" i="6"/>
  <c r="H13" i="6"/>
  <c r="D13" i="6"/>
  <c r="G12" i="6"/>
  <c r="H12" i="6"/>
  <c r="D12" i="6"/>
  <c r="H11" i="6"/>
  <c r="G11" i="6"/>
  <c r="D11" i="6"/>
  <c r="G10" i="6"/>
  <c r="H10" i="6"/>
  <c r="D10" i="6"/>
  <c r="G9" i="6"/>
  <c r="H9" i="6"/>
  <c r="D9" i="6"/>
  <c r="H8" i="6"/>
  <c r="G8" i="6"/>
  <c r="D8" i="6"/>
  <c r="G7" i="6"/>
  <c r="H7" i="6"/>
  <c r="D7" i="6"/>
  <c r="G6" i="6"/>
  <c r="H6" i="6"/>
  <c r="D6" i="6"/>
  <c r="G5" i="6"/>
  <c r="H5" i="6"/>
  <c r="D5" i="6"/>
  <c r="G4" i="6"/>
  <c r="H4" i="6"/>
  <c r="D4" i="6"/>
  <c r="D83" i="6"/>
  <c r="H83" i="6"/>
  <c r="H82" i="6"/>
  <c r="D82" i="6"/>
  <c r="I82" i="25"/>
  <c r="I81" i="25"/>
  <c r="I80" i="25"/>
  <c r="I79" i="25"/>
  <c r="I78" i="25"/>
  <c r="I77" i="25"/>
  <c r="I76" i="25"/>
  <c r="I75" i="25"/>
  <c r="I74" i="25"/>
  <c r="I73" i="25"/>
  <c r="I72" i="25"/>
  <c r="I71" i="25"/>
  <c r="I70" i="25"/>
  <c r="I69" i="25"/>
  <c r="I68" i="25"/>
  <c r="I67" i="25"/>
  <c r="I66" i="25"/>
  <c r="I65" i="25"/>
  <c r="I64" i="25"/>
  <c r="I63" i="25"/>
  <c r="I62" i="25"/>
  <c r="I61" i="25"/>
  <c r="I60" i="25"/>
  <c r="I59" i="25"/>
  <c r="I58" i="25"/>
  <c r="I57" i="25"/>
  <c r="I56" i="25"/>
  <c r="I55" i="25"/>
  <c r="I54" i="25"/>
  <c r="I53" i="25"/>
  <c r="I52" i="25"/>
  <c r="I51" i="25"/>
  <c r="I49" i="25"/>
  <c r="I48" i="25"/>
  <c r="I47" i="25"/>
  <c r="I46" i="25"/>
  <c r="I45" i="25"/>
  <c r="I44" i="25"/>
  <c r="I43" i="25"/>
  <c r="I42" i="25"/>
  <c r="I41" i="25"/>
  <c r="I40" i="25"/>
  <c r="I39" i="25"/>
  <c r="I38" i="25"/>
  <c r="I37" i="25"/>
  <c r="I36" i="25"/>
  <c r="I35" i="25"/>
  <c r="I34" i="25"/>
  <c r="I33" i="25"/>
  <c r="I32" i="25"/>
  <c r="I31" i="25"/>
  <c r="I30" i="25"/>
  <c r="I29" i="25"/>
  <c r="I28" i="25"/>
  <c r="I27" i="25"/>
  <c r="I26" i="25"/>
  <c r="I25" i="25"/>
  <c r="I24" i="25"/>
  <c r="I23" i="25"/>
  <c r="I22" i="25"/>
  <c r="I21" i="25"/>
  <c r="I20" i="25"/>
  <c r="I19" i="25"/>
  <c r="I18" i="25"/>
  <c r="I17" i="25"/>
  <c r="I16" i="25"/>
  <c r="I15" i="25"/>
  <c r="I14" i="25"/>
  <c r="I13" i="25"/>
  <c r="I12" i="25"/>
  <c r="I11" i="25"/>
  <c r="I10" i="25"/>
  <c r="I9" i="25"/>
  <c r="I8" i="25"/>
  <c r="I7" i="25"/>
  <c r="I6" i="25"/>
  <c r="I5" i="25"/>
  <c r="I4" i="25"/>
  <c r="I3" i="25"/>
  <c r="I2" i="25"/>
  <c r="B158" i="19"/>
  <c r="B158" i="2" s="1"/>
  <c r="B157" i="19"/>
  <c r="B157" i="2" s="1"/>
  <c r="B155" i="19"/>
  <c r="B155" i="2" s="1"/>
  <c r="B154" i="19"/>
  <c r="B154" i="2" s="1"/>
  <c r="B150" i="19"/>
  <c r="B150" i="2" s="1"/>
  <c r="B149" i="19"/>
  <c r="B149" i="2" s="1"/>
  <c r="B146" i="19"/>
  <c r="B146" i="2" s="1"/>
  <c r="B145" i="19"/>
  <c r="B145" i="2" s="1"/>
  <c r="B144" i="19"/>
  <c r="B144" i="2" s="1"/>
  <c r="B143" i="19"/>
  <c r="B143" i="2" s="1"/>
  <c r="B140" i="19"/>
  <c r="B140" i="2" s="1"/>
  <c r="B139" i="19"/>
  <c r="B139" i="2" s="1"/>
  <c r="B133" i="19"/>
  <c r="B133" i="2" s="1"/>
  <c r="B132" i="19"/>
  <c r="B132" i="2" s="1"/>
  <c r="B131" i="19"/>
  <c r="B131" i="2" s="1"/>
  <c r="B125" i="19"/>
  <c r="B125" i="2" s="1"/>
  <c r="B124" i="19"/>
  <c r="B124" i="2" s="1"/>
  <c r="B122" i="19"/>
  <c r="B122" i="2" s="1"/>
  <c r="B121" i="19"/>
  <c r="B121" i="2" s="1"/>
  <c r="B117" i="19"/>
  <c r="B117" i="2" s="1"/>
  <c r="B116" i="19"/>
  <c r="B116" i="2" s="1"/>
  <c r="B115" i="19"/>
  <c r="B115" i="2" s="1"/>
  <c r="B114" i="19"/>
  <c r="B114" i="2" s="1"/>
  <c r="B113" i="19"/>
  <c r="B113" i="2" s="1"/>
  <c r="B112" i="19"/>
  <c r="B112" i="2" s="1"/>
  <c r="B109" i="19"/>
  <c r="B109" i="2" s="1"/>
  <c r="B107" i="19"/>
  <c r="B107" i="2" s="1"/>
  <c r="B106" i="19"/>
  <c r="B106" i="2" s="1"/>
  <c r="B104" i="19"/>
  <c r="B104" i="2" s="1"/>
  <c r="B103" i="19"/>
  <c r="B103" i="2" s="1"/>
  <c r="B100" i="19"/>
  <c r="B100" i="2" s="1"/>
  <c r="B99" i="19"/>
  <c r="B98" i="19"/>
  <c r="B98" i="2" s="1"/>
  <c r="B97" i="19"/>
  <c r="B97" i="2" s="1"/>
  <c r="B96" i="19"/>
  <c r="B96" i="2" s="1"/>
  <c r="B95" i="19"/>
  <c r="B95" i="2" s="1"/>
  <c r="B92" i="19"/>
  <c r="B92" i="2" s="1"/>
  <c r="B90" i="19"/>
  <c r="B90" i="2" s="1"/>
  <c r="B89" i="19"/>
  <c r="B87" i="19"/>
  <c r="B87" i="2" s="1"/>
  <c r="B86" i="19"/>
  <c r="B86" i="2" s="1"/>
  <c r="B85" i="19"/>
  <c r="B85" i="2" s="1"/>
  <c r="B84" i="19"/>
  <c r="B84" i="2" s="1"/>
  <c r="B82" i="19"/>
  <c r="B82" i="2" s="1"/>
  <c r="B80" i="19"/>
  <c r="B80" i="2" s="1"/>
  <c r="B78" i="19"/>
  <c r="B78" i="2" s="1"/>
  <c r="B77" i="19"/>
  <c r="B77" i="2" s="1"/>
  <c r="B76" i="19"/>
  <c r="B76" i="2" s="1"/>
  <c r="B73" i="19"/>
  <c r="B73" i="2" s="1"/>
  <c r="B71" i="19"/>
  <c r="B71" i="2" s="1"/>
  <c r="B69" i="19"/>
  <c r="B69" i="2" s="1"/>
  <c r="B68" i="19"/>
  <c r="B68" i="2" s="1"/>
  <c r="B67" i="19"/>
  <c r="B67" i="2" s="1"/>
  <c r="B66" i="19"/>
  <c r="B66" i="2" s="1"/>
  <c r="B64" i="19"/>
  <c r="B64" i="2" s="1"/>
  <c r="B63" i="19"/>
  <c r="B63" i="2" s="1"/>
  <c r="B62" i="19"/>
  <c r="B62" i="2" s="1"/>
  <c r="B60" i="19"/>
  <c r="B60" i="2" s="1"/>
  <c r="B59" i="19"/>
  <c r="B59" i="2" s="1"/>
  <c r="B58" i="19"/>
  <c r="B58" i="2" s="1"/>
  <c r="B57" i="19"/>
  <c r="B57" i="2" s="1"/>
  <c r="B55" i="19"/>
  <c r="B55" i="2" s="1"/>
  <c r="B54" i="19"/>
  <c r="B54" i="2" s="1"/>
  <c r="B53" i="19"/>
  <c r="B53" i="2" s="1"/>
  <c r="B52" i="19"/>
  <c r="B52" i="2" s="1"/>
  <c r="B51" i="19"/>
  <c r="B51" i="2" s="1"/>
  <c r="B50" i="19"/>
  <c r="B50" i="2" s="1"/>
  <c r="B49" i="19"/>
  <c r="B49" i="2" s="1"/>
  <c r="B48" i="19"/>
  <c r="B48" i="2" s="1"/>
  <c r="B46" i="19"/>
  <c r="B46" i="2" s="1"/>
  <c r="B45" i="19"/>
  <c r="B45" i="2" s="1"/>
  <c r="B44" i="19"/>
  <c r="B44" i="2" s="1"/>
  <c r="B43" i="19"/>
  <c r="B43" i="2" s="1"/>
  <c r="B41" i="19"/>
  <c r="B41" i="2" s="1"/>
  <c r="B40" i="19"/>
  <c r="B40" i="2" s="1"/>
  <c r="B34" i="19"/>
  <c r="B34" i="2" s="1"/>
  <c r="B32" i="19"/>
  <c r="B32" i="2" s="1"/>
  <c r="B31" i="19"/>
  <c r="B31" i="2" s="1"/>
  <c r="B30" i="19"/>
  <c r="B29" i="19"/>
  <c r="B29" i="2" s="1"/>
  <c r="B28" i="19"/>
  <c r="B28" i="2" s="1"/>
  <c r="B26" i="19"/>
  <c r="B25" i="19"/>
  <c r="B25" i="2" s="1"/>
  <c r="B23" i="19"/>
  <c r="B23" i="2" s="1"/>
  <c r="B22" i="19"/>
  <c r="B22" i="2" s="1"/>
  <c r="B21" i="19"/>
  <c r="B21" i="2" s="1"/>
  <c r="B20" i="19"/>
  <c r="B20" i="2" s="1"/>
  <c r="B19" i="19"/>
  <c r="B19" i="2" s="1"/>
  <c r="B17" i="19"/>
  <c r="B17" i="2" s="1"/>
  <c r="B16" i="19"/>
  <c r="B16" i="2" s="1"/>
  <c r="B15" i="19"/>
  <c r="B15" i="2" s="1"/>
  <c r="B14" i="19"/>
  <c r="B14" i="2" s="1"/>
  <c r="B13" i="19"/>
  <c r="B13" i="2" s="1"/>
  <c r="B12" i="19"/>
  <c r="B12" i="2" s="1"/>
  <c r="B11" i="19"/>
  <c r="B11" i="2" s="1"/>
  <c r="B9" i="19"/>
  <c r="B9" i="2" s="1"/>
  <c r="B8" i="19"/>
  <c r="B8" i="2" s="1"/>
  <c r="B6" i="19"/>
  <c r="B6" i="2" s="1"/>
  <c r="B5" i="19"/>
  <c r="B5" i="2" s="1"/>
  <c r="B4" i="19"/>
  <c r="B4" i="2" s="1"/>
  <c r="B3" i="19"/>
  <c r="B3" i="2" s="1"/>
  <c r="C149" i="19"/>
  <c r="C149" i="2" s="1"/>
  <c r="C147" i="19"/>
  <c r="C145" i="19"/>
  <c r="C141" i="19"/>
  <c r="C139" i="19"/>
  <c r="C139" i="2" s="1"/>
  <c r="C131" i="19"/>
  <c r="C131" i="2" s="1"/>
  <c r="C129" i="19"/>
  <c r="C129" i="2" s="1"/>
  <c r="C129" i="3" s="1"/>
  <c r="C125" i="19"/>
  <c r="C125" i="2" s="1"/>
  <c r="C122" i="19"/>
  <c r="C122" i="2" s="1"/>
  <c r="C121" i="19"/>
  <c r="C120" i="19"/>
  <c r="C120" i="2" s="1"/>
  <c r="C114" i="19"/>
  <c r="C114" i="2" s="1"/>
  <c r="C113" i="19"/>
  <c r="C113" i="2" s="1"/>
  <c r="C112" i="19"/>
  <c r="C111" i="19"/>
  <c r="C111" i="2" s="1"/>
  <c r="C117" i="1" s="1"/>
  <c r="C108" i="19"/>
  <c r="C108" i="2" s="1"/>
  <c r="C107" i="19"/>
  <c r="C107" i="2" s="1"/>
  <c r="C106" i="19"/>
  <c r="C106" i="2" s="1"/>
  <c r="C105" i="19"/>
  <c r="C105" i="2" s="1"/>
  <c r="C104" i="19"/>
  <c r="C104" i="2" s="1"/>
  <c r="C103" i="19"/>
  <c r="C102" i="19"/>
  <c r="C102" i="2" s="1"/>
  <c r="C98" i="19"/>
  <c r="C98" i="2" s="1"/>
  <c r="C97" i="19"/>
  <c r="C97" i="2" s="1"/>
  <c r="C95" i="19"/>
  <c r="C95" i="2" s="1"/>
  <c r="C94" i="19"/>
  <c r="C94" i="2" s="1"/>
  <c r="C93" i="19"/>
  <c r="C93" i="2" s="1"/>
  <c r="C91" i="19"/>
  <c r="C90" i="19"/>
  <c r="C90" i="2" s="1"/>
  <c r="C87" i="19"/>
  <c r="C87" i="2" s="1"/>
  <c r="C86" i="19"/>
  <c r="C86" i="2" s="1"/>
  <c r="C85" i="19"/>
  <c r="C84" i="19"/>
  <c r="C83" i="19"/>
  <c r="C78" i="19"/>
  <c r="C78" i="2" s="1"/>
  <c r="C77" i="19"/>
  <c r="C77" i="2" s="1"/>
  <c r="C75" i="19"/>
  <c r="C75" i="3" s="1"/>
  <c r="C72" i="19"/>
  <c r="C70" i="19"/>
  <c r="C70" i="2" s="1"/>
  <c r="C69" i="19"/>
  <c r="C69" i="2" s="1"/>
  <c r="C67" i="19"/>
  <c r="C62" i="19"/>
  <c r="C62" i="2" s="1"/>
  <c r="C61" i="19"/>
  <c r="C59" i="19"/>
  <c r="C58" i="19"/>
  <c r="C56" i="19"/>
  <c r="C56" i="2" s="1"/>
  <c r="C55" i="19"/>
  <c r="C54" i="19"/>
  <c r="C54" i="2" s="1"/>
  <c r="C53" i="19"/>
  <c r="C53" i="2" s="1"/>
  <c r="C51" i="19"/>
  <c r="C50" i="19"/>
  <c r="C48" i="19"/>
  <c r="C48" i="2" s="1"/>
  <c r="C47" i="19"/>
  <c r="C46" i="19"/>
  <c r="C46" i="2" s="1"/>
  <c r="C45" i="19"/>
  <c r="C45" i="2" s="1"/>
  <c r="C43" i="19"/>
  <c r="C38" i="19"/>
  <c r="C38" i="2" s="1"/>
  <c r="C34" i="19"/>
  <c r="C34" i="2" s="1"/>
  <c r="C33" i="19"/>
  <c r="C33" i="2" s="1"/>
  <c r="C32" i="19"/>
  <c r="C32" i="2" s="1"/>
  <c r="C31" i="19"/>
  <c r="C29" i="19"/>
  <c r="C27" i="19"/>
  <c r="C25" i="19"/>
  <c r="C25" i="2" s="1"/>
  <c r="C24" i="19"/>
  <c r="C22" i="19"/>
  <c r="C22" i="2" s="1"/>
  <c r="C21" i="19"/>
  <c r="C20" i="19"/>
  <c r="C17" i="19"/>
  <c r="C17" i="2" s="1"/>
  <c r="C16" i="19"/>
  <c r="C16" i="2" s="1"/>
  <c r="C15" i="19"/>
  <c r="C15" i="2" s="1"/>
  <c r="C21" i="1" s="1"/>
  <c r="C14" i="19"/>
  <c r="C14" i="2" s="1"/>
  <c r="C9" i="19"/>
  <c r="C9" i="2" s="1"/>
  <c r="C7" i="19"/>
  <c r="C7" i="2" s="1"/>
  <c r="C6" i="19"/>
  <c r="C6" i="2" s="1"/>
  <c r="C5" i="19"/>
  <c r="C5" i="2" s="1"/>
  <c r="B137" i="10"/>
  <c r="I124" i="10" s="1"/>
  <c r="J78" i="5"/>
  <c r="J45" i="5"/>
  <c r="B50" i="3"/>
  <c r="B49" i="3"/>
  <c r="B48" i="3"/>
  <c r="B42" i="3"/>
  <c r="B41" i="3"/>
  <c r="B40" i="3"/>
  <c r="B33" i="3"/>
  <c r="B32" i="3"/>
  <c r="B31" i="3"/>
  <c r="B30" i="3"/>
  <c r="B25" i="3"/>
  <c r="B24" i="3"/>
  <c r="B23" i="3"/>
  <c r="B22" i="3"/>
  <c r="B17" i="3"/>
  <c r="B16" i="3"/>
  <c r="B15" i="3"/>
  <c r="B14" i="3"/>
  <c r="B9" i="3"/>
  <c r="B8" i="3"/>
  <c r="B7" i="3"/>
  <c r="B6" i="3"/>
  <c r="B3" i="3"/>
  <c r="C158" i="19"/>
  <c r="C158" i="2" s="1"/>
  <c r="C157" i="19"/>
  <c r="C157" i="2" s="1"/>
  <c r="C156" i="19"/>
  <c r="B156" i="19"/>
  <c r="B156" i="2" s="1"/>
  <c r="C153" i="19"/>
  <c r="C153" i="2" s="1"/>
  <c r="B153" i="19"/>
  <c r="B153" i="2" s="1"/>
  <c r="C152" i="19"/>
  <c r="B152" i="19"/>
  <c r="B152" i="2" s="1"/>
  <c r="C151" i="19"/>
  <c r="C151" i="2" s="1"/>
  <c r="C157" i="1" s="1"/>
  <c r="B151" i="19"/>
  <c r="B151" i="2" s="1"/>
  <c r="C150" i="19"/>
  <c r="C150" i="2" s="1"/>
  <c r="C154" i="1"/>
  <c r="B147" i="19"/>
  <c r="B147" i="2" s="1"/>
  <c r="C146" i="19"/>
  <c r="C144" i="19"/>
  <c r="C144" i="2" s="1"/>
  <c r="C143" i="19"/>
  <c r="C143" i="2" s="1"/>
  <c r="C142" i="19"/>
  <c r="C142" i="2" s="1"/>
  <c r="B142" i="5" s="1"/>
  <c r="B142" i="19"/>
  <c r="B142" i="2" s="1"/>
  <c r="B141" i="19"/>
  <c r="B141" i="2" s="1"/>
  <c r="C140" i="19"/>
  <c r="C140" i="3" s="1"/>
  <c r="C138" i="19"/>
  <c r="C138" i="2" s="1"/>
  <c r="B138" i="19"/>
  <c r="B138" i="2" s="1"/>
  <c r="C137" i="19"/>
  <c r="C137" i="2" s="1"/>
  <c r="B137" i="19"/>
  <c r="C136" i="19"/>
  <c r="B136" i="19"/>
  <c r="B136" i="2" s="1"/>
  <c r="C135" i="19"/>
  <c r="B135" i="19"/>
  <c r="B135" i="2" s="1"/>
  <c r="B134" i="2"/>
  <c r="C133" i="19"/>
  <c r="C133" i="2" s="1"/>
  <c r="C132" i="19"/>
  <c r="C132" i="2" s="1"/>
  <c r="C130" i="19"/>
  <c r="C130" i="2" s="1"/>
  <c r="B130" i="19"/>
  <c r="B130" i="2" s="1"/>
  <c r="B129" i="19"/>
  <c r="B129" i="2" s="1"/>
  <c r="C128" i="19"/>
  <c r="C128" i="2" s="1"/>
  <c r="B128" i="19"/>
  <c r="B128" i="2" s="1"/>
  <c r="C127" i="19"/>
  <c r="B127" i="19"/>
  <c r="B127" i="2" s="1"/>
  <c r="C126" i="19"/>
  <c r="C126" i="2" s="1"/>
  <c r="B126" i="19"/>
  <c r="C124" i="19"/>
  <c r="C124" i="2" s="1"/>
  <c r="C123" i="19"/>
  <c r="B123" i="19"/>
  <c r="B123" i="2" s="1"/>
  <c r="B120" i="19"/>
  <c r="B120" i="2" s="1"/>
  <c r="B119" i="2"/>
  <c r="C118" i="19"/>
  <c r="B118" i="19"/>
  <c r="B118" i="2" s="1"/>
  <c r="C117" i="19"/>
  <c r="C117" i="2" s="1"/>
  <c r="C116" i="19"/>
  <c r="C115" i="19"/>
  <c r="C115" i="2" s="1"/>
  <c r="B111" i="19"/>
  <c r="B111" i="2" s="1"/>
  <c r="C110" i="19"/>
  <c r="B110" i="19"/>
  <c r="B110" i="2" s="1"/>
  <c r="C109" i="19"/>
  <c r="B108" i="19"/>
  <c r="B105" i="19"/>
  <c r="B105" i="2" s="1"/>
  <c r="B102" i="19"/>
  <c r="B102" i="2" s="1"/>
  <c r="C101" i="19"/>
  <c r="C101" i="2" s="1"/>
  <c r="B101" i="19"/>
  <c r="B101" i="2" s="1"/>
  <c r="C100" i="19"/>
  <c r="C100" i="2" s="1"/>
  <c r="C99" i="19"/>
  <c r="C96" i="19"/>
  <c r="B94" i="19"/>
  <c r="B94" i="2" s="1"/>
  <c r="B93" i="19"/>
  <c r="B93" i="2" s="1"/>
  <c r="C92" i="19"/>
  <c r="C92" i="2" s="1"/>
  <c r="B91" i="19"/>
  <c r="B91" i="2" s="1"/>
  <c r="C89" i="19"/>
  <c r="C88" i="19"/>
  <c r="C88" i="3" s="1"/>
  <c r="B88" i="19"/>
  <c r="B88" i="2" s="1"/>
  <c r="B83" i="19"/>
  <c r="C82" i="19"/>
  <c r="C81" i="19"/>
  <c r="C81" i="2" s="1"/>
  <c r="B81" i="19"/>
  <c r="B81" i="2" s="1"/>
  <c r="C80" i="19"/>
  <c r="C79" i="19"/>
  <c r="B79" i="19"/>
  <c r="B79" i="2" s="1"/>
  <c r="C76" i="19"/>
  <c r="B75" i="19"/>
  <c r="B75" i="2" s="1"/>
  <c r="C74" i="19"/>
  <c r="B74" i="19"/>
  <c r="B74" i="2" s="1"/>
  <c r="C73" i="19"/>
  <c r="B72" i="19"/>
  <c r="B72" i="2" s="1"/>
  <c r="C71" i="19"/>
  <c r="B70" i="19"/>
  <c r="B70" i="2" s="1"/>
  <c r="C68" i="19"/>
  <c r="C66" i="19"/>
  <c r="C66" i="2" s="1"/>
  <c r="C65" i="19"/>
  <c r="C65" i="2" s="1"/>
  <c r="B65" i="5" s="1"/>
  <c r="B65" i="19"/>
  <c r="B65" i="2" s="1"/>
  <c r="C64" i="19"/>
  <c r="C63" i="19"/>
  <c r="C63" i="3" s="1"/>
  <c r="B61" i="19"/>
  <c r="B61" i="2" s="1"/>
  <c r="C60" i="19"/>
  <c r="C60" i="2" s="1"/>
  <c r="C57" i="19"/>
  <c r="C57" i="2" s="1"/>
  <c r="B56" i="19"/>
  <c r="B56" i="2" s="1"/>
  <c r="C52" i="19"/>
  <c r="C52" i="2" s="1"/>
  <c r="C49" i="19"/>
  <c r="C49" i="2" s="1"/>
  <c r="B47" i="19"/>
  <c r="B47" i="2" s="1"/>
  <c r="C44" i="19"/>
  <c r="C42" i="19"/>
  <c r="B42" i="19"/>
  <c r="C41" i="19"/>
  <c r="C40" i="19"/>
  <c r="C39" i="19"/>
  <c r="C39" i="2" s="1"/>
  <c r="B39" i="19"/>
  <c r="B39" i="2" s="1"/>
  <c r="B38" i="19"/>
  <c r="B38" i="2" s="1"/>
  <c r="C37" i="19"/>
  <c r="C37" i="2" s="1"/>
  <c r="B37" i="19"/>
  <c r="C36" i="19"/>
  <c r="B36" i="19"/>
  <c r="B36" i="2" s="1"/>
  <c r="C35" i="19"/>
  <c r="B35" i="19"/>
  <c r="B35" i="2" s="1"/>
  <c r="B33" i="19"/>
  <c r="B33" i="2" s="1"/>
  <c r="C30" i="19"/>
  <c r="C28" i="19"/>
  <c r="C28" i="2" s="1"/>
  <c r="B27" i="19"/>
  <c r="B27" i="2" s="1"/>
  <c r="C26" i="19"/>
  <c r="B24" i="19"/>
  <c r="B24" i="2" s="1"/>
  <c r="C23" i="19"/>
  <c r="C23" i="2" s="1"/>
  <c r="C19" i="19"/>
  <c r="C19" i="2" s="1"/>
  <c r="C19" i="3" s="1"/>
  <c r="C18" i="19"/>
  <c r="C18" i="2" s="1"/>
  <c r="B18" i="19"/>
  <c r="B18" i="2" s="1"/>
  <c r="C13" i="19"/>
  <c r="C12" i="19"/>
  <c r="C12" i="2" s="1"/>
  <c r="C11" i="19"/>
  <c r="C10" i="19"/>
  <c r="B10" i="19"/>
  <c r="B10" i="2" s="1"/>
  <c r="C8" i="19"/>
  <c r="B7" i="19"/>
  <c r="B7" i="2" s="1"/>
  <c r="C4" i="19"/>
  <c r="C4" i="2" s="1"/>
  <c r="C3" i="19"/>
  <c r="C155" i="19"/>
  <c r="C154" i="19"/>
  <c r="C154" i="2" s="1"/>
  <c r="D140" i="24"/>
  <c r="C140" i="24" s="1"/>
  <c r="D136" i="24"/>
  <c r="C136" i="24" s="1"/>
  <c r="D129" i="24"/>
  <c r="C129" i="24" s="1"/>
  <c r="D93" i="24"/>
  <c r="C93" i="24" s="1"/>
  <c r="D90" i="24"/>
  <c r="C90" i="24" s="1"/>
  <c r="D67" i="24"/>
  <c r="C67" i="24" s="1"/>
  <c r="J41" i="23"/>
  <c r="D151" i="5"/>
  <c r="D136" i="5"/>
  <c r="D134" i="5"/>
  <c r="D113" i="5"/>
  <c r="D106" i="5"/>
  <c r="D97" i="5"/>
  <c r="D96" i="5"/>
  <c r="D85" i="5"/>
  <c r="D62" i="5"/>
  <c r="D46" i="5"/>
  <c r="D30" i="5"/>
  <c r="D4" i="5"/>
  <c r="A82" i="19"/>
  <c r="B79" i="24"/>
  <c r="K25" i="1"/>
  <c r="J27" i="1"/>
  <c r="J28" i="1"/>
  <c r="J29" i="1"/>
  <c r="H82" i="3"/>
  <c r="A82" i="2"/>
  <c r="A82" i="3" s="1"/>
  <c r="I82" i="3" s="1"/>
  <c r="J110" i="5"/>
  <c r="J108" i="5"/>
  <c r="J107" i="5"/>
  <c r="J106" i="5"/>
  <c r="J104" i="5"/>
  <c r="J103" i="5"/>
  <c r="J102" i="5"/>
  <c r="J101" i="5"/>
  <c r="J100" i="5"/>
  <c r="J98" i="5"/>
  <c r="J97" i="5"/>
  <c r="J96" i="5"/>
  <c r="J95" i="5"/>
  <c r="J94" i="5"/>
  <c r="J93" i="5"/>
  <c r="J92" i="5"/>
  <c r="J91" i="5"/>
  <c r="J89" i="5"/>
  <c r="J88" i="5"/>
  <c r="J87" i="5"/>
  <c r="J86" i="5"/>
  <c r="J85" i="5"/>
  <c r="J84" i="5"/>
  <c r="J83" i="5"/>
  <c r="J81" i="5"/>
  <c r="J80" i="5"/>
  <c r="J79" i="5"/>
  <c r="J77" i="5"/>
  <c r="J76" i="5"/>
  <c r="J74" i="5"/>
  <c r="J73" i="5"/>
  <c r="J72" i="5"/>
  <c r="J71" i="5"/>
  <c r="J69" i="5"/>
  <c r="J68" i="5"/>
  <c r="J67" i="5"/>
  <c r="J66" i="5"/>
  <c r="J65" i="5"/>
  <c r="J64" i="5"/>
  <c r="J63" i="5"/>
  <c r="J62" i="5"/>
  <c r="J61" i="5"/>
  <c r="J60" i="5"/>
  <c r="J59" i="5"/>
  <c r="J58" i="5"/>
  <c r="J57" i="5"/>
  <c r="J56" i="5"/>
  <c r="J55" i="5"/>
  <c r="J54" i="5"/>
  <c r="J53" i="5"/>
  <c r="J52" i="5"/>
  <c r="J51" i="5"/>
  <c r="J50" i="5"/>
  <c r="J48" i="5"/>
  <c r="J47" i="5"/>
  <c r="J46" i="5"/>
  <c r="J44" i="5"/>
  <c r="J43" i="5"/>
  <c r="J42" i="5"/>
  <c r="J41" i="5"/>
  <c r="J40" i="5"/>
  <c r="J39" i="5"/>
  <c r="J38" i="5"/>
  <c r="J37" i="5"/>
  <c r="J36" i="5"/>
  <c r="J35" i="5"/>
  <c r="J34" i="5"/>
  <c r="J33" i="5"/>
  <c r="J32" i="5"/>
  <c r="J31" i="5"/>
  <c r="J30" i="5"/>
  <c r="J29" i="5"/>
  <c r="J28" i="5"/>
  <c r="J27" i="5"/>
  <c r="J26" i="5"/>
  <c r="J25" i="5"/>
  <c r="J24" i="5"/>
  <c r="D84" i="6"/>
  <c r="H84" i="6"/>
  <c r="D151" i="3"/>
  <c r="D137" i="3"/>
  <c r="D134" i="3"/>
  <c r="D126" i="3"/>
  <c r="D106" i="3"/>
  <c r="D97" i="3"/>
  <c r="D87" i="3"/>
  <c r="D62" i="3"/>
  <c r="D46" i="3"/>
  <c r="D30" i="3"/>
  <c r="D4" i="3"/>
  <c r="D193" i="10"/>
  <c r="C193" i="10"/>
  <c r="D192" i="10"/>
  <c r="C192" i="10"/>
  <c r="B186" i="1"/>
  <c r="B185" i="1"/>
  <c r="B181" i="1"/>
  <c r="B177" i="1"/>
  <c r="B169" i="1"/>
  <c r="F105" i="23"/>
  <c r="B156" i="3"/>
  <c r="B140" i="3"/>
  <c r="B137" i="3"/>
  <c r="B135" i="3"/>
  <c r="B134" i="3"/>
  <c r="B126" i="3"/>
  <c r="B119" i="3"/>
  <c r="B99" i="3"/>
  <c r="B89" i="3"/>
  <c r="B79" i="3"/>
  <c r="B75" i="3"/>
  <c r="B61" i="3"/>
  <c r="B37" i="3"/>
  <c r="B1" i="3"/>
  <c r="B2" i="3"/>
  <c r="B53" i="3"/>
  <c r="B52" i="3"/>
  <c r="B51" i="3"/>
  <c r="B47" i="3"/>
  <c r="B46" i="3"/>
  <c r="B45" i="3"/>
  <c r="B44" i="3"/>
  <c r="B43" i="3"/>
  <c r="B39" i="3"/>
  <c r="B38" i="3"/>
  <c r="B36" i="3"/>
  <c r="B35" i="3"/>
  <c r="B34" i="3"/>
  <c r="B29" i="3"/>
  <c r="B28" i="3"/>
  <c r="B27" i="3"/>
  <c r="B26" i="3"/>
  <c r="B21" i="3"/>
  <c r="B20" i="3"/>
  <c r="B19" i="3"/>
  <c r="B18" i="3"/>
  <c r="B13" i="3"/>
  <c r="B12" i="3"/>
  <c r="B11" i="3"/>
  <c r="B10" i="3"/>
  <c r="B5" i="3"/>
  <c r="B4" i="3"/>
  <c r="H106" i="3"/>
  <c r="A106" i="2"/>
  <c r="B30" i="17"/>
  <c r="B20" i="17"/>
  <c r="B19" i="17"/>
  <c r="B123" i="10"/>
  <c r="F143" i="23"/>
  <c r="F140" i="23"/>
  <c r="F133" i="23"/>
  <c r="F125" i="23"/>
  <c r="F98" i="23"/>
  <c r="F87" i="23"/>
  <c r="F61" i="23"/>
  <c r="F37" i="23"/>
  <c r="F36" i="23"/>
  <c r="F30" i="23"/>
  <c r="F18" i="23"/>
  <c r="F4" i="23"/>
  <c r="L3" i="23"/>
  <c r="H141" i="3"/>
  <c r="H134" i="3"/>
  <c r="H126" i="3"/>
  <c r="H37" i="3"/>
  <c r="H30" i="3"/>
  <c r="H18" i="3"/>
  <c r="H2" i="3"/>
  <c r="A158" i="2"/>
  <c r="A158" i="3"/>
  <c r="I158" i="3" s="1"/>
  <c r="A157" i="2"/>
  <c r="A156" i="2"/>
  <c r="A155" i="2"/>
  <c r="A155" i="3" s="1"/>
  <c r="I155" i="3" s="1"/>
  <c r="A154" i="2"/>
  <c r="A160" i="1" s="1"/>
  <c r="A153" i="2"/>
  <c r="A153" i="5"/>
  <c r="C153" i="5" s="1"/>
  <c r="A152" i="2"/>
  <c r="A152" i="5" s="1"/>
  <c r="A151" i="2"/>
  <c r="A151" i="5" s="1"/>
  <c r="A150" i="2"/>
  <c r="A150" i="5" s="1"/>
  <c r="C150" i="5" s="1"/>
  <c r="A149" i="2"/>
  <c r="A148" i="2"/>
  <c r="A147" i="2"/>
  <c r="A147" i="5" s="1"/>
  <c r="A146" i="2"/>
  <c r="A145" i="2"/>
  <c r="A151" i="1" s="1"/>
  <c r="B151" i="1" s="1"/>
  <c r="A144" i="2"/>
  <c r="A143" i="2"/>
  <c r="A143" i="5" s="1"/>
  <c r="A142" i="2"/>
  <c r="A141" i="2"/>
  <c r="A141" i="3" s="1"/>
  <c r="I141" i="3" s="1"/>
  <c r="A140" i="2"/>
  <c r="A146" i="1" s="1"/>
  <c r="B146" i="1" s="1"/>
  <c r="A139" i="2"/>
  <c r="A139" i="3" s="1"/>
  <c r="I139" i="3" s="1"/>
  <c r="A138" i="2"/>
  <c r="A144" i="1" s="1"/>
  <c r="B144" i="1" s="1"/>
  <c r="A137" i="2"/>
  <c r="A136" i="2"/>
  <c r="A136" i="5" s="1"/>
  <c r="D136" i="3" s="1"/>
  <c r="A135" i="2"/>
  <c r="A141" i="1" s="1"/>
  <c r="A134" i="23" s="1"/>
  <c r="B134" i="23" s="1"/>
  <c r="A134" i="2"/>
  <c r="A134" i="5" s="1"/>
  <c r="A133" i="2"/>
  <c r="A133" i="3" s="1"/>
  <c r="I133" i="3"/>
  <c r="A132" i="2"/>
  <c r="A138" i="1" s="1"/>
  <c r="A131" i="2"/>
  <c r="A130" i="2"/>
  <c r="A130" i="3" s="1"/>
  <c r="I130" i="3" s="1"/>
  <c r="A129" i="2"/>
  <c r="A129" i="3" s="1"/>
  <c r="I129" i="3" s="1"/>
  <c r="A128" i="2"/>
  <c r="A128" i="5" s="1"/>
  <c r="A127" i="2"/>
  <c r="A127" i="5" s="1"/>
  <c r="D127" i="5" s="1"/>
  <c r="A126" i="2"/>
  <c r="A126" i="5" s="1"/>
  <c r="D126" i="5" s="1"/>
  <c r="A125" i="2"/>
  <c r="A131" i="1" s="1"/>
  <c r="A124" i="2"/>
  <c r="A130" i="1" s="1"/>
  <c r="A123" i="2"/>
  <c r="A123" i="3" s="1"/>
  <c r="I123" i="3" s="1"/>
  <c r="A122" i="2"/>
  <c r="A121" i="2"/>
  <c r="A121" i="3" s="1"/>
  <c r="I121" i="3" s="1"/>
  <c r="A120" i="2"/>
  <c r="A120" i="3"/>
  <c r="I120" i="3" s="1"/>
  <c r="A119" i="2"/>
  <c r="A119" i="5" s="1"/>
  <c r="A118" i="2"/>
  <c r="A118" i="3" s="1"/>
  <c r="I118" i="3" s="1"/>
  <c r="A117" i="2"/>
  <c r="A117" i="3" s="1"/>
  <c r="I117" i="3" s="1"/>
  <c r="A116" i="2"/>
  <c r="A115" i="2"/>
  <c r="A115" i="5" s="1"/>
  <c r="A114" i="2"/>
  <c r="A120" i="1"/>
  <c r="B120" i="1" s="1"/>
  <c r="A113" i="2"/>
  <c r="A113" i="5" s="1"/>
  <c r="D113" i="3" s="1"/>
  <c r="A112" i="2"/>
  <c r="A112" i="5" s="1"/>
  <c r="D112" i="5" s="1"/>
  <c r="A111" i="2"/>
  <c r="A111" i="5" s="1"/>
  <c r="A110" i="2"/>
  <c r="A116" i="1"/>
  <c r="A109" i="2"/>
  <c r="A109" i="3" s="1"/>
  <c r="I109" i="3"/>
  <c r="A108" i="2"/>
  <c r="A107" i="2"/>
  <c r="A105" i="2"/>
  <c r="A105" i="5" s="1"/>
  <c r="C105" i="5" s="1"/>
  <c r="A104" i="2"/>
  <c r="A104" i="3" s="1"/>
  <c r="I104" i="3" s="1"/>
  <c r="A103" i="2"/>
  <c r="A103" i="5" s="1"/>
  <c r="A102" i="2"/>
  <c r="A102" i="5"/>
  <c r="D102" i="5" s="1"/>
  <c r="A101" i="2"/>
  <c r="A100" i="2"/>
  <c r="A99" i="2"/>
  <c r="A99" i="5" s="1"/>
  <c r="D99" i="5" s="1"/>
  <c r="A98" i="2"/>
  <c r="A98" i="5" s="1"/>
  <c r="A97" i="2"/>
  <c r="A97" i="5" s="1"/>
  <c r="A96" i="2"/>
  <c r="A96" i="5" s="1"/>
  <c r="D96" i="3" s="1"/>
  <c r="A95" i="2"/>
  <c r="A101" i="1" s="1"/>
  <c r="A94" i="2"/>
  <c r="A100" i="1"/>
  <c r="A93" i="23" s="1"/>
  <c r="B93" i="23" s="1"/>
  <c r="A93" i="2"/>
  <c r="A93" i="5" s="1"/>
  <c r="D93" i="5" s="1"/>
  <c r="A92" i="2"/>
  <c r="A91" i="2"/>
  <c r="A90" i="2"/>
  <c r="A90" i="3" s="1"/>
  <c r="I90" i="3" s="1"/>
  <c r="A89" i="2"/>
  <c r="A95" i="1" s="1"/>
  <c r="A88" i="2"/>
  <c r="A88" i="3" s="1"/>
  <c r="I88" i="3" s="1"/>
  <c r="A87" i="2"/>
  <c r="A87" i="3" s="1"/>
  <c r="I87" i="3" s="1"/>
  <c r="A86" i="2"/>
  <c r="A86" i="3" s="1"/>
  <c r="I86" i="3" s="1"/>
  <c r="A85" i="2"/>
  <c r="A85" i="3" s="1"/>
  <c r="I85" i="3" s="1"/>
  <c r="A84" i="2"/>
  <c r="A84" i="3" s="1"/>
  <c r="I84" i="3" s="1"/>
  <c r="A83" i="2"/>
  <c r="A83" i="5" s="1"/>
  <c r="C83" i="5" s="1"/>
  <c r="A81" i="2"/>
  <c r="A80" i="2"/>
  <c r="A80" i="3" s="1"/>
  <c r="I80" i="3" s="1"/>
  <c r="A79" i="2"/>
  <c r="A85" i="1" s="1"/>
  <c r="A79" i="23" s="1"/>
  <c r="B79" i="23" s="1"/>
  <c r="A78" i="2"/>
  <c r="A77" i="2"/>
  <c r="A77" i="3"/>
  <c r="I77" i="3" s="1"/>
  <c r="A76" i="2"/>
  <c r="A76" i="3"/>
  <c r="I76" i="3" s="1"/>
  <c r="A75" i="2"/>
  <c r="A74" i="2"/>
  <c r="A74" i="3"/>
  <c r="I74" i="3" s="1"/>
  <c r="A73" i="2"/>
  <c r="A73" i="3" s="1"/>
  <c r="I73" i="3" s="1"/>
  <c r="A72" i="2"/>
  <c r="A72" i="3" s="1"/>
  <c r="I72" i="3" s="1"/>
  <c r="A71" i="2"/>
  <c r="A71" i="5" s="1"/>
  <c r="A70" i="2"/>
  <c r="A70" i="5" s="1"/>
  <c r="A69" i="2"/>
  <c r="A69" i="3" s="1"/>
  <c r="I69" i="3" s="1"/>
  <c r="A68" i="2"/>
  <c r="A68" i="3" s="1"/>
  <c r="I68" i="3" s="1"/>
  <c r="A67" i="2"/>
  <c r="A67" i="3" s="1"/>
  <c r="I67" i="3" s="1"/>
  <c r="A66" i="2"/>
  <c r="A65" i="2"/>
  <c r="A71" i="1" s="1"/>
  <c r="A64" i="2"/>
  <c r="A64" i="3" s="1"/>
  <c r="I64" i="3" s="1"/>
  <c r="A63" i="2"/>
  <c r="A69" i="1" s="1"/>
  <c r="B69" i="1" s="1"/>
  <c r="A62" i="2"/>
  <c r="A62" i="3" s="1"/>
  <c r="I62" i="3"/>
  <c r="A61" i="2"/>
  <c r="A61" i="3" s="1"/>
  <c r="I61" i="3" s="1"/>
  <c r="A60" i="2"/>
  <c r="A60" i="3" s="1"/>
  <c r="I60" i="3" s="1"/>
  <c r="A59" i="2"/>
  <c r="A65" i="1"/>
  <c r="A58" i="2"/>
  <c r="A64" i="1" s="1"/>
  <c r="A57" i="2"/>
  <c r="A57" i="5" s="1"/>
  <c r="C57" i="5" s="1"/>
  <c r="A56" i="2"/>
  <c r="A56" i="3" s="1"/>
  <c r="I56" i="3" s="1"/>
  <c r="A55" i="2"/>
  <c r="A54" i="2"/>
  <c r="A54" i="3" s="1"/>
  <c r="I54" i="3" s="1"/>
  <c r="A53" i="2"/>
  <c r="A53" i="3"/>
  <c r="I53" i="3"/>
  <c r="A52" i="2"/>
  <c r="A52" i="5" s="1"/>
  <c r="D52" i="5" s="1"/>
  <c r="A51" i="2"/>
  <c r="A51" i="3"/>
  <c r="I51" i="3" s="1"/>
  <c r="A50" i="2"/>
  <c r="A50" i="3" s="1"/>
  <c r="I50" i="3" s="1"/>
  <c r="A49" i="2"/>
  <c r="A49" i="3" s="1"/>
  <c r="I49" i="3" s="1"/>
  <c r="A48" i="2"/>
  <c r="A47" i="2"/>
  <c r="A53" i="1" s="1"/>
  <c r="A46" i="2"/>
  <c r="A46" i="3"/>
  <c r="I46" i="3" s="1"/>
  <c r="A45" i="2"/>
  <c r="A45" i="3" s="1"/>
  <c r="I45" i="3" s="1"/>
  <c r="A44" i="2"/>
  <c r="A44" i="3" s="1"/>
  <c r="I44" i="3" s="1"/>
  <c r="A43" i="2"/>
  <c r="A43" i="3" s="1"/>
  <c r="I43" i="3" s="1"/>
  <c r="A42" i="2"/>
  <c r="A42" i="3" s="1"/>
  <c r="I42" i="3" s="1"/>
  <c r="A41" i="2"/>
  <c r="A41" i="3" s="1"/>
  <c r="I41" i="3" s="1"/>
  <c r="A40" i="2"/>
  <c r="A40" i="3" s="1"/>
  <c r="I40" i="3" s="1"/>
  <c r="A39" i="2"/>
  <c r="A38" i="2"/>
  <c r="A37" i="2"/>
  <c r="A36" i="2"/>
  <c r="A35" i="2"/>
  <c r="A34" i="2"/>
  <c r="A34" i="3" s="1"/>
  <c r="I34" i="3" s="1"/>
  <c r="A33" i="2"/>
  <c r="A32" i="2"/>
  <c r="A32" i="3" s="1"/>
  <c r="I32" i="3" s="1"/>
  <c r="A31" i="2"/>
  <c r="A31" i="3" s="1"/>
  <c r="I31" i="3" s="1"/>
  <c r="A30" i="2"/>
  <c r="A29" i="2"/>
  <c r="A29" i="3" s="1"/>
  <c r="I29" i="3" s="1"/>
  <c r="A28" i="2"/>
  <c r="A27" i="2"/>
  <c r="A27" i="3" s="1"/>
  <c r="I27" i="3" s="1"/>
  <c r="A26" i="2"/>
  <c r="A25" i="2"/>
  <c r="A25" i="3"/>
  <c r="I25" i="3"/>
  <c r="A24" i="2"/>
  <c r="A24" i="3" s="1"/>
  <c r="I24" i="3" s="1"/>
  <c r="A23" i="2"/>
  <c r="A22" i="2"/>
  <c r="A22" i="3" s="1"/>
  <c r="I22" i="3" s="1"/>
  <c r="A21" i="2"/>
  <c r="A21" i="3" s="1"/>
  <c r="I21" i="3" s="1"/>
  <c r="A20" i="2"/>
  <c r="A26" i="1" s="1"/>
  <c r="A20" i="23" s="1"/>
  <c r="B20" i="23" s="1"/>
  <c r="A20" i="3"/>
  <c r="I20" i="3" s="1"/>
  <c r="A19" i="2"/>
  <c r="A18" i="2"/>
  <c r="A18" i="3" s="1"/>
  <c r="I18" i="3" s="1"/>
  <c r="A17" i="2"/>
  <c r="A17" i="3" s="1"/>
  <c r="I17" i="3" s="1"/>
  <c r="A16" i="2"/>
  <c r="A22" i="1" s="1"/>
  <c r="A15" i="2"/>
  <c r="A14" i="2"/>
  <c r="A14" i="5"/>
  <c r="D14" i="5" s="1"/>
  <c r="A13" i="2"/>
  <c r="A13" i="3" s="1"/>
  <c r="I13" i="3" s="1"/>
  <c r="A12" i="2"/>
  <c r="A12" i="3" s="1"/>
  <c r="I12" i="3" s="1"/>
  <c r="A11" i="2"/>
  <c r="A11" i="3" s="1"/>
  <c r="I11" i="3" s="1"/>
  <c r="A10" i="2"/>
  <c r="A9" i="2"/>
  <c r="A9" i="3"/>
  <c r="I9" i="3" s="1"/>
  <c r="A8" i="2"/>
  <c r="A8" i="3" s="1"/>
  <c r="I8" i="3" s="1"/>
  <c r="A7" i="2"/>
  <c r="A7" i="3" s="1"/>
  <c r="I7" i="3" s="1"/>
  <c r="A6" i="2"/>
  <c r="A6" i="5" s="1"/>
  <c r="A5" i="2"/>
  <c r="A4" i="2"/>
  <c r="A4" i="3" s="1"/>
  <c r="I4" i="3" s="1"/>
  <c r="A3" i="2"/>
  <c r="A3" i="3" s="1"/>
  <c r="I3" i="3" s="1"/>
  <c r="B148" i="2"/>
  <c r="B137" i="2"/>
  <c r="C139" i="1"/>
  <c r="C136" i="1"/>
  <c r="C126" i="3"/>
  <c r="B126" i="2"/>
  <c r="C126" i="1"/>
  <c r="B108" i="2"/>
  <c r="B83" i="2"/>
  <c r="B66" i="5"/>
  <c r="C63" i="1"/>
  <c r="A99" i="3"/>
  <c r="I99" i="3" s="1"/>
  <c r="D187" i="10"/>
  <c r="B167" i="10"/>
  <c r="I160" i="10" s="1"/>
  <c r="B56" i="10"/>
  <c r="D191" i="10" s="1"/>
  <c r="B60" i="10"/>
  <c r="F174" i="10"/>
  <c r="B95" i="10"/>
  <c r="I89" i="10" s="1"/>
  <c r="B140" i="10"/>
  <c r="F178" i="10" s="1"/>
  <c r="B2" i="2"/>
  <c r="B184" i="1"/>
  <c r="B183" i="1"/>
  <c r="B182" i="1"/>
  <c r="B180" i="1"/>
  <c r="B179" i="1"/>
  <c r="B178" i="1"/>
  <c r="B176" i="1"/>
  <c r="B175" i="1"/>
  <c r="B174" i="1"/>
  <c r="B173" i="1"/>
  <c r="B172" i="1"/>
  <c r="B171" i="1"/>
  <c r="B170" i="1"/>
  <c r="B168" i="1"/>
  <c r="B167" i="1"/>
  <c r="K18" i="23"/>
  <c r="A2" i="2"/>
  <c r="A8" i="1" s="1"/>
  <c r="B8" i="1" s="1"/>
  <c r="B74" i="24"/>
  <c r="D74" i="24" s="1"/>
  <c r="C74" i="24" s="1"/>
  <c r="B37" i="24"/>
  <c r="B19" i="24"/>
  <c r="D19" i="24" s="1"/>
  <c r="C19" i="24" s="1"/>
  <c r="B2" i="24"/>
  <c r="B3" i="24"/>
  <c r="B4" i="24"/>
  <c r="B5" i="24"/>
  <c r="D5" i="24" s="1"/>
  <c r="C5" i="24" s="1"/>
  <c r="B6" i="24"/>
  <c r="D6" i="24" s="1"/>
  <c r="C6" i="24" s="1"/>
  <c r="F6" i="23" s="1"/>
  <c r="B7" i="24"/>
  <c r="D7" i="24" s="1"/>
  <c r="C7" i="24" s="1"/>
  <c r="B8" i="24"/>
  <c r="D8" i="24" s="1"/>
  <c r="C8" i="24" s="1"/>
  <c r="B9" i="24"/>
  <c r="D9" i="24" s="1"/>
  <c r="C9" i="24" s="1"/>
  <c r="B10" i="24"/>
  <c r="D10" i="24" s="1"/>
  <c r="C10" i="24" s="1"/>
  <c r="H10" i="3" s="1"/>
  <c r="B11" i="24"/>
  <c r="D11" i="24" s="1"/>
  <c r="C11" i="24" s="1"/>
  <c r="B12" i="24"/>
  <c r="D12" i="24" s="1"/>
  <c r="C12" i="24" s="1"/>
  <c r="F12" i="23" s="1"/>
  <c r="B13" i="24"/>
  <c r="D13" i="24" s="1"/>
  <c r="C13" i="24" s="1"/>
  <c r="B14" i="24"/>
  <c r="D14" i="24" s="1"/>
  <c r="C14" i="24" s="1"/>
  <c r="F14" i="23" s="1"/>
  <c r="B15" i="24"/>
  <c r="D15" i="24" s="1"/>
  <c r="C15" i="24" s="1"/>
  <c r="B16" i="24"/>
  <c r="D16" i="24" s="1"/>
  <c r="C16" i="24" s="1"/>
  <c r="F16" i="23" s="1"/>
  <c r="B17" i="24"/>
  <c r="D17" i="24" s="1"/>
  <c r="C17" i="24" s="1"/>
  <c r="B18" i="24"/>
  <c r="B20" i="24"/>
  <c r="D20" i="24" s="1"/>
  <c r="C20" i="24" s="1"/>
  <c r="B21" i="24"/>
  <c r="D21" i="24" s="1"/>
  <c r="C21" i="24" s="1"/>
  <c r="B22" i="24"/>
  <c r="D22" i="24" s="1"/>
  <c r="C22" i="24" s="1"/>
  <c r="B23" i="24"/>
  <c r="D23" i="24" s="1"/>
  <c r="C23" i="24" s="1"/>
  <c r="B24" i="24"/>
  <c r="D24" i="24" s="1"/>
  <c r="C24" i="24" s="1"/>
  <c r="B25" i="24"/>
  <c r="D25" i="24" s="1"/>
  <c r="C25" i="24" s="1"/>
  <c r="B26" i="24"/>
  <c r="D26" i="24" s="1"/>
  <c r="C26" i="24" s="1"/>
  <c r="B27" i="24"/>
  <c r="D27" i="24" s="1"/>
  <c r="C27" i="24" s="1"/>
  <c r="B28" i="24"/>
  <c r="D28" i="24" s="1"/>
  <c r="C28" i="24" s="1"/>
  <c r="B29" i="24"/>
  <c r="D29" i="24" s="1"/>
  <c r="C29" i="24" s="1"/>
  <c r="B30" i="24"/>
  <c r="B31" i="24"/>
  <c r="D31" i="24" s="1"/>
  <c r="C31" i="24" s="1"/>
  <c r="B32" i="24"/>
  <c r="D32" i="24" s="1"/>
  <c r="C32" i="24" s="1"/>
  <c r="B33" i="24"/>
  <c r="D33" i="24" s="1"/>
  <c r="C33" i="24" s="1"/>
  <c r="H33" i="3" s="1"/>
  <c r="B34" i="24"/>
  <c r="D34" i="24" s="1"/>
  <c r="C34" i="24" s="1"/>
  <c r="B35" i="24"/>
  <c r="B36" i="24"/>
  <c r="B38" i="24"/>
  <c r="D38" i="24" s="1"/>
  <c r="C38" i="24" s="1"/>
  <c r="B39" i="24"/>
  <c r="B40" i="24"/>
  <c r="D40" i="24" s="1"/>
  <c r="C40" i="24" s="1"/>
  <c r="B41" i="24"/>
  <c r="B42" i="24"/>
  <c r="D42" i="24" s="1"/>
  <c r="C42" i="24" s="1"/>
  <c r="B43" i="24"/>
  <c r="D43" i="24" s="1"/>
  <c r="C43" i="24" s="1"/>
  <c r="F43" i="23" s="1"/>
  <c r="B44" i="24"/>
  <c r="D44" i="24" s="1"/>
  <c r="C44" i="24" s="1"/>
  <c r="B45" i="24"/>
  <c r="D45" i="24" s="1"/>
  <c r="C45" i="24" s="1"/>
  <c r="B46" i="24"/>
  <c r="D46" i="24" s="1"/>
  <c r="C46" i="24" s="1"/>
  <c r="B47" i="24"/>
  <c r="D47" i="24" s="1"/>
  <c r="C47" i="24" s="1"/>
  <c r="B48" i="24"/>
  <c r="D48" i="24" s="1"/>
  <c r="C48" i="24" s="1"/>
  <c r="B49" i="24"/>
  <c r="D49" i="24" s="1"/>
  <c r="C49" i="24" s="1"/>
  <c r="H49" i="3" s="1"/>
  <c r="B50" i="24"/>
  <c r="D50" i="24" s="1"/>
  <c r="C50" i="24" s="1"/>
  <c r="B51" i="24"/>
  <c r="D51" i="24" s="1"/>
  <c r="C51" i="24" s="1"/>
  <c r="B52" i="24"/>
  <c r="D52" i="24" s="1"/>
  <c r="C52" i="24" s="1"/>
  <c r="B53" i="24"/>
  <c r="D53" i="24" s="1"/>
  <c r="C53" i="24" s="1"/>
  <c r="B54" i="24"/>
  <c r="D54" i="24" s="1"/>
  <c r="C54" i="24" s="1"/>
  <c r="B55" i="24"/>
  <c r="D55" i="24" s="1"/>
  <c r="C55" i="24" s="1"/>
  <c r="B56" i="24"/>
  <c r="D56" i="24" s="1"/>
  <c r="C56" i="24" s="1"/>
  <c r="B57" i="24"/>
  <c r="D57" i="24" s="1"/>
  <c r="C57" i="24" s="1"/>
  <c r="B58" i="24"/>
  <c r="D58" i="24" s="1"/>
  <c r="C58" i="24" s="1"/>
  <c r="B59" i="24"/>
  <c r="D59" i="24" s="1"/>
  <c r="C59" i="24" s="1"/>
  <c r="B60" i="24"/>
  <c r="D60" i="24" s="1"/>
  <c r="C60" i="24" s="1"/>
  <c r="B61" i="24"/>
  <c r="B62" i="24"/>
  <c r="D62" i="24" s="1"/>
  <c r="C62" i="24" s="1"/>
  <c r="B63" i="24"/>
  <c r="B64" i="24"/>
  <c r="D64" i="24" s="1"/>
  <c r="C64" i="24" s="1"/>
  <c r="B65" i="24"/>
  <c r="D65" i="24" s="1"/>
  <c r="C65" i="24" s="1"/>
  <c r="B66" i="24"/>
  <c r="D66" i="24" s="1"/>
  <c r="C66" i="24" s="1"/>
  <c r="B68" i="24"/>
  <c r="D68" i="24" s="1"/>
  <c r="C68" i="24" s="1"/>
  <c r="B69" i="24"/>
  <c r="D69" i="24" s="1"/>
  <c r="C69" i="24" s="1"/>
  <c r="H69" i="3" s="1"/>
  <c r="B70" i="24"/>
  <c r="D70" i="24" s="1"/>
  <c r="C70" i="24" s="1"/>
  <c r="B71" i="24"/>
  <c r="D71" i="24" s="1"/>
  <c r="C71" i="24" s="1"/>
  <c r="B72" i="24"/>
  <c r="D72" i="24" s="1"/>
  <c r="C72" i="24" s="1"/>
  <c r="B73" i="24"/>
  <c r="D73" i="24" s="1"/>
  <c r="C73" i="24" s="1"/>
  <c r="F73" i="23" s="1"/>
  <c r="B75" i="24"/>
  <c r="B76" i="24"/>
  <c r="D76" i="24" s="1"/>
  <c r="C76" i="24" s="1"/>
  <c r="B77" i="24"/>
  <c r="D77" i="24" s="1"/>
  <c r="C77" i="24" s="1"/>
  <c r="B78" i="24"/>
  <c r="D78" i="24" s="1"/>
  <c r="C78" i="24" s="1"/>
  <c r="B80" i="24"/>
  <c r="D80" i="24" s="1"/>
  <c r="C80" i="24" s="1"/>
  <c r="B81" i="24"/>
  <c r="D81" i="24"/>
  <c r="C81" i="24" s="1"/>
  <c r="F81" i="23" s="1"/>
  <c r="B83" i="24"/>
  <c r="D83" i="24" s="1"/>
  <c r="C83" i="24" s="1"/>
  <c r="B84" i="24"/>
  <c r="D84" i="24" s="1"/>
  <c r="C84" i="24" s="1"/>
  <c r="F83" i="23" s="1"/>
  <c r="B85" i="24"/>
  <c r="D85" i="24" s="1"/>
  <c r="C85" i="24" s="1"/>
  <c r="B86" i="24"/>
  <c r="D86" i="24" s="1"/>
  <c r="C86" i="24" s="1"/>
  <c r="H86" i="3" s="1"/>
  <c r="B87" i="24"/>
  <c r="D87" i="24" s="1"/>
  <c r="C87" i="24" s="1"/>
  <c r="B88" i="24"/>
  <c r="B89" i="24"/>
  <c r="D89" i="24" s="1"/>
  <c r="C89" i="24" s="1"/>
  <c r="B91" i="24"/>
  <c r="B94" i="24"/>
  <c r="D94" i="24" s="1"/>
  <c r="C94" i="24" s="1"/>
  <c r="B95" i="24"/>
  <c r="D95" i="24" s="1"/>
  <c r="C95" i="24" s="1"/>
  <c r="B96" i="24"/>
  <c r="D96" i="24" s="1"/>
  <c r="C96" i="24" s="1"/>
  <c r="B97" i="24"/>
  <c r="D97" i="24" s="1"/>
  <c r="C97" i="24" s="1"/>
  <c r="B98" i="24"/>
  <c r="D98" i="24" s="1"/>
  <c r="C98" i="24" s="1"/>
  <c r="B99" i="24"/>
  <c r="B100" i="24"/>
  <c r="D100" i="24" s="1"/>
  <c r="C100" i="24" s="1"/>
  <c r="B101" i="24"/>
  <c r="D101" i="24" s="1"/>
  <c r="C101" i="24" s="1"/>
  <c r="B102" i="24"/>
  <c r="D102" i="24" s="1"/>
  <c r="C102" i="24" s="1"/>
  <c r="B103" i="24"/>
  <c r="D103" i="24" s="1"/>
  <c r="C103" i="24" s="1"/>
  <c r="B104" i="24"/>
  <c r="D104" i="24" s="1"/>
  <c r="C104" i="24" s="1"/>
  <c r="H104" i="3" s="1"/>
  <c r="B105" i="24"/>
  <c r="D105" i="24" s="1"/>
  <c r="C105" i="24" s="1"/>
  <c r="B107" i="24"/>
  <c r="D107" i="24"/>
  <c r="C107" i="24" s="1"/>
  <c r="B108" i="24"/>
  <c r="D108" i="24" s="1"/>
  <c r="C108" i="24" s="1"/>
  <c r="B109" i="24"/>
  <c r="D109" i="24" s="1"/>
  <c r="C109" i="24" s="1"/>
  <c r="F108" i="23" s="1"/>
  <c r="B110" i="24"/>
  <c r="D110" i="24" s="1"/>
  <c r="C110" i="24" s="1"/>
  <c r="B111" i="24"/>
  <c r="D111" i="24" s="1"/>
  <c r="C111" i="24" s="1"/>
  <c r="H111" i="3" s="1"/>
  <c r="B112" i="24"/>
  <c r="D112" i="24" s="1"/>
  <c r="C112" i="24" s="1"/>
  <c r="B113" i="24"/>
  <c r="D113" i="24" s="1"/>
  <c r="C113" i="24" s="1"/>
  <c r="F112" i="23" s="1"/>
  <c r="B114" i="24"/>
  <c r="D114" i="24" s="1"/>
  <c r="C114" i="24" s="1"/>
  <c r="B115" i="24"/>
  <c r="D115" i="24" s="1"/>
  <c r="C115" i="24" s="1"/>
  <c r="F114" i="23" s="1"/>
  <c r="B116" i="24"/>
  <c r="D116" i="24" s="1"/>
  <c r="C116" i="24" s="1"/>
  <c r="B117" i="24"/>
  <c r="D117" i="24" s="1"/>
  <c r="C117" i="24" s="1"/>
  <c r="F116" i="23" s="1"/>
  <c r="B118" i="24"/>
  <c r="D118" i="24" s="1"/>
  <c r="C118" i="24" s="1"/>
  <c r="B119" i="24"/>
  <c r="B120" i="24"/>
  <c r="D120" i="24" s="1"/>
  <c r="C120" i="24" s="1"/>
  <c r="B121" i="24"/>
  <c r="D121" i="24" s="1"/>
  <c r="C121" i="24" s="1"/>
  <c r="H121" i="3" s="1"/>
  <c r="B122" i="24"/>
  <c r="D122" i="24" s="1"/>
  <c r="C122" i="24" s="1"/>
  <c r="B123" i="24"/>
  <c r="D123" i="24" s="1"/>
  <c r="C123" i="24" s="1"/>
  <c r="B124" i="24"/>
  <c r="D124" i="24" s="1"/>
  <c r="C124" i="24" s="1"/>
  <c r="B125" i="24"/>
  <c r="D125" i="24" s="1"/>
  <c r="C125" i="24" s="1"/>
  <c r="B126" i="24"/>
  <c r="B127" i="24"/>
  <c r="D127" i="24" s="1"/>
  <c r="C127" i="24" s="1"/>
  <c r="B128" i="24"/>
  <c r="D128" i="24" s="1"/>
  <c r="C128" i="24" s="1"/>
  <c r="B130" i="24"/>
  <c r="D130" i="24"/>
  <c r="C130" i="24" s="1"/>
  <c r="B131" i="24"/>
  <c r="D131" i="24" s="1"/>
  <c r="C131" i="24" s="1"/>
  <c r="B132" i="24"/>
  <c r="D132" i="24" s="1"/>
  <c r="C132" i="24" s="1"/>
  <c r="B133" i="24"/>
  <c r="D133" i="24" s="1"/>
  <c r="C133" i="24" s="1"/>
  <c r="B134" i="24"/>
  <c r="B135" i="24"/>
  <c r="B137" i="24"/>
  <c r="D137" i="24" s="1"/>
  <c r="C137" i="24" s="1"/>
  <c r="B138" i="24"/>
  <c r="D138" i="24" s="1"/>
  <c r="C138" i="24" s="1"/>
  <c r="F137" i="23" s="1"/>
  <c r="B139" i="24"/>
  <c r="D139" i="24" s="1"/>
  <c r="C139" i="24" s="1"/>
  <c r="B142" i="24"/>
  <c r="D142" i="24" s="1"/>
  <c r="C142" i="24" s="1"/>
  <c r="B143" i="24"/>
  <c r="D143" i="24" s="1"/>
  <c r="C143" i="24" s="1"/>
  <c r="B145" i="24"/>
  <c r="D145" i="24" s="1"/>
  <c r="C145" i="24" s="1"/>
  <c r="H145" i="3" s="1"/>
  <c r="B146" i="24"/>
  <c r="D146" i="24" s="1"/>
  <c r="C146" i="24" s="1"/>
  <c r="B147" i="24"/>
  <c r="D147" i="24" s="1"/>
  <c r="C147" i="24" s="1"/>
  <c r="F146" i="23" s="1"/>
  <c r="B148" i="24"/>
  <c r="D148" i="24" s="1"/>
  <c r="C148" i="24" s="1"/>
  <c r="B149" i="24"/>
  <c r="D149" i="24" s="1"/>
  <c r="C149" i="24" s="1"/>
  <c r="B150" i="24"/>
  <c r="B151" i="24"/>
  <c r="B152" i="24"/>
  <c r="D152" i="24" s="1"/>
  <c r="C152" i="24" s="1"/>
  <c r="B153" i="24"/>
  <c r="D153" i="24" s="1"/>
  <c r="C153" i="24" s="1"/>
  <c r="H153" i="3" s="1"/>
  <c r="B154" i="24"/>
  <c r="B156" i="24"/>
  <c r="C187" i="10"/>
  <c r="A179" i="10"/>
  <c r="A178" i="10"/>
  <c r="A177" i="10"/>
  <c r="A176" i="10"/>
  <c r="A175" i="10"/>
  <c r="A174" i="10"/>
  <c r="A173" i="10"/>
  <c r="A172" i="10"/>
  <c r="A171" i="10"/>
  <c r="C1" i="3"/>
  <c r="K30" i="1"/>
  <c r="I130" i="10"/>
  <c r="J130" i="10" s="1"/>
  <c r="I159" i="10"/>
  <c r="J159" i="10" s="1"/>
  <c r="I157" i="10"/>
  <c r="M157" i="10" s="1"/>
  <c r="I141" i="10"/>
  <c r="M141" i="10" s="1"/>
  <c r="I152" i="10"/>
  <c r="J152" i="10" s="1"/>
  <c r="I144" i="10"/>
  <c r="M144" i="10" s="1"/>
  <c r="B82" i="3"/>
  <c r="B154" i="3"/>
  <c r="B146" i="3"/>
  <c r="B136" i="3"/>
  <c r="B125" i="3"/>
  <c r="B116" i="3"/>
  <c r="B108" i="3"/>
  <c r="B100" i="3"/>
  <c r="B91" i="3"/>
  <c r="B81" i="3"/>
  <c r="B71" i="3"/>
  <c r="B63" i="3"/>
  <c r="B54" i="3"/>
  <c r="B153" i="3"/>
  <c r="B145" i="3"/>
  <c r="B133" i="3"/>
  <c r="B124" i="3"/>
  <c r="B115" i="3"/>
  <c r="B107" i="3"/>
  <c r="B98" i="3"/>
  <c r="B90" i="3"/>
  <c r="B80" i="3"/>
  <c r="B70" i="3"/>
  <c r="B62" i="3"/>
  <c r="B152" i="3"/>
  <c r="B144" i="3"/>
  <c r="B132" i="3"/>
  <c r="B123" i="3"/>
  <c r="B114" i="3"/>
  <c r="B106" i="3"/>
  <c r="B97" i="3"/>
  <c r="B88" i="3"/>
  <c r="B78" i="3"/>
  <c r="B69" i="3"/>
  <c r="B60" i="3"/>
  <c r="B151" i="3"/>
  <c r="B143" i="3"/>
  <c r="B131" i="3"/>
  <c r="B122" i="3"/>
  <c r="B113" i="3"/>
  <c r="B105" i="3"/>
  <c r="B96" i="3"/>
  <c r="B87" i="3"/>
  <c r="B77" i="3"/>
  <c r="B68" i="3"/>
  <c r="B59" i="3"/>
  <c r="B150" i="3"/>
  <c r="B142" i="3"/>
  <c r="B130" i="3"/>
  <c r="B121" i="3"/>
  <c r="B112" i="3"/>
  <c r="B104" i="3"/>
  <c r="B95" i="3"/>
  <c r="B86" i="3"/>
  <c r="B76" i="3"/>
  <c r="B67" i="3"/>
  <c r="B58" i="3"/>
  <c r="B158" i="3"/>
  <c r="B149" i="3"/>
  <c r="B141" i="3"/>
  <c r="B129" i="3"/>
  <c r="B120" i="3"/>
  <c r="B111" i="3"/>
  <c r="B103" i="3"/>
  <c r="B94" i="3"/>
  <c r="B85" i="3"/>
  <c r="B74" i="3"/>
  <c r="B66" i="3"/>
  <c r="B57" i="3"/>
  <c r="B157" i="3"/>
  <c r="B148" i="3"/>
  <c r="B139" i="3"/>
  <c r="B128" i="3"/>
  <c r="B118" i="3"/>
  <c r="B110" i="3"/>
  <c r="B102" i="3"/>
  <c r="B93" i="3"/>
  <c r="B84" i="3"/>
  <c r="B73" i="3"/>
  <c r="B65" i="3"/>
  <c r="B56" i="3"/>
  <c r="B155" i="3"/>
  <c r="B147" i="3"/>
  <c r="B138" i="3"/>
  <c r="B127" i="3"/>
  <c r="B117" i="3"/>
  <c r="B109" i="3"/>
  <c r="B101" i="3"/>
  <c r="B92" i="3"/>
  <c r="B83" i="3"/>
  <c r="B72" i="3"/>
  <c r="B64" i="3"/>
  <c r="B55" i="3"/>
  <c r="I139" i="10"/>
  <c r="J139" i="10" s="1"/>
  <c r="I138" i="10"/>
  <c r="M138" i="10" s="1"/>
  <c r="F179" i="10"/>
  <c r="I163" i="10"/>
  <c r="M163" i="10" s="1"/>
  <c r="I143" i="10"/>
  <c r="J143" i="10" s="1"/>
  <c r="A51" i="5"/>
  <c r="C51" i="5" s="1"/>
  <c r="A148" i="1"/>
  <c r="A141" i="23"/>
  <c r="B141" i="23" s="1"/>
  <c r="A35" i="5"/>
  <c r="D35" i="5" s="1"/>
  <c r="A154" i="1"/>
  <c r="A147" i="23" s="1"/>
  <c r="B147" i="23" s="1"/>
  <c r="A105" i="1"/>
  <c r="A98" i="23" s="1"/>
  <c r="B98" i="23" s="1"/>
  <c r="A87" i="5"/>
  <c r="D87" i="5" s="1"/>
  <c r="A33" i="1"/>
  <c r="B33" i="1" s="1"/>
  <c r="A74" i="5"/>
  <c r="A80" i="1"/>
  <c r="B80" i="1" s="1"/>
  <c r="A19" i="5"/>
  <c r="D19" i="5" s="1"/>
  <c r="A25" i="1"/>
  <c r="I80" i="10"/>
  <c r="M80" i="10" s="1"/>
  <c r="I88" i="10"/>
  <c r="J88" i="10" s="1"/>
  <c r="I92" i="10"/>
  <c r="K92" i="10" s="1"/>
  <c r="I79" i="10"/>
  <c r="J79" i="10" s="1"/>
  <c r="I155" i="10"/>
  <c r="M155" i="10" s="1"/>
  <c r="I142" i="10"/>
  <c r="I166" i="10"/>
  <c r="J166" i="10" s="1"/>
  <c r="M139" i="10"/>
  <c r="I90" i="10"/>
  <c r="I91" i="10"/>
  <c r="I85" i="10"/>
  <c r="I86" i="10"/>
  <c r="I94" i="10"/>
  <c r="I87" i="10"/>
  <c r="K87" i="10" s="1"/>
  <c r="I93" i="10"/>
  <c r="I84" i="10"/>
  <c r="M84" i="10" s="1"/>
  <c r="I76" i="10"/>
  <c r="F175" i="10"/>
  <c r="I78" i="10"/>
  <c r="I81" i="10"/>
  <c r="I82" i="10"/>
  <c r="I77" i="10"/>
  <c r="L77" i="10" s="1"/>
  <c r="I83" i="10"/>
  <c r="A135" i="3"/>
  <c r="I135" i="3" s="1"/>
  <c r="A102" i="3"/>
  <c r="I102" i="3" s="1"/>
  <c r="A36" i="1"/>
  <c r="A108" i="1"/>
  <c r="A101" i="23" s="1"/>
  <c r="B101" i="23" s="1"/>
  <c r="A135" i="5"/>
  <c r="D135" i="5" s="1"/>
  <c r="A125" i="1"/>
  <c r="B125" i="1" s="1"/>
  <c r="A133" i="1"/>
  <c r="A126" i="23" s="1"/>
  <c r="B126" i="23" s="1"/>
  <c r="B133" i="1"/>
  <c r="A127" i="3"/>
  <c r="I127" i="3" s="1"/>
  <c r="A117" i="1"/>
  <c r="B117" i="1" s="1"/>
  <c r="A149" i="1"/>
  <c r="B149" i="1" s="1"/>
  <c r="A94" i="5"/>
  <c r="D94" i="5" s="1"/>
  <c r="A157" i="1"/>
  <c r="B157" i="1" s="1"/>
  <c r="A151" i="3"/>
  <c r="I151" i="3" s="1"/>
  <c r="A119" i="3"/>
  <c r="I119" i="3" s="1"/>
  <c r="A143" i="3"/>
  <c r="I143" i="3" s="1"/>
  <c r="A111" i="3"/>
  <c r="I111" i="3" s="1"/>
  <c r="A67" i="1"/>
  <c r="B67" i="1" s="1"/>
  <c r="A96" i="1"/>
  <c r="B96" i="1" s="1"/>
  <c r="A90" i="5"/>
  <c r="A161" i="1"/>
  <c r="B161" i="1" s="1"/>
  <c r="A113" i="1"/>
  <c r="A76" i="5"/>
  <c r="D76" i="5" s="1"/>
  <c r="A153" i="1"/>
  <c r="A146" i="23" s="1"/>
  <c r="B146" i="23" s="1"/>
  <c r="A123" i="5"/>
  <c r="A115" i="3"/>
  <c r="I115" i="3" s="1"/>
  <c r="A27" i="1"/>
  <c r="A21" i="23" s="1"/>
  <c r="B21" i="23" s="1"/>
  <c r="A118" i="5"/>
  <c r="A23" i="5"/>
  <c r="D23" i="5" s="1"/>
  <c r="A103" i="3"/>
  <c r="I103" i="3" s="1"/>
  <c r="A120" i="5"/>
  <c r="C120" i="5" s="1"/>
  <c r="A112" i="3"/>
  <c r="I112" i="3" s="1"/>
  <c r="A53" i="5"/>
  <c r="C53" i="5" s="1"/>
  <c r="D53" i="3" s="1"/>
  <c r="A85" i="5"/>
  <c r="D85" i="3" s="1"/>
  <c r="A21" i="5"/>
  <c r="D21" i="5" s="1"/>
  <c r="A51" i="1"/>
  <c r="A91" i="1"/>
  <c r="A84" i="23" s="1"/>
  <c r="B84" i="23" s="1"/>
  <c r="A158" i="5"/>
  <c r="A60" i="5"/>
  <c r="D60" i="5" s="1"/>
  <c r="A66" i="1"/>
  <c r="A126" i="3"/>
  <c r="I126" i="3" s="1"/>
  <c r="A82" i="1"/>
  <c r="B82" i="1" s="1"/>
  <c r="A141" i="5"/>
  <c r="D141" i="5" s="1"/>
  <c r="A109" i="5"/>
  <c r="C109" i="5" s="1"/>
  <c r="A139" i="1"/>
  <c r="B139" i="1" s="1"/>
  <c r="A106" i="1"/>
  <c r="B106" i="1" s="1"/>
  <c r="A89" i="5"/>
  <c r="D89" i="5" s="1"/>
  <c r="A104" i="1"/>
  <c r="A65" i="5"/>
  <c r="C65" i="5" s="1"/>
  <c r="A136" i="1"/>
  <c r="A129" i="1"/>
  <c r="B129" i="1" s="1"/>
  <c r="A145" i="1"/>
  <c r="A152" i="1"/>
  <c r="B152" i="1"/>
  <c r="A155" i="5"/>
  <c r="D155" i="5" s="1"/>
  <c r="A62" i="5"/>
  <c r="A118" i="1"/>
  <c r="B118" i="1" s="1"/>
  <c r="A29" i="1"/>
  <c r="B29" i="1" s="1"/>
  <c r="A142" i="1"/>
  <c r="A135" i="23"/>
  <c r="B135" i="23" s="1"/>
  <c r="A93" i="1"/>
  <c r="A86" i="23" s="1"/>
  <c r="B86" i="23" s="1"/>
  <c r="A150" i="1"/>
  <c r="A143" i="23" s="1"/>
  <c r="B143" i="23" s="1"/>
  <c r="A134" i="1"/>
  <c r="A127" i="23" s="1"/>
  <c r="B127" i="23" s="1"/>
  <c r="A109" i="1"/>
  <c r="A126" i="1"/>
  <c r="A119" i="23" s="1"/>
  <c r="B119" i="23" s="1"/>
  <c r="B126" i="1"/>
  <c r="A31" i="5"/>
  <c r="D31" i="5" s="1"/>
  <c r="A78" i="5"/>
  <c r="C78" i="5" s="1"/>
  <c r="A128" i="3"/>
  <c r="I128" i="3" s="1"/>
  <c r="A136" i="3"/>
  <c r="I136" i="3" s="1"/>
  <c r="A144" i="3"/>
  <c r="I144" i="3" s="1"/>
  <c r="A84" i="1"/>
  <c r="A37" i="1"/>
  <c r="B37" i="1" s="1"/>
  <c r="A54" i="5"/>
  <c r="A75" i="1"/>
  <c r="B75" i="1" s="1"/>
  <c r="A69" i="5"/>
  <c r="A52" i="1"/>
  <c r="B52" i="1" s="1"/>
  <c r="A60" i="1"/>
  <c r="A54" i="23" s="1"/>
  <c r="B54" i="23" s="1"/>
  <c r="A83" i="1"/>
  <c r="A77" i="23" s="1"/>
  <c r="B77" i="23" s="1"/>
  <c r="B105" i="1"/>
  <c r="A30" i="5"/>
  <c r="A61" i="5"/>
  <c r="D61" i="5" s="1"/>
  <c r="A77" i="5"/>
  <c r="A46" i="5"/>
  <c r="B131" i="1"/>
  <c r="A124" i="23"/>
  <c r="B124" i="23" s="1"/>
  <c r="A84" i="5"/>
  <c r="C84" i="5" s="1"/>
  <c r="D84" i="5" s="1"/>
  <c r="A147" i="1"/>
  <c r="B147" i="1" s="1"/>
  <c r="A125" i="5"/>
  <c r="A92" i="5"/>
  <c r="D92" i="5" s="1"/>
  <c r="A115" i="1"/>
  <c r="B115" i="1"/>
  <c r="A12" i="5"/>
  <c r="D12" i="5" s="1"/>
  <c r="A123" i="1"/>
  <c r="A125" i="3"/>
  <c r="I125" i="3" s="1"/>
  <c r="A92" i="3"/>
  <c r="I92" i="3" s="1"/>
  <c r="A149" i="5"/>
  <c r="D149" i="5" s="1"/>
  <c r="A117" i="5"/>
  <c r="A18" i="1"/>
  <c r="B18" i="1" s="1"/>
  <c r="A155" i="1"/>
  <c r="B155" i="1" s="1"/>
  <c r="A67" i="5"/>
  <c r="A73" i="1"/>
  <c r="B73" i="1" s="1"/>
  <c r="A133" i="5"/>
  <c r="C133" i="5" s="1"/>
  <c r="D133" i="5" s="1"/>
  <c r="A100" i="5"/>
  <c r="A72" i="5"/>
  <c r="A78" i="1"/>
  <c r="A72" i="23" s="1"/>
  <c r="B72" i="23" s="1"/>
  <c r="A16" i="5"/>
  <c r="D16" i="5" s="1"/>
  <c r="A23" i="1"/>
  <c r="A17" i="23" s="1"/>
  <c r="B17" i="23" s="1"/>
  <c r="A17" i="5"/>
  <c r="C17" i="5" s="1"/>
  <c r="A114" i="3"/>
  <c r="I114" i="3" s="1"/>
  <c r="A14" i="1"/>
  <c r="A61" i="23"/>
  <c r="B61" i="23" s="1"/>
  <c r="A62" i="1"/>
  <c r="B62" i="1" s="1"/>
  <c r="A2" i="5"/>
  <c r="C2" i="5" s="1"/>
  <c r="A2" i="3"/>
  <c r="I2" i="3" s="1"/>
  <c r="A52" i="3"/>
  <c r="I52" i="3" s="1"/>
  <c r="A34" i="5"/>
  <c r="A96" i="3"/>
  <c r="I96" i="3"/>
  <c r="A47" i="1"/>
  <c r="A41" i="23" s="1"/>
  <c r="B41" i="23" s="1"/>
  <c r="A135" i="1"/>
  <c r="A56" i="5"/>
  <c r="D56" i="5" s="1"/>
  <c r="A49" i="5"/>
  <c r="C49" i="5" s="1"/>
  <c r="A25" i="5"/>
  <c r="A56" i="1"/>
  <c r="A153" i="3"/>
  <c r="I153" i="3" s="1"/>
  <c r="A41" i="5"/>
  <c r="D41" i="5" s="1"/>
  <c r="B85" i="1"/>
  <c r="A110" i="1"/>
  <c r="B110" i="1" s="1"/>
  <c r="B4" i="17"/>
  <c r="A3" i="5"/>
  <c r="D3" i="5" s="1"/>
  <c r="A26" i="5"/>
  <c r="D26" i="5" s="1"/>
  <c r="A159" i="1"/>
  <c r="A127" i="1"/>
  <c r="A120" i="23" s="1"/>
  <c r="B120" i="23" s="1"/>
  <c r="A11" i="5"/>
  <c r="D11" i="5" s="1"/>
  <c r="A9" i="1"/>
  <c r="A137" i="5"/>
  <c r="D137" i="5" s="1"/>
  <c r="A70" i="1"/>
  <c r="B70" i="1" s="1"/>
  <c r="A50" i="5"/>
  <c r="A17" i="1"/>
  <c r="A11" i="23"/>
  <c r="B11" i="23" s="1"/>
  <c r="A113" i="3"/>
  <c r="I113" i="3" s="1"/>
  <c r="A64" i="5"/>
  <c r="A88" i="23"/>
  <c r="B88" i="23" s="1"/>
  <c r="A31" i="1"/>
  <c r="A45" i="1"/>
  <c r="B45" i="1" s="1"/>
  <c r="A12" i="1"/>
  <c r="A103" i="1"/>
  <c r="A97" i="3"/>
  <c r="I97" i="3" s="1"/>
  <c r="A105" i="3"/>
  <c r="I105" i="3" s="1"/>
  <c r="A122" i="3"/>
  <c r="I122" i="3"/>
  <c r="A114" i="5"/>
  <c r="A6" i="3"/>
  <c r="I6" i="3" s="1"/>
  <c r="A59" i="3"/>
  <c r="I59" i="3" s="1"/>
  <c r="A89" i="3"/>
  <c r="I89" i="3" s="1"/>
  <c r="A128" i="1"/>
  <c r="A146" i="5"/>
  <c r="A111" i="1"/>
  <c r="A104" i="23" s="1"/>
  <c r="B104" i="23" s="1"/>
  <c r="A130" i="5"/>
  <c r="D130" i="3" s="1"/>
  <c r="A154" i="5"/>
  <c r="A59" i="1"/>
  <c r="B59" i="1" s="1"/>
  <c r="A59" i="5"/>
  <c r="A154" i="3"/>
  <c r="I154" i="3" s="1"/>
  <c r="A109" i="23"/>
  <c r="B109" i="23" s="1"/>
  <c r="B116" i="1"/>
  <c r="A44" i="5"/>
  <c r="A61" i="1"/>
  <c r="A55" i="23" s="1"/>
  <c r="B55" i="23" s="1"/>
  <c r="A119" i="1"/>
  <c r="A73" i="5"/>
  <c r="D73" i="5" s="1"/>
  <c r="A15" i="1"/>
  <c r="A9" i="23" s="1"/>
  <c r="B9" i="23" s="1"/>
  <c r="A79" i="1"/>
  <c r="A142" i="3"/>
  <c r="I142" i="3" s="1"/>
  <c r="A110" i="3"/>
  <c r="I110" i="3" s="1"/>
  <c r="A121" i="5"/>
  <c r="A104" i="5"/>
  <c r="C104" i="5" s="1"/>
  <c r="D104" i="3" s="1"/>
  <c r="B148" i="1"/>
  <c r="A68" i="5"/>
  <c r="A32" i="5"/>
  <c r="C32" i="5" s="1"/>
  <c r="A55" i="1"/>
  <c r="A99" i="1"/>
  <c r="A132" i="1"/>
  <c r="A156" i="1"/>
  <c r="A149" i="23" s="1"/>
  <c r="B149" i="23" s="1"/>
  <c r="A110" i="5"/>
  <c r="C110" i="5" s="1"/>
  <c r="D110" i="3" s="1"/>
  <c r="A38" i="1"/>
  <c r="A164" i="1"/>
  <c r="A134" i="3"/>
  <c r="I134" i="3" s="1"/>
  <c r="A101" i="3"/>
  <c r="I101" i="3" s="1"/>
  <c r="C153" i="3"/>
  <c r="A35" i="1"/>
  <c r="A20" i="5"/>
  <c r="D20" i="5" s="1"/>
  <c r="A32" i="1"/>
  <c r="B32" i="1" s="1"/>
  <c r="A140" i="1"/>
  <c r="B140" i="1"/>
  <c r="A50" i="1"/>
  <c r="B50" i="1" s="1"/>
  <c r="A13" i="1"/>
  <c r="A7" i="23" s="1"/>
  <c r="B7" i="23" s="1"/>
  <c r="A29" i="5"/>
  <c r="A107" i="1"/>
  <c r="A102" i="1"/>
  <c r="B102" i="1" s="1"/>
  <c r="A124" i="1"/>
  <c r="B124" i="1" s="1"/>
  <c r="A41" i="1"/>
  <c r="B41" i="1" s="1"/>
  <c r="A143" i="1"/>
  <c r="A136" i="23" s="1"/>
  <c r="B136" i="23" s="1"/>
  <c r="A7" i="5"/>
  <c r="D7" i="5" s="1"/>
  <c r="A9" i="5"/>
  <c r="C9" i="5" s="1"/>
  <c r="D9" i="3" s="1"/>
  <c r="A92" i="1"/>
  <c r="A85" i="23" s="1"/>
  <c r="B85" i="23" s="1"/>
  <c r="A145" i="3"/>
  <c r="I145" i="3" s="1"/>
  <c r="A150" i="3"/>
  <c r="I150" i="3" s="1"/>
  <c r="A93" i="3"/>
  <c r="I93" i="3" s="1"/>
  <c r="A129" i="5"/>
  <c r="A10" i="1"/>
  <c r="A4" i="5"/>
  <c r="A86" i="5"/>
  <c r="A139" i="23"/>
  <c r="B139" i="23" s="1"/>
  <c r="A106" i="23"/>
  <c r="B106" i="23" s="1"/>
  <c r="B113" i="1"/>
  <c r="A106" i="3"/>
  <c r="I106" i="3" s="1"/>
  <c r="A112" i="1"/>
  <c r="A105" i="23" s="1"/>
  <c r="B105" i="23" s="1"/>
  <c r="A28" i="5"/>
  <c r="C28" i="5" s="1"/>
  <c r="D28" i="3" s="1"/>
  <c r="A16" i="1"/>
  <c r="A10" i="23" s="1"/>
  <c r="B10" i="23" s="1"/>
  <c r="A10" i="5"/>
  <c r="A33" i="3"/>
  <c r="I33" i="3" s="1"/>
  <c r="A39" i="1"/>
  <c r="B39" i="1" s="1"/>
  <c r="A75" i="3"/>
  <c r="I75" i="3"/>
  <c r="A81" i="1"/>
  <c r="B81" i="1" s="1"/>
  <c r="A75" i="5"/>
  <c r="D75" i="5" s="1"/>
  <c r="C110" i="1"/>
  <c r="A91" i="3"/>
  <c r="I91" i="3" s="1"/>
  <c r="A91" i="5"/>
  <c r="D91" i="3" s="1"/>
  <c r="A97" i="1"/>
  <c r="A90" i="23" s="1"/>
  <c r="B90" i="23" s="1"/>
  <c r="A108" i="5"/>
  <c r="C108" i="5" s="1"/>
  <c r="D108" i="3" s="1"/>
  <c r="A108" i="3"/>
  <c r="I108" i="3" s="1"/>
  <c r="A114" i="1"/>
  <c r="A107" i="23" s="1"/>
  <c r="B107" i="23" s="1"/>
  <c r="A122" i="1"/>
  <c r="A116" i="5"/>
  <c r="A116" i="3"/>
  <c r="I116" i="3" s="1"/>
  <c r="A140" i="5"/>
  <c r="D140" i="5" s="1"/>
  <c r="A140" i="3"/>
  <c r="I140" i="3" s="1"/>
  <c r="A162" i="1"/>
  <c r="A155" i="23" s="1"/>
  <c r="B155" i="23" s="1"/>
  <c r="A156" i="5"/>
  <c r="C156" i="5" s="1"/>
  <c r="D156" i="5" s="1"/>
  <c r="A156" i="3"/>
  <c r="I156" i="3" s="1"/>
  <c r="C94" i="1"/>
  <c r="C95" i="3"/>
  <c r="A48" i="5"/>
  <c r="C48" i="5" s="1"/>
  <c r="A54" i="1"/>
  <c r="A48" i="23" s="1"/>
  <c r="B48" i="23" s="1"/>
  <c r="A66" i="3"/>
  <c r="I66" i="3" s="1"/>
  <c r="A66" i="5"/>
  <c r="C66" i="5" s="1"/>
  <c r="A72" i="1"/>
  <c r="A66" i="23" s="1"/>
  <c r="B66" i="23" s="1"/>
  <c r="A14" i="3"/>
  <c r="I14" i="3" s="1"/>
  <c r="A20" i="1"/>
  <c r="A30" i="1"/>
  <c r="B30" i="1" s="1"/>
  <c r="A2" i="23"/>
  <c r="B2" i="23" s="1"/>
  <c r="A58" i="1"/>
  <c r="B58" i="1" s="1"/>
  <c r="A15" i="3"/>
  <c r="I15" i="3" s="1"/>
  <c r="A21" i="1"/>
  <c r="B21" i="1" s="1"/>
  <c r="A15" i="5"/>
  <c r="D15" i="5" s="1"/>
  <c r="A37" i="3"/>
  <c r="I37" i="3"/>
  <c r="A43" i="1"/>
  <c r="A37" i="23" s="1"/>
  <c r="B37" i="23" s="1"/>
  <c r="A37" i="5"/>
  <c r="D37" i="5" s="1"/>
  <c r="A81" i="3"/>
  <c r="I81" i="3" s="1"/>
  <c r="A87" i="1"/>
  <c r="A81" i="5"/>
  <c r="D81" i="5" s="1"/>
  <c r="A33" i="5"/>
  <c r="C33" i="5" s="1"/>
  <c r="A5" i="3"/>
  <c r="I5" i="3" s="1"/>
  <c r="A11" i="1"/>
  <c r="B11" i="1" s="1"/>
  <c r="A10" i="3"/>
  <c r="I10" i="3" s="1"/>
  <c r="A38" i="3"/>
  <c r="I38" i="3" s="1"/>
  <c r="A44" i="1"/>
  <c r="A38" i="5"/>
  <c r="C38" i="5" s="1"/>
  <c r="A57" i="3"/>
  <c r="I57" i="3" s="1"/>
  <c r="A63" i="1"/>
  <c r="B63" i="1" s="1"/>
  <c r="A147" i="3"/>
  <c r="I147" i="3" s="1"/>
  <c r="A107" i="5"/>
  <c r="C107" i="5" s="1"/>
  <c r="D107" i="3" s="1"/>
  <c r="A98" i="3"/>
  <c r="I98" i="3" s="1"/>
  <c r="A121" i="1"/>
  <c r="A139" i="5"/>
  <c r="A137" i="1"/>
  <c r="B137" i="1" s="1"/>
  <c r="A80" i="5"/>
  <c r="C80" i="5" s="1"/>
  <c r="A131" i="3"/>
  <c r="I131" i="3" s="1"/>
  <c r="A86" i="1"/>
  <c r="B86" i="1" s="1"/>
  <c r="B141" i="1"/>
  <c r="B65" i="1"/>
  <c r="A59" i="23"/>
  <c r="B59" i="23" s="1"/>
  <c r="B101" i="1"/>
  <c r="A94" i="23"/>
  <c r="B94" i="23" s="1"/>
  <c r="A30" i="23"/>
  <c r="B30" i="23" s="1"/>
  <c r="B36" i="1"/>
  <c r="B100" i="1"/>
  <c r="A79" i="3"/>
  <c r="I79" i="3" s="1"/>
  <c r="A79" i="5"/>
  <c r="C79" i="5" s="1"/>
  <c r="A71" i="3"/>
  <c r="I71" i="3" s="1"/>
  <c r="A77" i="1"/>
  <c r="A71" i="23" s="1"/>
  <c r="B71" i="23" s="1"/>
  <c r="B35" i="5"/>
  <c r="C35" i="3"/>
  <c r="B5" i="17"/>
  <c r="A63" i="3"/>
  <c r="I63" i="3" s="1"/>
  <c r="A163" i="1"/>
  <c r="A156" i="23" s="1"/>
  <c r="B156" i="23" s="1"/>
  <c r="A157" i="3"/>
  <c r="I157" i="3" s="1"/>
  <c r="A157" i="5"/>
  <c r="C157" i="5" s="1"/>
  <c r="A88" i="1"/>
  <c r="A82" i="5"/>
  <c r="D82" i="3" s="1"/>
  <c r="C41" i="1"/>
  <c r="B32" i="5"/>
  <c r="M79" i="10"/>
  <c r="M166" i="10"/>
  <c r="M142" i="10"/>
  <c r="J142" i="10"/>
  <c r="M83" i="10"/>
  <c r="J83" i="10"/>
  <c r="L93" i="10"/>
  <c r="K93" i="10"/>
  <c r="J93" i="10"/>
  <c r="M93" i="10"/>
  <c r="M82" i="10"/>
  <c r="J82" i="10"/>
  <c r="M94" i="10"/>
  <c r="J94" i="10"/>
  <c r="J86" i="10"/>
  <c r="M86" i="10"/>
  <c r="J85" i="10"/>
  <c r="M85" i="10"/>
  <c r="M91" i="10"/>
  <c r="J91" i="10"/>
  <c r="J81" i="10"/>
  <c r="M81" i="10"/>
  <c r="J78" i="10"/>
  <c r="M78" i="10"/>
  <c r="M76" i="10"/>
  <c r="J76" i="10"/>
  <c r="M90" i="10"/>
  <c r="J90" i="10"/>
  <c r="B108" i="1"/>
  <c r="A89" i="23"/>
  <c r="B89" i="23" s="1"/>
  <c r="A99" i="23"/>
  <c r="B99" i="23" s="1"/>
  <c r="B27" i="1"/>
  <c r="A145" i="23"/>
  <c r="B145" i="23" s="1"/>
  <c r="B71" i="1"/>
  <c r="B51" i="1"/>
  <c r="B153" i="1"/>
  <c r="B83" i="1"/>
  <c r="A111" i="23"/>
  <c r="B111" i="23" s="1"/>
  <c r="A122" i="23"/>
  <c r="B122" i="23" s="1"/>
  <c r="B111" i="1"/>
  <c r="A53" i="23"/>
  <c r="B53" i="23" s="1"/>
  <c r="B60" i="1"/>
  <c r="B150" i="1"/>
  <c r="A46" i="23"/>
  <c r="B46" i="23" s="1"/>
  <c r="B134" i="1"/>
  <c r="A108" i="23"/>
  <c r="B108" i="23" s="1"/>
  <c r="B142" i="1"/>
  <c r="B123" i="1"/>
  <c r="B79" i="1"/>
  <c r="B78" i="1"/>
  <c r="B17" i="1"/>
  <c r="A133" i="23"/>
  <c r="B133" i="23" s="1"/>
  <c r="B112" i="1"/>
  <c r="B127" i="1"/>
  <c r="B128" i="1"/>
  <c r="A121" i="23"/>
  <c r="B121" i="23" s="1"/>
  <c r="A44" i="23"/>
  <c r="B44" i="23" s="1"/>
  <c r="A6" i="23"/>
  <c r="B6" i="23" s="1"/>
  <c r="B12" i="1"/>
  <c r="B31" i="1"/>
  <c r="A25" i="23"/>
  <c r="B25" i="23" s="1"/>
  <c r="A100" i="23"/>
  <c r="B100" i="23" s="1"/>
  <c r="B107" i="1"/>
  <c r="B92" i="1"/>
  <c r="B15" i="1"/>
  <c r="B143" i="1"/>
  <c r="A33" i="23"/>
  <c r="B33" i="23" s="1"/>
  <c r="A35" i="23"/>
  <c r="B35" i="23" s="1"/>
  <c r="B26" i="1"/>
  <c r="B119" i="1"/>
  <c r="A112" i="23"/>
  <c r="B112" i="23" s="1"/>
  <c r="B38" i="1"/>
  <c r="A32" i="23"/>
  <c r="B32" i="23" s="1"/>
  <c r="B16" i="1"/>
  <c r="A81" i="23"/>
  <c r="B81" i="23" s="1"/>
  <c r="B87" i="1"/>
  <c r="A130" i="23"/>
  <c r="B130" i="23" s="1"/>
  <c r="A14" i="23"/>
  <c r="B14" i="23" s="1"/>
  <c r="B97" i="1"/>
  <c r="A75" i="23"/>
  <c r="B75" i="23" s="1"/>
  <c r="A57" i="23"/>
  <c r="B57" i="23" s="1"/>
  <c r="B43" i="1"/>
  <c r="B72" i="1"/>
  <c r="A38" i="23"/>
  <c r="B38" i="23" s="1"/>
  <c r="B44" i="1"/>
  <c r="A115" i="23"/>
  <c r="B115" i="23" s="1"/>
  <c r="B122" i="1"/>
  <c r="A52" i="23"/>
  <c r="B52" i="23" s="1"/>
  <c r="B88" i="1"/>
  <c r="K94" i="10"/>
  <c r="L91" i="10"/>
  <c r="K138" i="10"/>
  <c r="K142" i="10"/>
  <c r="K144" i="10"/>
  <c r="L143" i="10"/>
  <c r="K82" i="10"/>
  <c r="K88" i="10"/>
  <c r="L81" i="10"/>
  <c r="L86" i="10"/>
  <c r="L83" i="10"/>
  <c r="K90" i="10"/>
  <c r="L159" i="10"/>
  <c r="K76" i="10"/>
  <c r="L76" i="10"/>
  <c r="K80" i="10"/>
  <c r="L80" i="10"/>
  <c r="L79" i="10"/>
  <c r="K79" i="10"/>
  <c r="K85" i="10"/>
  <c r="L85" i="10"/>
  <c r="K78" i="10"/>
  <c r="L78" i="10"/>
  <c r="K83" i="10"/>
  <c r="C188" i="10"/>
  <c r="L94" i="10"/>
  <c r="K91" i="10"/>
  <c r="L90" i="10"/>
  <c r="L139" i="10"/>
  <c r="L138" i="10"/>
  <c r="F140" i="10" s="1"/>
  <c r="C178" i="10" s="1"/>
  <c r="L142" i="10"/>
  <c r="K159" i="10"/>
  <c r="L82" i="10"/>
  <c r="K166" i="10"/>
  <c r="K81" i="10"/>
  <c r="K86" i="10"/>
  <c r="L88" i="10"/>
  <c r="L144" i="10"/>
  <c r="B187" i="10"/>
  <c r="B193" i="10"/>
  <c r="B188" i="10"/>
  <c r="K139" i="10"/>
  <c r="E140" i="10" s="1"/>
  <c r="B178" i="10" s="1"/>
  <c r="B192" i="10"/>
  <c r="K143" i="10" l="1"/>
  <c r="K157" i="10"/>
  <c r="L157" i="10"/>
  <c r="L166" i="10"/>
  <c r="L152" i="10"/>
  <c r="L141" i="10"/>
  <c r="K141" i="10"/>
  <c r="K152" i="10"/>
  <c r="L130" i="10"/>
  <c r="F176" i="10"/>
  <c r="I122" i="10"/>
  <c r="I114" i="10"/>
  <c r="I106" i="10"/>
  <c r="I98" i="10"/>
  <c r="I121" i="10"/>
  <c r="I113" i="10"/>
  <c r="I105" i="10"/>
  <c r="I97" i="10"/>
  <c r="I120" i="10"/>
  <c r="I112" i="10"/>
  <c r="I104" i="10"/>
  <c r="I96" i="10"/>
  <c r="I111" i="10"/>
  <c r="I103" i="10"/>
  <c r="I110" i="10"/>
  <c r="I102" i="10"/>
  <c r="I117" i="10"/>
  <c r="I109" i="10"/>
  <c r="I101" i="10"/>
  <c r="I116" i="10"/>
  <c r="I108" i="10"/>
  <c r="J108" i="10" s="1"/>
  <c r="I100" i="10"/>
  <c r="I115" i="10"/>
  <c r="J115" i="10" s="1"/>
  <c r="I107" i="10"/>
  <c r="I99" i="10"/>
  <c r="I119" i="10"/>
  <c r="K119" i="10" s="1"/>
  <c r="I118" i="10"/>
  <c r="K84" i="10"/>
  <c r="J84" i="10"/>
  <c r="L84" i="10"/>
  <c r="I53" i="10"/>
  <c r="M53" i="10" s="1"/>
  <c r="I49" i="10"/>
  <c r="M49" i="10" s="1"/>
  <c r="I33" i="10"/>
  <c r="M33" i="10" s="1"/>
  <c r="I55" i="10"/>
  <c r="M55" i="10" s="1"/>
  <c r="H41" i="3"/>
  <c r="H92" i="3"/>
  <c r="C64" i="2"/>
  <c r="C70" i="1" s="1"/>
  <c r="C73" i="2"/>
  <c r="C73" i="3" s="1"/>
  <c r="C116" i="2"/>
  <c r="C122" i="1" s="1"/>
  <c r="C136" i="2"/>
  <c r="B136" i="5" s="1"/>
  <c r="C27" i="2"/>
  <c r="C27" i="3" s="1"/>
  <c r="C55" i="2"/>
  <c r="B55" i="5" s="1"/>
  <c r="C29" i="2"/>
  <c r="C29" i="3" s="1"/>
  <c r="C72" i="2"/>
  <c r="C78" i="1" s="1"/>
  <c r="C112" i="2"/>
  <c r="C112" i="3" s="1"/>
  <c r="C74" i="2"/>
  <c r="B74" i="5" s="1"/>
  <c r="C82" i="2"/>
  <c r="B82" i="5" s="1"/>
  <c r="C152" i="2"/>
  <c r="B152" i="5" s="1"/>
  <c r="C31" i="2"/>
  <c r="C37" i="1" s="1"/>
  <c r="C47" i="2"/>
  <c r="B47" i="5" s="1"/>
  <c r="C58" i="2"/>
  <c r="B58" i="5" s="1"/>
  <c r="C103" i="2"/>
  <c r="B103" i="5" s="1"/>
  <c r="C40" i="2"/>
  <c r="C46" i="1" s="1"/>
  <c r="C96" i="2"/>
  <c r="C102" i="1" s="1"/>
  <c r="C109" i="2"/>
  <c r="C118" i="2"/>
  <c r="C118" i="3" s="1"/>
  <c r="C146" i="2"/>
  <c r="B146" i="5" s="1"/>
  <c r="C20" i="2"/>
  <c r="C26" i="1" s="1"/>
  <c r="C59" i="2"/>
  <c r="B59" i="5" s="1"/>
  <c r="C91" i="2"/>
  <c r="B91" i="5" s="1"/>
  <c r="C141" i="2"/>
  <c r="C147" i="1" s="1"/>
  <c r="C10" i="2"/>
  <c r="B10" i="5" s="1"/>
  <c r="C41" i="2"/>
  <c r="C47" i="1" s="1"/>
  <c r="C68" i="2"/>
  <c r="B68" i="5" s="1"/>
  <c r="C76" i="2"/>
  <c r="C76" i="3" s="1"/>
  <c r="C127" i="2"/>
  <c r="C133" i="1" s="1"/>
  <c r="C21" i="2"/>
  <c r="C21" i="3" s="1"/>
  <c r="C50" i="2"/>
  <c r="C56" i="1" s="1"/>
  <c r="C145" i="2"/>
  <c r="B145" i="5" s="1"/>
  <c r="C11" i="2"/>
  <c r="B11" i="5" s="1"/>
  <c r="C110" i="2"/>
  <c r="B110" i="5" s="1"/>
  <c r="C51" i="2"/>
  <c r="B51" i="5" s="1"/>
  <c r="C83" i="2"/>
  <c r="B83" i="5" s="1"/>
  <c r="C155" i="2"/>
  <c r="C161" i="1" s="1"/>
  <c r="C71" i="2"/>
  <c r="C77" i="1" s="1"/>
  <c r="C79" i="2"/>
  <c r="B79" i="5" s="1"/>
  <c r="C135" i="2"/>
  <c r="C156" i="2"/>
  <c r="C156" i="3" s="1"/>
  <c r="C24" i="2"/>
  <c r="B24" i="5" s="1"/>
  <c r="C67" i="2"/>
  <c r="B67" i="5" s="1"/>
  <c r="C84" i="2"/>
  <c r="C90" i="1" s="1"/>
  <c r="D90" i="1" s="1"/>
  <c r="C3" i="2"/>
  <c r="B3" i="5" s="1"/>
  <c r="C13" i="2"/>
  <c r="B13" i="5" s="1"/>
  <c r="C44" i="2"/>
  <c r="C44" i="3" s="1"/>
  <c r="C80" i="2"/>
  <c r="C86" i="1" s="1"/>
  <c r="C123" i="2"/>
  <c r="C123" i="3" s="1"/>
  <c r="C43" i="2"/>
  <c r="C49" i="1" s="1"/>
  <c r="C64" i="3"/>
  <c r="B88" i="5"/>
  <c r="B57" i="5"/>
  <c r="C135" i="1"/>
  <c r="C15" i="3"/>
  <c r="C129" i="1"/>
  <c r="B112" i="5"/>
  <c r="D51" i="5"/>
  <c r="I131" i="10"/>
  <c r="F177" i="10"/>
  <c r="K130" i="10"/>
  <c r="I133" i="10"/>
  <c r="L133" i="10" s="1"/>
  <c r="L92" i="10"/>
  <c r="J77" i="10"/>
  <c r="J92" i="10"/>
  <c r="M92" i="10"/>
  <c r="L87" i="10"/>
  <c r="M88" i="10"/>
  <c r="I61" i="10"/>
  <c r="I74" i="10"/>
  <c r="I70" i="10"/>
  <c r="I65" i="10"/>
  <c r="I67" i="10"/>
  <c r="K67" i="10" s="1"/>
  <c r="I73" i="10"/>
  <c r="I68" i="10"/>
  <c r="I64" i="10"/>
  <c r="I66" i="10"/>
  <c r="I71" i="10"/>
  <c r="I72" i="10"/>
  <c r="M72" i="10" s="1"/>
  <c r="I62" i="10"/>
  <c r="I63" i="10"/>
  <c r="M63" i="10" s="1"/>
  <c r="I69" i="10"/>
  <c r="M69" i="10" s="1"/>
  <c r="L49" i="10"/>
  <c r="J2" i="10"/>
  <c r="D32" i="10" s="1"/>
  <c r="I32" i="10"/>
  <c r="C148" i="3"/>
  <c r="B148" i="5"/>
  <c r="C137" i="3"/>
  <c r="B137" i="5"/>
  <c r="C125" i="1"/>
  <c r="B119" i="5"/>
  <c r="B39" i="5"/>
  <c r="C36" i="3"/>
  <c r="H102" i="3"/>
  <c r="B130" i="1"/>
  <c r="A123" i="23"/>
  <c r="B123" i="23" s="1"/>
  <c r="B138" i="1"/>
  <c r="A131" i="23"/>
  <c r="B131" i="23" s="1"/>
  <c r="D98" i="5"/>
  <c r="D98" i="3"/>
  <c r="D119" i="5"/>
  <c r="D119" i="3"/>
  <c r="D70" i="5"/>
  <c r="D70" i="3"/>
  <c r="A16" i="23"/>
  <c r="B16" i="23" s="1"/>
  <c r="B22" i="1"/>
  <c r="A58" i="23"/>
  <c r="B58" i="23" s="1"/>
  <c r="B64" i="1"/>
  <c r="C86" i="5"/>
  <c r="D86" i="3" s="1"/>
  <c r="A76" i="1"/>
  <c r="A80" i="23"/>
  <c r="B80" i="23" s="1"/>
  <c r="B156" i="1"/>
  <c r="A26" i="23"/>
  <c r="B26" i="23" s="1"/>
  <c r="B54" i="1"/>
  <c r="B47" i="1"/>
  <c r="C129" i="5"/>
  <c r="D129" i="3" s="1"/>
  <c r="A19" i="1"/>
  <c r="C68" i="5"/>
  <c r="D68" i="3" s="1"/>
  <c r="A144" i="23"/>
  <c r="B144" i="23" s="1"/>
  <c r="C59" i="5"/>
  <c r="D59" i="3" s="1"/>
  <c r="A94" i="1"/>
  <c r="A64" i="23"/>
  <c r="B64" i="23" s="1"/>
  <c r="A132" i="23"/>
  <c r="B132" i="23" s="1"/>
  <c r="A124" i="5"/>
  <c r="A26" i="3"/>
  <c r="I26" i="3" s="1"/>
  <c r="A78" i="3"/>
  <c r="I78" i="3" s="1"/>
  <c r="A98" i="1"/>
  <c r="C111" i="5"/>
  <c r="D111" i="3" s="1"/>
  <c r="C128" i="5"/>
  <c r="D128" i="3" s="1"/>
  <c r="A142" i="5"/>
  <c r="D12" i="3"/>
  <c r="D37" i="3"/>
  <c r="D56" i="3"/>
  <c r="D76" i="3"/>
  <c r="D92" i="3"/>
  <c r="D102" i="3"/>
  <c r="D133" i="3"/>
  <c r="D91" i="5"/>
  <c r="G97" i="1" s="1"/>
  <c r="I97" i="1" s="1"/>
  <c r="H97" i="1" s="1"/>
  <c r="D130" i="5"/>
  <c r="B162" i="1"/>
  <c r="C116" i="5"/>
  <c r="D116" i="3" s="1"/>
  <c r="A40" i="1"/>
  <c r="A48" i="1"/>
  <c r="C67" i="5"/>
  <c r="D67" i="3" s="1"/>
  <c r="C158" i="5"/>
  <c r="D158" i="3" s="1"/>
  <c r="A27" i="5"/>
  <c r="A5" i="5"/>
  <c r="C5" i="5" s="1"/>
  <c r="D5" i="3" s="1"/>
  <c r="A16" i="3"/>
  <c r="I16" i="3" s="1"/>
  <c r="A39" i="3"/>
  <c r="I39" i="3" s="1"/>
  <c r="A55" i="3"/>
  <c r="I55" i="3" s="1"/>
  <c r="C143" i="5"/>
  <c r="D143" i="3" s="1"/>
  <c r="A149" i="3"/>
  <c r="I149" i="3" s="1"/>
  <c r="D14" i="3"/>
  <c r="D23" i="3"/>
  <c r="D81" i="3"/>
  <c r="D93" i="3"/>
  <c r="C10" i="5"/>
  <c r="D10" i="3" s="1"/>
  <c r="C64" i="5"/>
  <c r="D64" i="3" s="1"/>
  <c r="A8" i="5"/>
  <c r="C69" i="5"/>
  <c r="D69" i="3" s="1"/>
  <c r="A158" i="1"/>
  <c r="F106" i="23"/>
  <c r="A100" i="3"/>
  <c r="I100" i="3" s="1"/>
  <c r="A107" i="3"/>
  <c r="I107" i="3" s="1"/>
  <c r="A137" i="3"/>
  <c r="I137" i="3" s="1"/>
  <c r="A144" i="5"/>
  <c r="D15" i="3"/>
  <c r="D26" i="3"/>
  <c r="D41" i="3"/>
  <c r="D60" i="3"/>
  <c r="D84" i="3"/>
  <c r="D94" i="3"/>
  <c r="D112" i="3"/>
  <c r="D135" i="3"/>
  <c r="D82" i="5"/>
  <c r="G88" i="1" s="1"/>
  <c r="I88" i="1" s="1"/>
  <c r="H88" i="1" s="1"/>
  <c r="A63" i="5"/>
  <c r="C63" i="5" s="1"/>
  <c r="D63" i="3" s="1"/>
  <c r="A24" i="5"/>
  <c r="B61" i="1"/>
  <c r="A138" i="3"/>
  <c r="I138" i="3" s="1"/>
  <c r="C154" i="5"/>
  <c r="D154" i="3" s="1"/>
  <c r="A88" i="5"/>
  <c r="C25" i="5"/>
  <c r="D25" i="3" s="1"/>
  <c r="C77" i="5"/>
  <c r="D77" i="3" s="1"/>
  <c r="A152" i="3"/>
  <c r="I152" i="3" s="1"/>
  <c r="A95" i="5"/>
  <c r="C95" i="5" s="1"/>
  <c r="A95" i="3"/>
  <c r="I95" i="3" s="1"/>
  <c r="A23" i="3"/>
  <c r="I23" i="3" s="1"/>
  <c r="A28" i="3"/>
  <c r="I28" i="3" s="1"/>
  <c r="A47" i="3"/>
  <c r="I47" i="3" s="1"/>
  <c r="A70" i="3"/>
  <c r="I70" i="3" s="1"/>
  <c r="A94" i="3"/>
  <c r="I94" i="3" s="1"/>
  <c r="A101" i="5"/>
  <c r="G108" i="1" s="1"/>
  <c r="I108" i="1" s="1"/>
  <c r="H108" i="1" s="1"/>
  <c r="A113" i="23"/>
  <c r="B113" i="23" s="1"/>
  <c r="A131" i="5"/>
  <c r="C131" i="5" s="1"/>
  <c r="D131" i="5" s="1"/>
  <c r="G137" i="1" s="1"/>
  <c r="D3" i="3"/>
  <c r="D16" i="3"/>
  <c r="D61" i="3"/>
  <c r="D149" i="3"/>
  <c r="C121" i="5"/>
  <c r="D121" i="3" s="1"/>
  <c r="C114" i="5"/>
  <c r="D114" i="3" s="1"/>
  <c r="C54" i="5"/>
  <c r="D54" i="3" s="1"/>
  <c r="C74" i="5"/>
  <c r="D74" i="3" s="1"/>
  <c r="C152" i="5"/>
  <c r="D152" i="3" s="1"/>
  <c r="A63" i="23"/>
  <c r="B63" i="23" s="1"/>
  <c r="A19" i="3"/>
  <c r="I19" i="3" s="1"/>
  <c r="A35" i="3"/>
  <c r="I35" i="3" s="1"/>
  <c r="A48" i="3"/>
  <c r="I48" i="3" s="1"/>
  <c r="C71" i="5"/>
  <c r="D71" i="3" s="1"/>
  <c r="A146" i="3"/>
  <c r="I146" i="3" s="1"/>
  <c r="D7" i="3"/>
  <c r="D19" i="3"/>
  <c r="D31" i="3"/>
  <c r="D51" i="3"/>
  <c r="D140" i="3"/>
  <c r="D155" i="3"/>
  <c r="C34" i="5"/>
  <c r="D34" i="5" s="1"/>
  <c r="C72" i="5"/>
  <c r="D72" i="3" s="1"/>
  <c r="C117" i="5"/>
  <c r="D117" i="3" s="1"/>
  <c r="C118" i="5"/>
  <c r="D118" i="3" s="1"/>
  <c r="H19" i="3"/>
  <c r="A58" i="3"/>
  <c r="I58" i="3" s="1"/>
  <c r="C132" i="1"/>
  <c r="A132" i="3"/>
  <c r="I132" i="3" s="1"/>
  <c r="C44" i="5"/>
  <c r="D44" i="3" s="1"/>
  <c r="C125" i="5"/>
  <c r="D125" i="3" s="1"/>
  <c r="B77" i="1"/>
  <c r="A15" i="23"/>
  <c r="B15" i="23" s="1"/>
  <c r="A117" i="23"/>
  <c r="B117" i="23" s="1"/>
  <c r="A56" i="23"/>
  <c r="B56" i="23" s="1"/>
  <c r="A154" i="23"/>
  <c r="B154" i="23" s="1"/>
  <c r="B126" i="5"/>
  <c r="A150" i="23"/>
  <c r="B150" i="23" s="1"/>
  <c r="A132" i="5"/>
  <c r="C132" i="5" s="1"/>
  <c r="A34" i="1"/>
  <c r="A13" i="5"/>
  <c r="C13" i="5" s="1"/>
  <c r="D13" i="3" s="1"/>
  <c r="A47" i="5"/>
  <c r="C146" i="5"/>
  <c r="D146" i="3" s="1"/>
  <c r="C50" i="5"/>
  <c r="D50" i="3" s="1"/>
  <c r="A74" i="23"/>
  <c r="B74" i="23" s="1"/>
  <c r="A28" i="1"/>
  <c r="B28" i="1" s="1"/>
  <c r="A57" i="1"/>
  <c r="A30" i="3"/>
  <c r="I30" i="3" s="1"/>
  <c r="A36" i="3"/>
  <c r="I36" i="3" s="1"/>
  <c r="C103" i="5"/>
  <c r="D103" i="3" s="1"/>
  <c r="C115" i="5"/>
  <c r="D115" i="3" s="1"/>
  <c r="C147" i="5"/>
  <c r="D147" i="3" s="1"/>
  <c r="D20" i="3"/>
  <c r="D35" i="3"/>
  <c r="D52" i="3"/>
  <c r="D73" i="3"/>
  <c r="D89" i="3"/>
  <c r="D99" i="3"/>
  <c r="D127" i="3"/>
  <c r="D141" i="3"/>
  <c r="D156" i="3"/>
  <c r="C90" i="5"/>
  <c r="D90" i="3" s="1"/>
  <c r="A124" i="3"/>
  <c r="I124" i="3" s="1"/>
  <c r="A148" i="23"/>
  <c r="B148" i="23" s="1"/>
  <c r="A138" i="5"/>
  <c r="C138" i="5" s="1"/>
  <c r="D138" i="3" s="1"/>
  <c r="C100" i="5"/>
  <c r="D100" i="5" s="1"/>
  <c r="A24" i="23"/>
  <c r="B24" i="23" s="1"/>
  <c r="B114" i="1"/>
  <c r="A95" i="23"/>
  <c r="B95" i="23" s="1"/>
  <c r="A39" i="23"/>
  <c r="B39" i="23" s="1"/>
  <c r="B153" i="5"/>
  <c r="A103" i="23"/>
  <c r="B103" i="23" s="1"/>
  <c r="A69" i="23"/>
  <c r="B69" i="23" s="1"/>
  <c r="C139" i="5"/>
  <c r="D139" i="3" s="1"/>
  <c r="A137" i="23"/>
  <c r="B137" i="23" s="1"/>
  <c r="C29" i="5"/>
  <c r="D29" i="3" s="1"/>
  <c r="A118" i="23"/>
  <c r="B118" i="23" s="1"/>
  <c r="A145" i="5"/>
  <c r="A42" i="5"/>
  <c r="A67" i="23"/>
  <c r="B67" i="23" s="1"/>
  <c r="C123" i="5"/>
  <c r="D123" i="3" s="1"/>
  <c r="A22" i="5"/>
  <c r="A58" i="5"/>
  <c r="A49" i="1"/>
  <c r="F141" i="23"/>
  <c r="H78" i="3"/>
  <c r="A122" i="5"/>
  <c r="D11" i="3"/>
  <c r="D21" i="3"/>
  <c r="D75" i="3"/>
  <c r="C48" i="1"/>
  <c r="C42" i="3"/>
  <c r="B42" i="5"/>
  <c r="B115" i="5"/>
  <c r="C121" i="1"/>
  <c r="B61" i="5"/>
  <c r="B36" i="5"/>
  <c r="C159" i="1"/>
  <c r="C42" i="1"/>
  <c r="C148" i="1"/>
  <c r="B64" i="5"/>
  <c r="C72" i="1"/>
  <c r="C80" i="1"/>
  <c r="B63" i="5"/>
  <c r="C69" i="1"/>
  <c r="C57" i="3"/>
  <c r="C151" i="3"/>
  <c r="C52" i="3"/>
  <c r="B52" i="5"/>
  <c r="C102" i="3"/>
  <c r="C108" i="1"/>
  <c r="C144" i="3"/>
  <c r="C150" i="1"/>
  <c r="B144" i="5"/>
  <c r="C54" i="1"/>
  <c r="B48" i="5"/>
  <c r="B108" i="5"/>
  <c r="C114" i="1"/>
  <c r="C108" i="3"/>
  <c r="B125" i="5"/>
  <c r="C131" i="1"/>
  <c r="C125" i="3"/>
  <c r="B23" i="5"/>
  <c r="C29" i="1"/>
  <c r="C117" i="3"/>
  <c r="C123" i="1"/>
  <c r="C18" i="3"/>
  <c r="B18" i="5"/>
  <c r="C24" i="1"/>
  <c r="B49" i="5"/>
  <c r="C49" i="3"/>
  <c r="C55" i="1"/>
  <c r="C101" i="3"/>
  <c r="C107" i="1"/>
  <c r="C128" i="3"/>
  <c r="B128" i="5"/>
  <c r="C134" i="3"/>
  <c r="C140" i="1"/>
  <c r="B134" i="5"/>
  <c r="C138" i="3"/>
  <c r="C144" i="1"/>
  <c r="B138" i="5"/>
  <c r="B147" i="5"/>
  <c r="C147" i="3"/>
  <c r="C153" i="1"/>
  <c r="C87" i="1"/>
  <c r="C81" i="3"/>
  <c r="B81" i="5"/>
  <c r="C93" i="3"/>
  <c r="C99" i="1"/>
  <c r="B93" i="5"/>
  <c r="B124" i="5"/>
  <c r="C60" i="3"/>
  <c r="C66" i="1"/>
  <c r="C7" i="3"/>
  <c r="B7" i="5"/>
  <c r="C13" i="1"/>
  <c r="C16" i="3"/>
  <c r="B16" i="5"/>
  <c r="B87" i="5"/>
  <c r="C93" i="1"/>
  <c r="B131" i="5"/>
  <c r="B139" i="5"/>
  <c r="C139" i="3"/>
  <c r="B149" i="5"/>
  <c r="C18" i="1"/>
  <c r="C12" i="3"/>
  <c r="C132" i="3"/>
  <c r="C138" i="1"/>
  <c r="B132" i="5"/>
  <c r="C150" i="3"/>
  <c r="B150" i="5"/>
  <c r="C156" i="1"/>
  <c r="C28" i="3"/>
  <c r="C34" i="1"/>
  <c r="B28" i="5"/>
  <c r="B143" i="5"/>
  <c r="C149" i="1"/>
  <c r="C143" i="3"/>
  <c r="C158" i="3"/>
  <c r="B15" i="5"/>
  <c r="B118" i="5"/>
  <c r="C25" i="1"/>
  <c r="C71" i="3"/>
  <c r="B31" i="5"/>
  <c r="C39" i="3"/>
  <c r="C143" i="1"/>
  <c r="C142" i="3"/>
  <c r="B94" i="5"/>
  <c r="C113" i="1"/>
  <c r="C98" i="1"/>
  <c r="B19" i="5"/>
  <c r="C130" i="3"/>
  <c r="C45" i="1"/>
  <c r="C51" i="3"/>
  <c r="C92" i="3"/>
  <c r="C100" i="3"/>
  <c r="B92" i="5"/>
  <c r="C115" i="3"/>
  <c r="B107" i="5"/>
  <c r="C152" i="1"/>
  <c r="C55" i="3"/>
  <c r="I147" i="10"/>
  <c r="I162" i="10"/>
  <c r="I153" i="10"/>
  <c r="J153" i="10" s="1"/>
  <c r="I165" i="10"/>
  <c r="M165" i="10" s="1"/>
  <c r="I151" i="10"/>
  <c r="I161" i="10"/>
  <c r="J141" i="10"/>
  <c r="I146" i="10"/>
  <c r="I158" i="10"/>
  <c r="I145" i="10"/>
  <c r="I156" i="10"/>
  <c r="I164" i="10"/>
  <c r="I150" i="10"/>
  <c r="J150" i="10" s="1"/>
  <c r="I149" i="10"/>
  <c r="I154" i="10"/>
  <c r="I148" i="10"/>
  <c r="K155" i="10"/>
  <c r="J144" i="10"/>
  <c r="M153" i="10"/>
  <c r="K153" i="10"/>
  <c r="M143" i="10"/>
  <c r="L155" i="10"/>
  <c r="L163" i="10"/>
  <c r="K163" i="10"/>
  <c r="J163" i="10"/>
  <c r="G140" i="10"/>
  <c r="E178" i="10" s="1"/>
  <c r="J80" i="10"/>
  <c r="F173" i="10"/>
  <c r="I57" i="10"/>
  <c r="I59" i="10"/>
  <c r="I58" i="10"/>
  <c r="I43" i="10"/>
  <c r="J43" i="10" s="1"/>
  <c r="J33" i="10"/>
  <c r="I45" i="10"/>
  <c r="M45" i="10" s="1"/>
  <c r="J49" i="10"/>
  <c r="K49" i="10"/>
  <c r="I51" i="10"/>
  <c r="J51" i="10" s="1"/>
  <c r="I38" i="10"/>
  <c r="I50" i="10"/>
  <c r="I48" i="10"/>
  <c r="I37" i="10"/>
  <c r="G118" i="1"/>
  <c r="I118" i="1" s="1"/>
  <c r="H118" i="1" s="1"/>
  <c r="G119" i="1"/>
  <c r="I119" i="1" s="1"/>
  <c r="H119" i="1" s="1"/>
  <c r="G143" i="1"/>
  <c r="I143" i="1" s="1"/>
  <c r="H143" i="1" s="1"/>
  <c r="G132" i="1"/>
  <c r="I132" i="1" s="1"/>
  <c r="H132" i="1" s="1"/>
  <c r="D79" i="3"/>
  <c r="G105" i="1"/>
  <c r="I105" i="1" s="1"/>
  <c r="H105" i="1" s="1"/>
  <c r="G98" i="1"/>
  <c r="I98" i="1" s="1"/>
  <c r="H98" i="1" s="1"/>
  <c r="G139" i="1"/>
  <c r="I84" i="25"/>
  <c r="I83" i="25"/>
  <c r="D53" i="5"/>
  <c r="D32" i="5"/>
  <c r="D9" i="5"/>
  <c r="D10" i="5"/>
  <c r="D33" i="5"/>
  <c r="D129" i="5"/>
  <c r="G135" i="1" s="1"/>
  <c r="D104" i="5"/>
  <c r="G110" i="1" s="1"/>
  <c r="D107" i="5"/>
  <c r="G113" i="1" s="1"/>
  <c r="D28" i="5"/>
  <c r="D32" i="3"/>
  <c r="C43" i="1"/>
  <c r="B37" i="2"/>
  <c r="B116" i="5"/>
  <c r="B96" i="5"/>
  <c r="B156" i="5"/>
  <c r="C71" i="1"/>
  <c r="B133" i="5"/>
  <c r="C133" i="3"/>
  <c r="C65" i="3"/>
  <c r="C89" i="3"/>
  <c r="B89" i="2"/>
  <c r="C87" i="3"/>
  <c r="C23" i="3"/>
  <c r="C149" i="3"/>
  <c r="B130" i="5"/>
  <c r="C145" i="1"/>
  <c r="C141" i="3"/>
  <c r="B120" i="5"/>
  <c r="C120" i="3"/>
  <c r="B73" i="5"/>
  <c r="B60" i="5"/>
  <c r="C53" i="1"/>
  <c r="C146" i="1"/>
  <c r="C48" i="3"/>
  <c r="C131" i="3"/>
  <c r="C59" i="3"/>
  <c r="C146" i="3"/>
  <c r="C61" i="1"/>
  <c r="C58" i="1"/>
  <c r="C130" i="1"/>
  <c r="B76" i="5"/>
  <c r="B123" i="5"/>
  <c r="C137" i="1"/>
  <c r="C164" i="1"/>
  <c r="B158" i="5"/>
  <c r="C68" i="3"/>
  <c r="C124" i="3"/>
  <c r="B129" i="5"/>
  <c r="B12" i="5"/>
  <c r="C151" i="1"/>
  <c r="B117" i="5"/>
  <c r="B140" i="5"/>
  <c r="C31" i="3"/>
  <c r="C79" i="1"/>
  <c r="C158" i="1"/>
  <c r="C145" i="3"/>
  <c r="B141" i="5"/>
  <c r="C111" i="3"/>
  <c r="B100" i="5"/>
  <c r="C96" i="3"/>
  <c r="C134" i="1"/>
  <c r="B111" i="5"/>
  <c r="C106" i="1"/>
  <c r="C91" i="3"/>
  <c r="C155" i="1"/>
  <c r="C20" i="3"/>
  <c r="B102" i="5"/>
  <c r="C80" i="3"/>
  <c r="B101" i="5"/>
  <c r="C16" i="1"/>
  <c r="B40" i="5"/>
  <c r="C82" i="3"/>
  <c r="D49" i="3"/>
  <c r="D49" i="5"/>
  <c r="G142" i="1"/>
  <c r="I142" i="1" s="1"/>
  <c r="H142" i="1" s="1"/>
  <c r="B56" i="1"/>
  <c r="A50" i="23"/>
  <c r="B50" i="23" s="1"/>
  <c r="B109" i="1"/>
  <c r="A102" i="23"/>
  <c r="B102" i="23" s="1"/>
  <c r="A97" i="23"/>
  <c r="B97" i="23" s="1"/>
  <c r="B104" i="1"/>
  <c r="G104" i="1"/>
  <c r="I104" i="1" s="1"/>
  <c r="H104" i="1" s="1"/>
  <c r="A153" i="23"/>
  <c r="B153" i="23" s="1"/>
  <c r="B160" i="1"/>
  <c r="B27" i="5"/>
  <c r="C33" i="1"/>
  <c r="C56" i="3"/>
  <c r="B56" i="5"/>
  <c r="D13" i="5"/>
  <c r="G87" i="1"/>
  <c r="I87" i="1" s="1"/>
  <c r="H87" i="1" s="1"/>
  <c r="A23" i="23"/>
  <c r="B23" i="23" s="1"/>
  <c r="D48" i="3"/>
  <c r="D48" i="5"/>
  <c r="B145" i="1"/>
  <c r="A138" i="23"/>
  <c r="B138" i="23" s="1"/>
  <c r="D5" i="5"/>
  <c r="C81" i="1"/>
  <c r="B75" i="5"/>
  <c r="C89" i="1"/>
  <c r="C83" i="3"/>
  <c r="D38" i="5"/>
  <c r="D38" i="3"/>
  <c r="G140" i="1"/>
  <c r="I140" i="1" s="1"/>
  <c r="H140" i="1" s="1"/>
  <c r="B84" i="5"/>
  <c r="C84" i="3"/>
  <c r="D17" i="3"/>
  <c r="D17" i="5"/>
  <c r="D57" i="5"/>
  <c r="D57" i="3"/>
  <c r="C38" i="1"/>
  <c r="C32" i="3"/>
  <c r="B95" i="5"/>
  <c r="C101" i="1"/>
  <c r="B104" i="5"/>
  <c r="C104" i="3"/>
  <c r="A129" i="23"/>
  <c r="B129" i="23" s="1"/>
  <c r="B136" i="1"/>
  <c r="D109" i="5"/>
  <c r="G115" i="1" s="1"/>
  <c r="D33" i="3"/>
  <c r="D110" i="5"/>
  <c r="G116" i="1" s="1"/>
  <c r="A110" i="23"/>
  <c r="B110" i="23" s="1"/>
  <c r="A40" i="5"/>
  <c r="A36" i="5"/>
  <c r="A45" i="5"/>
  <c r="A142" i="23"/>
  <c r="B142" i="23" s="1"/>
  <c r="A43" i="5"/>
  <c r="C43" i="5" s="1"/>
  <c r="G133" i="1"/>
  <c r="I133" i="1" s="1"/>
  <c r="H133" i="1" s="1"/>
  <c r="B151" i="5"/>
  <c r="A5" i="23"/>
  <c r="B5" i="23" s="1"/>
  <c r="D118" i="5"/>
  <c r="G124" i="1" s="1"/>
  <c r="C41" i="3"/>
  <c r="A55" i="5"/>
  <c r="A46" i="1"/>
  <c r="A42" i="1"/>
  <c r="A39" i="5"/>
  <c r="A68" i="1"/>
  <c r="B68" i="1" s="1"/>
  <c r="A74" i="1"/>
  <c r="G79" i="1"/>
  <c r="I79" i="1" s="1"/>
  <c r="H79" i="1" s="1"/>
  <c r="A18" i="5"/>
  <c r="C4" i="3"/>
  <c r="D66" i="5"/>
  <c r="D66" i="3"/>
  <c r="D157" i="3"/>
  <c r="D157" i="5"/>
  <c r="B55" i="1"/>
  <c r="A49" i="23"/>
  <c r="B49" i="23" s="1"/>
  <c r="A152" i="23"/>
  <c r="B152" i="23" s="1"/>
  <c r="B159" i="1"/>
  <c r="A60" i="23"/>
  <c r="B60" i="23" s="1"/>
  <c r="B66" i="1"/>
  <c r="D65" i="3"/>
  <c r="D65" i="5"/>
  <c r="A4" i="23"/>
  <c r="B4" i="23" s="1"/>
  <c r="B10" i="1"/>
  <c r="D153" i="3"/>
  <c r="D153" i="5"/>
  <c r="A65" i="23"/>
  <c r="B65" i="23" s="1"/>
  <c r="B40" i="1"/>
  <c r="D78" i="3"/>
  <c r="D78" i="5"/>
  <c r="A73" i="23"/>
  <c r="B73" i="23" s="1"/>
  <c r="B14" i="1"/>
  <c r="A8" i="23"/>
  <c r="B8" i="23" s="1"/>
  <c r="A128" i="23"/>
  <c r="B128" i="23" s="1"/>
  <c r="B135" i="1"/>
  <c r="D6" i="3"/>
  <c r="D6" i="5"/>
  <c r="D150" i="3"/>
  <c r="D150" i="5"/>
  <c r="A29" i="23"/>
  <c r="B29" i="23" s="1"/>
  <c r="B35" i="1"/>
  <c r="A3" i="23"/>
  <c r="B3" i="23" s="1"/>
  <c r="B9" i="1"/>
  <c r="A116" i="23"/>
  <c r="B116" i="23" s="1"/>
  <c r="A45" i="23"/>
  <c r="B45" i="23" s="1"/>
  <c r="B25" i="1"/>
  <c r="A19" i="23"/>
  <c r="B19" i="23" s="1"/>
  <c r="G95" i="1"/>
  <c r="I95" i="1" s="1"/>
  <c r="H95" i="1" s="1"/>
  <c r="B95" i="1"/>
  <c r="D108" i="5"/>
  <c r="G114" i="1" s="1"/>
  <c r="D80" i="3"/>
  <c r="D80" i="5"/>
  <c r="G86" i="1" s="1"/>
  <c r="D154" i="5"/>
  <c r="D86" i="5"/>
  <c r="G92" i="1" s="1"/>
  <c r="A114" i="23"/>
  <c r="B114" i="23" s="1"/>
  <c r="A34" i="23"/>
  <c r="B34" i="23" s="1"/>
  <c r="G112" i="1"/>
  <c r="I112" i="1" s="1"/>
  <c r="H112" i="1" s="1"/>
  <c r="B13" i="1"/>
  <c r="A125" i="23"/>
  <c r="B125" i="23" s="1"/>
  <c r="B132" i="1"/>
  <c r="D83" i="3"/>
  <c r="D83" i="5"/>
  <c r="B84" i="1"/>
  <c r="A78" i="23"/>
  <c r="B78" i="23" s="1"/>
  <c r="D109" i="3"/>
  <c r="B121" i="1"/>
  <c r="A140" i="23"/>
  <c r="B140" i="23" s="1"/>
  <c r="B163" i="1"/>
  <c r="B20" i="1"/>
  <c r="C163" i="1"/>
  <c r="C157" i="3"/>
  <c r="B164" i="1"/>
  <c r="A157" i="23"/>
  <c r="B157" i="23" s="1"/>
  <c r="A92" i="23"/>
  <c r="B92" i="23" s="1"/>
  <c r="B99" i="1"/>
  <c r="G99" i="1"/>
  <c r="I99" i="1" s="1"/>
  <c r="H99" i="1" s="1"/>
  <c r="B53" i="1"/>
  <c r="A47" i="23"/>
  <c r="B47" i="23" s="1"/>
  <c r="B103" i="1"/>
  <c r="A96" i="23"/>
  <c r="B96" i="23" s="1"/>
  <c r="G93" i="1"/>
  <c r="I93" i="1" s="1"/>
  <c r="H93" i="1" s="1"/>
  <c r="A12" i="23"/>
  <c r="B12" i="23" s="1"/>
  <c r="B93" i="1"/>
  <c r="A27" i="23"/>
  <c r="B27" i="23" s="1"/>
  <c r="D156" i="24"/>
  <c r="C156" i="24" s="1"/>
  <c r="C119" i="3"/>
  <c r="A83" i="3"/>
  <c r="I83" i="3" s="1"/>
  <c r="A89" i="1"/>
  <c r="D154" i="24"/>
  <c r="C154" i="24" s="1"/>
  <c r="A65" i="3"/>
  <c r="I65" i="3" s="1"/>
  <c r="A148" i="5"/>
  <c r="A148" i="3"/>
  <c r="I148" i="3" s="1"/>
  <c r="B30" i="2"/>
  <c r="B91" i="1"/>
  <c r="A76" i="23"/>
  <c r="B76" i="23" s="1"/>
  <c r="A22" i="23"/>
  <c r="B22" i="23" s="1"/>
  <c r="G141" i="1"/>
  <c r="I141" i="1" s="1"/>
  <c r="H141" i="1" s="1"/>
  <c r="B23" i="1"/>
  <c r="C107" i="3"/>
  <c r="A90" i="1"/>
  <c r="B154" i="1"/>
  <c r="D151" i="24"/>
  <c r="C151" i="24" s="1"/>
  <c r="D105" i="5"/>
  <c r="G111" i="1" s="1"/>
  <c r="D105" i="3"/>
  <c r="G91" i="1"/>
  <c r="I91" i="1" s="1"/>
  <c r="H91" i="1" s="1"/>
  <c r="A31" i="23"/>
  <c r="B31" i="23" s="1"/>
  <c r="C62" i="1"/>
  <c r="C82" i="1"/>
  <c r="A24" i="1"/>
  <c r="D150" i="24"/>
  <c r="C150" i="24" s="1"/>
  <c r="C3" i="24"/>
  <c r="B99" i="2"/>
  <c r="B26" i="2"/>
  <c r="C66" i="3"/>
  <c r="C22" i="1"/>
  <c r="C100" i="1"/>
  <c r="B157" i="5"/>
  <c r="C94" i="3"/>
  <c r="B80" i="5"/>
  <c r="C154" i="3"/>
  <c r="C160" i="1"/>
  <c r="B154" i="5"/>
  <c r="C11" i="1"/>
  <c r="B5" i="5"/>
  <c r="C5" i="3"/>
  <c r="C20" i="1"/>
  <c r="B14" i="5"/>
  <c r="C14" i="3"/>
  <c r="C28" i="1"/>
  <c r="C22" i="3"/>
  <c r="B22" i="5"/>
  <c r="C75" i="1"/>
  <c r="B69" i="5"/>
  <c r="C69" i="3"/>
  <c r="C77" i="3"/>
  <c r="C83" i="1"/>
  <c r="B77" i="5"/>
  <c r="C91" i="1"/>
  <c r="C85" i="3"/>
  <c r="B85" i="5"/>
  <c r="C127" i="1"/>
  <c r="C121" i="3"/>
  <c r="B121" i="5"/>
  <c r="C6" i="3"/>
  <c r="B6" i="5"/>
  <c r="C12" i="1"/>
  <c r="C39" i="1"/>
  <c r="C33" i="3"/>
  <c r="B33" i="5"/>
  <c r="B45" i="5"/>
  <c r="C51" i="1"/>
  <c r="C45" i="3"/>
  <c r="C59" i="1"/>
  <c r="C53" i="3"/>
  <c r="B53" i="5"/>
  <c r="C70" i="3"/>
  <c r="C76" i="1"/>
  <c r="B70" i="5"/>
  <c r="B78" i="5"/>
  <c r="C84" i="1"/>
  <c r="C78" i="3"/>
  <c r="C86" i="3"/>
  <c r="B86" i="5"/>
  <c r="C92" i="1"/>
  <c r="B105" i="5"/>
  <c r="C111" i="1"/>
  <c r="C105" i="3"/>
  <c r="C113" i="3"/>
  <c r="C119" i="1"/>
  <c r="B113" i="5"/>
  <c r="C122" i="3"/>
  <c r="C128" i="1"/>
  <c r="B122" i="5"/>
  <c r="C40" i="1"/>
  <c r="C34" i="3"/>
  <c r="B34" i="5"/>
  <c r="C52" i="1"/>
  <c r="C46" i="3"/>
  <c r="B46" i="5"/>
  <c r="C60" i="1"/>
  <c r="B54" i="5"/>
  <c r="C54" i="3"/>
  <c r="C62" i="3"/>
  <c r="C68" i="1"/>
  <c r="B62" i="5"/>
  <c r="C97" i="3"/>
  <c r="B97" i="5"/>
  <c r="C103" i="1"/>
  <c r="C112" i="1"/>
  <c r="B106" i="5"/>
  <c r="C106" i="3"/>
  <c r="C120" i="1"/>
  <c r="B114" i="5"/>
  <c r="C114" i="3"/>
  <c r="C15" i="1"/>
  <c r="C9" i="3"/>
  <c r="B9" i="5"/>
  <c r="C23" i="1"/>
  <c r="C17" i="3"/>
  <c r="B17" i="5"/>
  <c r="B25" i="5"/>
  <c r="C25" i="3"/>
  <c r="C31" i="1"/>
  <c r="C38" i="3"/>
  <c r="C44" i="1"/>
  <c r="B38" i="5"/>
  <c r="C96" i="1"/>
  <c r="C90" i="3"/>
  <c r="B90" i="5"/>
  <c r="B98" i="5"/>
  <c r="C98" i="3"/>
  <c r="C104" i="1"/>
  <c r="C8" i="1"/>
  <c r="B2" i="5"/>
  <c r="C2" i="3"/>
  <c r="H31" i="3"/>
  <c r="F31" i="23"/>
  <c r="H100" i="3"/>
  <c r="F99" i="23"/>
  <c r="F93" i="23"/>
  <c r="H94" i="3"/>
  <c r="F97" i="23"/>
  <c r="H98" i="3"/>
  <c r="H149" i="3"/>
  <c r="F148" i="23"/>
  <c r="H71" i="3"/>
  <c r="F71" i="23"/>
  <c r="F64" i="23"/>
  <c r="H64" i="3"/>
  <c r="F76" i="23"/>
  <c r="H76" i="3"/>
  <c r="F62" i="23"/>
  <c r="H62" i="3"/>
  <c r="H47" i="3"/>
  <c r="F47" i="23"/>
  <c r="F8" i="23"/>
  <c r="H8" i="3"/>
  <c r="F92" i="23"/>
  <c r="H93" i="3"/>
  <c r="F45" i="23"/>
  <c r="H45" i="3"/>
  <c r="F95" i="23"/>
  <c r="H96" i="3"/>
  <c r="H66" i="3"/>
  <c r="F66" i="23"/>
  <c r="H39" i="3"/>
  <c r="F134" i="23"/>
  <c r="H63" i="3"/>
  <c r="H119" i="3"/>
  <c r="F49" i="23"/>
  <c r="F19" i="23"/>
  <c r="H91" i="3"/>
  <c r="H155" i="3"/>
  <c r="H16" i="3"/>
  <c r="H43" i="3"/>
  <c r="H107" i="3"/>
  <c r="H75" i="3"/>
  <c r="F33" i="23"/>
  <c r="H35" i="3"/>
  <c r="H79" i="3"/>
  <c r="F5" i="23"/>
  <c r="H5" i="3"/>
  <c r="F145" i="23"/>
  <c r="H146" i="3"/>
  <c r="F124" i="23"/>
  <c r="H125" i="3"/>
  <c r="H114" i="3"/>
  <c r="F113" i="23"/>
  <c r="F96" i="23"/>
  <c r="H97" i="3"/>
  <c r="F86" i="23"/>
  <c r="H87" i="3"/>
  <c r="H59" i="3"/>
  <c r="F59" i="23"/>
  <c r="F55" i="23"/>
  <c r="H55" i="3"/>
  <c r="H51" i="3"/>
  <c r="F51" i="23"/>
  <c r="F48" i="23"/>
  <c r="H48" i="3"/>
  <c r="F38" i="23"/>
  <c r="H38" i="3"/>
  <c r="F13" i="23"/>
  <c r="H13" i="3"/>
  <c r="H152" i="3"/>
  <c r="F151" i="23"/>
  <c r="H130" i="3"/>
  <c r="F129" i="23"/>
  <c r="F102" i="23"/>
  <c r="H103" i="3"/>
  <c r="H29" i="3"/>
  <c r="F29" i="23"/>
  <c r="F25" i="23"/>
  <c r="H25" i="3"/>
  <c r="H21" i="3"/>
  <c r="F21" i="23"/>
  <c r="F128" i="23"/>
  <c r="H129" i="3"/>
  <c r="H139" i="3"/>
  <c r="F138" i="23"/>
  <c r="H124" i="3"/>
  <c r="F123" i="23"/>
  <c r="H110" i="3"/>
  <c r="F109" i="23"/>
  <c r="H83" i="3"/>
  <c r="F82" i="23"/>
  <c r="H70" i="3"/>
  <c r="F70" i="23"/>
  <c r="F58" i="23"/>
  <c r="H58" i="3"/>
  <c r="H54" i="3"/>
  <c r="F54" i="23"/>
  <c r="F50" i="23"/>
  <c r="H50" i="3"/>
  <c r="F42" i="23"/>
  <c r="H42" i="3"/>
  <c r="F32" i="23"/>
  <c r="H32" i="3"/>
  <c r="H9" i="3"/>
  <c r="F9" i="23"/>
  <c r="F135" i="23"/>
  <c r="H136" i="3"/>
  <c r="H148" i="3"/>
  <c r="F147" i="23"/>
  <c r="F132" i="23"/>
  <c r="H133" i="3"/>
  <c r="H128" i="3"/>
  <c r="F127" i="23"/>
  <c r="H120" i="3"/>
  <c r="F119" i="23"/>
  <c r="H116" i="3"/>
  <c r="F115" i="23"/>
  <c r="F28" i="23"/>
  <c r="H28" i="3"/>
  <c r="H24" i="3"/>
  <c r="F24" i="23"/>
  <c r="F20" i="23"/>
  <c r="H20" i="3"/>
  <c r="F15" i="23"/>
  <c r="H15" i="3"/>
  <c r="F139" i="23"/>
  <c r="H140" i="3"/>
  <c r="F122" i="23"/>
  <c r="H123" i="3"/>
  <c r="H105" i="3"/>
  <c r="F104" i="23"/>
  <c r="F77" i="23"/>
  <c r="H77" i="3"/>
  <c r="H65" i="3"/>
  <c r="F65" i="23"/>
  <c r="H57" i="3"/>
  <c r="F57" i="23"/>
  <c r="H53" i="3"/>
  <c r="F53" i="23"/>
  <c r="F44" i="23"/>
  <c r="H44" i="3"/>
  <c r="H34" i="3"/>
  <c r="F34" i="23"/>
  <c r="F142" i="23"/>
  <c r="H143" i="3"/>
  <c r="H132" i="3"/>
  <c r="F131" i="23"/>
  <c r="F126" i="23"/>
  <c r="H127" i="3"/>
  <c r="F111" i="23"/>
  <c r="H112" i="3"/>
  <c r="H89" i="3"/>
  <c r="F88" i="23"/>
  <c r="H85" i="3"/>
  <c r="F84" i="23"/>
  <c r="H72" i="3"/>
  <c r="F72" i="23"/>
  <c r="H40" i="3"/>
  <c r="F40" i="23"/>
  <c r="F27" i="23"/>
  <c r="H27" i="3"/>
  <c r="H23" i="3"/>
  <c r="F23" i="23"/>
  <c r="H11" i="3"/>
  <c r="F11" i="23"/>
  <c r="F67" i="23"/>
  <c r="H67" i="3"/>
  <c r="F121" i="23"/>
  <c r="H122" i="3"/>
  <c r="H118" i="3"/>
  <c r="F117" i="23"/>
  <c r="H101" i="3"/>
  <c r="F100" i="23"/>
  <c r="H95" i="3"/>
  <c r="F94" i="23"/>
  <c r="H60" i="3"/>
  <c r="F60" i="23"/>
  <c r="F56" i="23"/>
  <c r="H56" i="3"/>
  <c r="F52" i="23"/>
  <c r="H52" i="3"/>
  <c r="H46" i="3"/>
  <c r="F46" i="23"/>
  <c r="H17" i="3"/>
  <c r="F17" i="23"/>
  <c r="F89" i="23"/>
  <c r="H90" i="3"/>
  <c r="F156" i="23"/>
  <c r="H157" i="3"/>
  <c r="F136" i="23"/>
  <c r="H137" i="3"/>
  <c r="F130" i="23"/>
  <c r="H131" i="3"/>
  <c r="H108" i="3"/>
  <c r="F107" i="23"/>
  <c r="F80" i="23"/>
  <c r="H80" i="3"/>
  <c r="H68" i="3"/>
  <c r="F68" i="23"/>
  <c r="H26" i="3"/>
  <c r="F26" i="23"/>
  <c r="F22" i="23"/>
  <c r="H22" i="3"/>
  <c r="H7" i="3"/>
  <c r="F7" i="23"/>
  <c r="F74" i="23"/>
  <c r="H74" i="3"/>
  <c r="F157" i="23"/>
  <c r="H158" i="3"/>
  <c r="H142" i="3"/>
  <c r="H117" i="3"/>
  <c r="F103" i="23"/>
  <c r="H147" i="3"/>
  <c r="H73" i="3"/>
  <c r="F69" i="23"/>
  <c r="H109" i="3"/>
  <c r="H138" i="3"/>
  <c r="H84" i="3"/>
  <c r="F152" i="23"/>
  <c r="F110" i="23"/>
  <c r="H12" i="3"/>
  <c r="F144" i="23"/>
  <c r="H115" i="3"/>
  <c r="F101" i="23"/>
  <c r="H113" i="3"/>
  <c r="H14" i="3"/>
  <c r="F10" i="23"/>
  <c r="H6" i="3"/>
  <c r="F120" i="23"/>
  <c r="F85" i="23"/>
  <c r="F78" i="23"/>
  <c r="H81" i="3"/>
  <c r="J160" i="10"/>
  <c r="K160" i="10"/>
  <c r="M160" i="10"/>
  <c r="L160" i="10"/>
  <c r="J157" i="10"/>
  <c r="J155" i="10"/>
  <c r="M152" i="10"/>
  <c r="M149" i="10"/>
  <c r="M159" i="10"/>
  <c r="J161" i="10"/>
  <c r="J138" i="10"/>
  <c r="D140" i="10" s="1"/>
  <c r="D178" i="10" s="1"/>
  <c r="J133" i="10"/>
  <c r="M130" i="10"/>
  <c r="M131" i="10"/>
  <c r="M124" i="10"/>
  <c r="J124" i="10"/>
  <c r="L124" i="10"/>
  <c r="K124" i="10"/>
  <c r="I136" i="10"/>
  <c r="I127" i="10"/>
  <c r="I128" i="10"/>
  <c r="I135" i="10"/>
  <c r="I132" i="10"/>
  <c r="I129" i="10"/>
  <c r="I134" i="10"/>
  <c r="I126" i="10"/>
  <c r="I125" i="10"/>
  <c r="J107" i="10"/>
  <c r="J122" i="10"/>
  <c r="K122" i="10"/>
  <c r="L122" i="10"/>
  <c r="M122" i="10"/>
  <c r="M87" i="10"/>
  <c r="J87" i="10"/>
  <c r="M77" i="10"/>
  <c r="K77" i="10"/>
  <c r="I95" i="10"/>
  <c r="M89" i="10"/>
  <c r="J89" i="10"/>
  <c r="K89" i="10"/>
  <c r="L89" i="10"/>
  <c r="M65" i="10"/>
  <c r="J74" i="10"/>
  <c r="M68" i="10"/>
  <c r="L33" i="10"/>
  <c r="J55" i="10"/>
  <c r="L51" i="10"/>
  <c r="K33" i="10"/>
  <c r="K43" i="10"/>
  <c r="K55" i="10"/>
  <c r="I52" i="10"/>
  <c r="I42" i="10"/>
  <c r="I44" i="10"/>
  <c r="I36" i="10"/>
  <c r="F172" i="10"/>
  <c r="I34" i="10"/>
  <c r="I39" i="10"/>
  <c r="J38" i="10"/>
  <c r="I47" i="10"/>
  <c r="I46" i="10"/>
  <c r="I41" i="10"/>
  <c r="I40" i="10"/>
  <c r="I54" i="10"/>
  <c r="I35" i="10"/>
  <c r="F171" i="10"/>
  <c r="L153" i="10" l="1"/>
  <c r="I167" i="10"/>
  <c r="J165" i="10"/>
  <c r="J119" i="10"/>
  <c r="I123" i="10"/>
  <c r="M43" i="10"/>
  <c r="L53" i="10"/>
  <c r="J53" i="10"/>
  <c r="K53" i="10"/>
  <c r="L55" i="10"/>
  <c r="M108" i="10"/>
  <c r="L72" i="10"/>
  <c r="I75" i="10"/>
  <c r="M62" i="10"/>
  <c r="E95" i="10"/>
  <c r="B175" i="10" s="1"/>
  <c r="C50" i="1"/>
  <c r="C109" i="1"/>
  <c r="C103" i="3"/>
  <c r="B20" i="5"/>
  <c r="C47" i="3"/>
  <c r="B72" i="5"/>
  <c r="C24" i="3"/>
  <c r="C97" i="1"/>
  <c r="C152" i="3"/>
  <c r="C73" i="1"/>
  <c r="C124" i="1"/>
  <c r="C85" i="1"/>
  <c r="B50" i="5"/>
  <c r="B44" i="5"/>
  <c r="C67" i="3"/>
  <c r="C79" i="3"/>
  <c r="C57" i="1"/>
  <c r="C50" i="3"/>
  <c r="C74" i="1"/>
  <c r="C72" i="3"/>
  <c r="C142" i="1"/>
  <c r="B109" i="5"/>
  <c r="C109" i="3"/>
  <c r="C43" i="3"/>
  <c r="C19" i="1"/>
  <c r="C30" i="1"/>
  <c r="B71" i="5"/>
  <c r="C110" i="3"/>
  <c r="B21" i="5"/>
  <c r="B41" i="5"/>
  <c r="C65" i="1"/>
  <c r="C115" i="1"/>
  <c r="C64" i="1"/>
  <c r="C88" i="1"/>
  <c r="C35" i="1"/>
  <c r="C116" i="3"/>
  <c r="C116" i="1"/>
  <c r="C11" i="3"/>
  <c r="C127" i="3"/>
  <c r="C9" i="1"/>
  <c r="C162" i="1"/>
  <c r="D162" i="1" s="1"/>
  <c r="B155" i="5"/>
  <c r="C17" i="1"/>
  <c r="B127" i="5"/>
  <c r="C10" i="3"/>
  <c r="C74" i="3"/>
  <c r="B29" i="5"/>
  <c r="C155" i="3"/>
  <c r="C136" i="3"/>
  <c r="B43" i="5"/>
  <c r="C13" i="3"/>
  <c r="C3" i="3"/>
  <c r="C141" i="1"/>
  <c r="B135" i="5"/>
  <c r="C27" i="1"/>
  <c r="C58" i="3"/>
  <c r="C118" i="1"/>
  <c r="C135" i="3"/>
  <c r="C40" i="3"/>
  <c r="C61" i="3"/>
  <c r="B37" i="5"/>
  <c r="G100" i="1"/>
  <c r="I100" i="1" s="1"/>
  <c r="H100" i="1" s="1"/>
  <c r="G125" i="1"/>
  <c r="I125" i="1" s="1"/>
  <c r="H125" i="1" s="1"/>
  <c r="G102" i="1"/>
  <c r="I102" i="1" s="1"/>
  <c r="H102" i="1" s="1"/>
  <c r="G106" i="1"/>
  <c r="G136" i="1"/>
  <c r="I136" i="1" s="1"/>
  <c r="H136" i="1" s="1"/>
  <c r="G103" i="1"/>
  <c r="I103" i="1" s="1"/>
  <c r="H103" i="1" s="1"/>
  <c r="D152" i="5"/>
  <c r="D116" i="5"/>
  <c r="G122" i="1" s="1"/>
  <c r="D103" i="5"/>
  <c r="G109" i="1" s="1"/>
  <c r="D146" i="5"/>
  <c r="D50" i="5"/>
  <c r="G56" i="1" s="1"/>
  <c r="D68" i="5"/>
  <c r="G74" i="1" s="1"/>
  <c r="D25" i="5"/>
  <c r="G31" i="1" s="1"/>
  <c r="D64" i="5"/>
  <c r="G70" i="1" s="1"/>
  <c r="D59" i="5"/>
  <c r="G65" i="1" s="1"/>
  <c r="D63" i="5"/>
  <c r="G69" i="1" s="1"/>
  <c r="D121" i="5"/>
  <c r="G127" i="1" s="1"/>
  <c r="D111" i="5"/>
  <c r="G117" i="1" s="1"/>
  <c r="D67" i="5"/>
  <c r="G73" i="1" s="1"/>
  <c r="D72" i="5"/>
  <c r="G78" i="1" s="1"/>
  <c r="D143" i="5"/>
  <c r="G149" i="1" s="1"/>
  <c r="D114" i="5"/>
  <c r="G120" i="1" s="1"/>
  <c r="D131" i="3"/>
  <c r="D77" i="5"/>
  <c r="G83" i="1" s="1"/>
  <c r="D158" i="5"/>
  <c r="G164" i="1" s="1"/>
  <c r="I164" i="1" s="1"/>
  <c r="H164" i="1" s="1"/>
  <c r="D74" i="5"/>
  <c r="G80" i="1" s="1"/>
  <c r="D69" i="5"/>
  <c r="G75" i="1" s="1"/>
  <c r="D128" i="5"/>
  <c r="G134" i="1" s="1"/>
  <c r="D34" i="3"/>
  <c r="D90" i="5"/>
  <c r="G96" i="1" s="1"/>
  <c r="D71" i="5"/>
  <c r="G77" i="1" s="1"/>
  <c r="D138" i="5"/>
  <c r="G144" i="1" s="1"/>
  <c r="D54" i="5"/>
  <c r="G60" i="1" s="1"/>
  <c r="E84" i="3"/>
  <c r="D115" i="5"/>
  <c r="G121" i="1" s="1"/>
  <c r="D139" i="5"/>
  <c r="G145" i="1" s="1"/>
  <c r="D44" i="5"/>
  <c r="G50" i="1" s="1"/>
  <c r="D100" i="3"/>
  <c r="D125" i="5"/>
  <c r="G131" i="1" s="1"/>
  <c r="D147" i="5"/>
  <c r="G153" i="1" s="1"/>
  <c r="D123" i="5"/>
  <c r="G129" i="1" s="1"/>
  <c r="D29" i="5"/>
  <c r="G35" i="1" s="1"/>
  <c r="D117" i="5"/>
  <c r="G123" i="1" s="1"/>
  <c r="K133" i="10"/>
  <c r="M133" i="10"/>
  <c r="J131" i="10"/>
  <c r="K131" i="10"/>
  <c r="L131" i="10"/>
  <c r="J111" i="10"/>
  <c r="L111" i="10"/>
  <c r="M111" i="10"/>
  <c r="K111" i="10"/>
  <c r="M105" i="10"/>
  <c r="L105" i="10"/>
  <c r="J105" i="10"/>
  <c r="K105" i="10"/>
  <c r="J103" i="10"/>
  <c r="M103" i="10"/>
  <c r="L103" i="10"/>
  <c r="K103" i="10"/>
  <c r="L114" i="10"/>
  <c r="J114" i="10"/>
  <c r="M114" i="10"/>
  <c r="K114" i="10"/>
  <c r="J97" i="10"/>
  <c r="K97" i="10"/>
  <c r="L97" i="10"/>
  <c r="M97" i="10"/>
  <c r="K118" i="10"/>
  <c r="J118" i="10"/>
  <c r="M118" i="10"/>
  <c r="L118" i="10"/>
  <c r="M106" i="10"/>
  <c r="L106" i="10"/>
  <c r="J106" i="10"/>
  <c r="K106" i="10"/>
  <c r="K108" i="10"/>
  <c r="L108" i="10"/>
  <c r="K110" i="10"/>
  <c r="M110" i="10"/>
  <c r="J110" i="10"/>
  <c r="L110" i="10"/>
  <c r="K98" i="10"/>
  <c r="L98" i="10"/>
  <c r="M98" i="10"/>
  <c r="J98" i="10"/>
  <c r="L107" i="10"/>
  <c r="K107" i="10"/>
  <c r="M107" i="10"/>
  <c r="J102" i="10"/>
  <c r="K102" i="10"/>
  <c r="M102" i="10"/>
  <c r="L102" i="10"/>
  <c r="K101" i="10"/>
  <c r="J101" i="10"/>
  <c r="M101" i="10"/>
  <c r="L101" i="10"/>
  <c r="L120" i="10"/>
  <c r="K120" i="10"/>
  <c r="M120" i="10"/>
  <c r="J120" i="10"/>
  <c r="K117" i="10"/>
  <c r="L117" i="10"/>
  <c r="M117" i="10"/>
  <c r="J117" i="10"/>
  <c r="L109" i="10"/>
  <c r="K109" i="10"/>
  <c r="J109" i="10"/>
  <c r="M109" i="10"/>
  <c r="M115" i="10"/>
  <c r="K115" i="10"/>
  <c r="L115" i="10"/>
  <c r="K112" i="10"/>
  <c r="J112" i="10"/>
  <c r="M112" i="10"/>
  <c r="L112" i="10"/>
  <c r="K100" i="10"/>
  <c r="J100" i="10"/>
  <c r="M100" i="10"/>
  <c r="L100" i="10"/>
  <c r="L116" i="10"/>
  <c r="M116" i="10"/>
  <c r="J116" i="10"/>
  <c r="K116" i="10"/>
  <c r="M121" i="10"/>
  <c r="J121" i="10"/>
  <c r="L121" i="10"/>
  <c r="K121" i="10"/>
  <c r="L104" i="10"/>
  <c r="M104" i="10"/>
  <c r="J104" i="10"/>
  <c r="K104" i="10"/>
  <c r="L119" i="10"/>
  <c r="M119" i="10"/>
  <c r="M99" i="10"/>
  <c r="K99" i="10"/>
  <c r="L99" i="10"/>
  <c r="J99" i="10"/>
  <c r="J113" i="10"/>
  <c r="L113" i="10"/>
  <c r="M113" i="10"/>
  <c r="K113" i="10"/>
  <c r="J96" i="10"/>
  <c r="L96" i="10"/>
  <c r="M96" i="10"/>
  <c r="K96" i="10"/>
  <c r="F95" i="10"/>
  <c r="C175" i="10" s="1"/>
  <c r="J68" i="10"/>
  <c r="K68" i="10"/>
  <c r="L68" i="10"/>
  <c r="J69" i="10"/>
  <c r="K69" i="10"/>
  <c r="J73" i="10"/>
  <c r="L73" i="10"/>
  <c r="M73" i="10"/>
  <c r="K73" i="10"/>
  <c r="K63" i="10"/>
  <c r="L63" i="10"/>
  <c r="J67" i="10"/>
  <c r="M67" i="10"/>
  <c r="L67" i="10"/>
  <c r="L62" i="10"/>
  <c r="K62" i="10"/>
  <c r="J62" i="10"/>
  <c r="J65" i="10"/>
  <c r="K65" i="10"/>
  <c r="J64" i="10"/>
  <c r="L64" i="10"/>
  <c r="K64" i="10"/>
  <c r="M64" i="10"/>
  <c r="J63" i="10"/>
  <c r="J72" i="10"/>
  <c r="K72" i="10"/>
  <c r="L70" i="10"/>
  <c r="K70" i="10"/>
  <c r="J70" i="10"/>
  <c r="M70" i="10"/>
  <c r="L69" i="10"/>
  <c r="K71" i="10"/>
  <c r="J71" i="10"/>
  <c r="L71" i="10"/>
  <c r="M71" i="10"/>
  <c r="M74" i="10"/>
  <c r="K74" i="10"/>
  <c r="L74" i="10"/>
  <c r="L65" i="10"/>
  <c r="M66" i="10"/>
  <c r="J66" i="10"/>
  <c r="L66" i="10"/>
  <c r="K66" i="10"/>
  <c r="K61" i="10"/>
  <c r="L61" i="10"/>
  <c r="J61" i="10"/>
  <c r="M61" i="10"/>
  <c r="L43" i="10"/>
  <c r="C67" i="1"/>
  <c r="F149" i="23"/>
  <c r="H150" i="3"/>
  <c r="B49" i="1"/>
  <c r="A43" i="23"/>
  <c r="B43" i="23" s="1"/>
  <c r="A51" i="23"/>
  <c r="B51" i="23" s="1"/>
  <c r="B57" i="1"/>
  <c r="D58" i="5"/>
  <c r="G64" i="1" s="1"/>
  <c r="I64" i="1" s="1"/>
  <c r="H64" i="1" s="1"/>
  <c r="D58" i="3"/>
  <c r="A28" i="23"/>
  <c r="B28" i="23" s="1"/>
  <c r="B34" i="1"/>
  <c r="D8" i="5"/>
  <c r="G14" i="1" s="1"/>
  <c r="I14" i="1" s="1"/>
  <c r="H14" i="1" s="1"/>
  <c r="D8" i="3"/>
  <c r="D142" i="5"/>
  <c r="G148" i="1" s="1"/>
  <c r="I148" i="1" s="1"/>
  <c r="H148" i="1" s="1"/>
  <c r="D142" i="3"/>
  <c r="D55" i="5"/>
  <c r="G61" i="1" s="1"/>
  <c r="I61" i="1" s="1"/>
  <c r="H61" i="1" s="1"/>
  <c r="D55" i="3"/>
  <c r="D22" i="5"/>
  <c r="G28" i="1" s="1"/>
  <c r="I28" i="1" s="1"/>
  <c r="H28" i="1" s="1"/>
  <c r="D22" i="3"/>
  <c r="A42" i="23"/>
  <c r="B42" i="23" s="1"/>
  <c r="B48" i="1"/>
  <c r="D18" i="5"/>
  <c r="G24" i="1" s="1"/>
  <c r="I24" i="1" s="1"/>
  <c r="H24" i="1" s="1"/>
  <c r="D18" i="3"/>
  <c r="C45" i="5"/>
  <c r="D45" i="5" s="1"/>
  <c r="G51" i="1" s="1"/>
  <c r="C122" i="5"/>
  <c r="D122" i="5" s="1"/>
  <c r="G128" i="1" s="1"/>
  <c r="C24" i="5"/>
  <c r="D24" i="5" s="1"/>
  <c r="G30" i="1" s="1"/>
  <c r="C124" i="5"/>
  <c r="D124" i="5" s="1"/>
  <c r="G130" i="1" s="1"/>
  <c r="D148" i="5"/>
  <c r="G154" i="1" s="1"/>
  <c r="I154" i="1" s="1"/>
  <c r="H154" i="1" s="1"/>
  <c r="D148" i="3"/>
  <c r="A62" i="23"/>
  <c r="B62" i="23" s="1"/>
  <c r="G26" i="1"/>
  <c r="I26" i="1" s="1"/>
  <c r="H26" i="1" s="1"/>
  <c r="C40" i="5"/>
  <c r="D40" i="5" s="1"/>
  <c r="G46" i="1" s="1"/>
  <c r="D27" i="5"/>
  <c r="G33" i="1" s="1"/>
  <c r="I33" i="1" s="1"/>
  <c r="H33" i="1" s="1"/>
  <c r="D27" i="3"/>
  <c r="B19" i="1"/>
  <c r="A13" i="23"/>
  <c r="B13" i="23" s="1"/>
  <c r="A70" i="23"/>
  <c r="B70" i="23" s="1"/>
  <c r="B76" i="1"/>
  <c r="D42" i="5"/>
  <c r="G48" i="1" s="1"/>
  <c r="I48" i="1" s="1"/>
  <c r="H48" i="1" s="1"/>
  <c r="D42" i="3"/>
  <c r="D88" i="5"/>
  <c r="G94" i="1" s="1"/>
  <c r="I94" i="1" s="1"/>
  <c r="H94" i="1" s="1"/>
  <c r="D88" i="3"/>
  <c r="D144" i="5"/>
  <c r="G150" i="1" s="1"/>
  <c r="I150" i="1" s="1"/>
  <c r="H150" i="1" s="1"/>
  <c r="D144" i="3"/>
  <c r="A151" i="23"/>
  <c r="B151" i="23" s="1"/>
  <c r="B158" i="1"/>
  <c r="D39" i="5"/>
  <c r="G45" i="1" s="1"/>
  <c r="I45" i="1" s="1"/>
  <c r="H45" i="1" s="1"/>
  <c r="D39" i="3"/>
  <c r="D145" i="5"/>
  <c r="G151" i="1" s="1"/>
  <c r="I151" i="1" s="1"/>
  <c r="H151" i="1" s="1"/>
  <c r="D145" i="3"/>
  <c r="C47" i="5"/>
  <c r="D47" i="5" s="1"/>
  <c r="G53" i="1" s="1"/>
  <c r="D101" i="3"/>
  <c r="D101" i="5"/>
  <c r="G107" i="1" s="1"/>
  <c r="I107" i="1" s="1"/>
  <c r="H107" i="1" s="1"/>
  <c r="A91" i="23"/>
  <c r="B91" i="23" s="1"/>
  <c r="B98" i="1"/>
  <c r="A87" i="23"/>
  <c r="B87" i="23" s="1"/>
  <c r="B94" i="1"/>
  <c r="C95" i="1"/>
  <c r="D83" i="23"/>
  <c r="M148" i="10"/>
  <c r="K148" i="10"/>
  <c r="J148" i="10"/>
  <c r="L148" i="10"/>
  <c r="J146" i="10"/>
  <c r="L146" i="10"/>
  <c r="K146" i="10"/>
  <c r="M146" i="10"/>
  <c r="J154" i="10"/>
  <c r="M154" i="10"/>
  <c r="L154" i="10"/>
  <c r="K154" i="10"/>
  <c r="J149" i="10"/>
  <c r="L149" i="10"/>
  <c r="K149" i="10"/>
  <c r="M161" i="10"/>
  <c r="L161" i="10"/>
  <c r="K161" i="10"/>
  <c r="J151" i="10"/>
  <c r="K151" i="10"/>
  <c r="M151" i="10"/>
  <c r="L151" i="10"/>
  <c r="L164" i="10"/>
  <c r="K164" i="10"/>
  <c r="M164" i="10"/>
  <c r="J164" i="10"/>
  <c r="L165" i="10"/>
  <c r="J156" i="10"/>
  <c r="M156" i="10"/>
  <c r="K156" i="10"/>
  <c r="L156" i="10"/>
  <c r="M150" i="10"/>
  <c r="K150" i="10"/>
  <c r="L150" i="10"/>
  <c r="J145" i="10"/>
  <c r="K145" i="10"/>
  <c r="M145" i="10"/>
  <c r="L145" i="10"/>
  <c r="M162" i="10"/>
  <c r="J162" i="10"/>
  <c r="K162" i="10"/>
  <c r="L162" i="10"/>
  <c r="K165" i="10"/>
  <c r="M158" i="10"/>
  <c r="L158" i="10"/>
  <c r="J158" i="10"/>
  <c r="K158" i="10"/>
  <c r="L147" i="10"/>
  <c r="M147" i="10"/>
  <c r="J147" i="10"/>
  <c r="K147" i="10"/>
  <c r="D95" i="10"/>
  <c r="D175" i="10" s="1"/>
  <c r="G95" i="10"/>
  <c r="E175" i="10" s="1"/>
  <c r="J59" i="10"/>
  <c r="K59" i="10"/>
  <c r="L59" i="10"/>
  <c r="M59" i="10"/>
  <c r="K57" i="10"/>
  <c r="J57" i="10"/>
  <c r="I60" i="10"/>
  <c r="M57" i="10"/>
  <c r="L57" i="10"/>
  <c r="M58" i="10"/>
  <c r="J58" i="10"/>
  <c r="K58" i="10"/>
  <c r="L58" i="10"/>
  <c r="J45" i="10"/>
  <c r="K45" i="10"/>
  <c r="L45" i="10"/>
  <c r="J37" i="10"/>
  <c r="L37" i="10"/>
  <c r="K37" i="10"/>
  <c r="M37" i="10"/>
  <c r="J48" i="10"/>
  <c r="M48" i="10"/>
  <c r="L48" i="10"/>
  <c r="K48" i="10"/>
  <c r="L50" i="10"/>
  <c r="J50" i="10"/>
  <c r="M50" i="10"/>
  <c r="K50" i="10"/>
  <c r="M38" i="10"/>
  <c r="L38" i="10"/>
  <c r="K38" i="10"/>
  <c r="M51" i="10"/>
  <c r="K51" i="10"/>
  <c r="C37" i="3"/>
  <c r="B6" i="17"/>
  <c r="G15" i="1"/>
  <c r="G20" i="1"/>
  <c r="I20" i="1" s="1"/>
  <c r="H20" i="1" s="1"/>
  <c r="G27" i="1"/>
  <c r="I27" i="1" s="1"/>
  <c r="H27" i="1" s="1"/>
  <c r="G21" i="1"/>
  <c r="I21" i="1" s="1"/>
  <c r="H21" i="1" s="1"/>
  <c r="G17" i="1"/>
  <c r="I17" i="1" s="1"/>
  <c r="H17" i="1" s="1"/>
  <c r="G18" i="1"/>
  <c r="I18" i="1" s="1"/>
  <c r="H18" i="1" s="1"/>
  <c r="G67" i="1"/>
  <c r="I67" i="1" s="1"/>
  <c r="H67" i="1" s="1"/>
  <c r="G37" i="1"/>
  <c r="I37" i="1" s="1"/>
  <c r="H37" i="1" s="1"/>
  <c r="G84" i="1"/>
  <c r="G66" i="1"/>
  <c r="I66" i="1" s="1"/>
  <c r="H66" i="1" s="1"/>
  <c r="G40" i="1"/>
  <c r="G55" i="1"/>
  <c r="G62" i="1"/>
  <c r="I62" i="1" s="1"/>
  <c r="H62" i="1" s="1"/>
  <c r="G38" i="1"/>
  <c r="G10" i="1"/>
  <c r="I10" i="1" s="1"/>
  <c r="H10" i="1" s="1"/>
  <c r="G58" i="1"/>
  <c r="I58" i="1" s="1"/>
  <c r="H58" i="1" s="1"/>
  <c r="G12" i="1"/>
  <c r="G23" i="1"/>
  <c r="D79" i="5"/>
  <c r="G85" i="1" s="1"/>
  <c r="G82" i="1"/>
  <c r="I82" i="1" s="1"/>
  <c r="H82" i="1" s="1"/>
  <c r="G72" i="1"/>
  <c r="G68" i="1"/>
  <c r="I68" i="1" s="1"/>
  <c r="H68" i="1" s="1"/>
  <c r="G13" i="1"/>
  <c r="I13" i="1" s="1"/>
  <c r="H13" i="1" s="1"/>
  <c r="G9" i="1"/>
  <c r="I9" i="1" s="1"/>
  <c r="H9" i="1" s="1"/>
  <c r="G71" i="1"/>
  <c r="C21" i="25"/>
  <c r="C13" i="25"/>
  <c r="C5" i="25"/>
  <c r="C2" i="25"/>
  <c r="C16" i="25"/>
  <c r="C14" i="25"/>
  <c r="C20" i="25"/>
  <c r="C12" i="25"/>
  <c r="C4" i="25"/>
  <c r="C10" i="25"/>
  <c r="C8" i="25"/>
  <c r="C6" i="25"/>
  <c r="C19" i="25"/>
  <c r="C11" i="25"/>
  <c r="C3" i="25"/>
  <c r="C18" i="25"/>
  <c r="C9" i="25"/>
  <c r="C15" i="25"/>
  <c r="C17" i="25"/>
  <c r="C7" i="25"/>
  <c r="G34" i="1"/>
  <c r="G156" i="1"/>
  <c r="B89" i="5"/>
  <c r="C10" i="1"/>
  <c r="B4" i="5"/>
  <c r="B8" i="5"/>
  <c r="C14" i="1"/>
  <c r="C8" i="3"/>
  <c r="H154" i="3"/>
  <c r="F153" i="23"/>
  <c r="D43" i="3"/>
  <c r="D43" i="5"/>
  <c r="G49" i="1" s="1"/>
  <c r="B74" i="1"/>
  <c r="A68" i="23"/>
  <c r="B68" i="23" s="1"/>
  <c r="G25" i="1"/>
  <c r="I25" i="1" s="1"/>
  <c r="H25" i="1" s="1"/>
  <c r="G81" i="1"/>
  <c r="I81" i="1" s="1"/>
  <c r="H81" i="1" s="1"/>
  <c r="G16" i="1"/>
  <c r="G39" i="1"/>
  <c r="G54" i="1"/>
  <c r="G19" i="1"/>
  <c r="G76" i="1"/>
  <c r="I76" i="1" s="1"/>
  <c r="H76" i="1" s="1"/>
  <c r="G57" i="1"/>
  <c r="G52" i="1"/>
  <c r="I52" i="1" s="1"/>
  <c r="H52" i="1" s="1"/>
  <c r="G43" i="1"/>
  <c r="I43" i="1" s="1"/>
  <c r="H43" i="1" s="1"/>
  <c r="G32" i="1"/>
  <c r="I32" i="1" s="1"/>
  <c r="H32" i="1" s="1"/>
  <c r="G29" i="1"/>
  <c r="I29" i="1" s="1"/>
  <c r="H29" i="1" s="1"/>
  <c r="G47" i="1"/>
  <c r="I47" i="1" s="1"/>
  <c r="H47" i="1" s="1"/>
  <c r="G22" i="1"/>
  <c r="I22" i="1" s="1"/>
  <c r="H22" i="1" s="1"/>
  <c r="G36" i="1"/>
  <c r="I36" i="1" s="1"/>
  <c r="H36" i="1" s="1"/>
  <c r="G11" i="1"/>
  <c r="G63" i="1"/>
  <c r="G44" i="1"/>
  <c r="G59" i="1"/>
  <c r="A36" i="23"/>
  <c r="B36" i="23" s="1"/>
  <c r="B42" i="1"/>
  <c r="G41" i="1"/>
  <c r="I41" i="1" s="1"/>
  <c r="H41" i="1" s="1"/>
  <c r="A40" i="23"/>
  <c r="B40" i="23" s="1"/>
  <c r="B46" i="1"/>
  <c r="F155" i="23"/>
  <c r="H156" i="3"/>
  <c r="F3" i="23"/>
  <c r="H3" i="3"/>
  <c r="H151" i="3"/>
  <c r="F150" i="23"/>
  <c r="D120" i="3"/>
  <c r="D120" i="5"/>
  <c r="G126" i="1" s="1"/>
  <c r="A18" i="23"/>
  <c r="B18" i="23" s="1"/>
  <c r="B24" i="1"/>
  <c r="B89" i="1"/>
  <c r="G89" i="1"/>
  <c r="A82" i="23"/>
  <c r="B82" i="23" s="1"/>
  <c r="D132" i="5"/>
  <c r="G138" i="1" s="1"/>
  <c r="D132" i="3"/>
  <c r="C36" i="1"/>
  <c r="C30" i="3"/>
  <c r="B30" i="5"/>
  <c r="G90" i="1"/>
  <c r="I90" i="1" s="1"/>
  <c r="H90" i="1" s="1"/>
  <c r="A83" i="23"/>
  <c r="B83" i="23" s="1"/>
  <c r="B90" i="1"/>
  <c r="D2" i="3"/>
  <c r="D2" i="5"/>
  <c r="G8" i="1" s="1"/>
  <c r="G157" i="1"/>
  <c r="I157" i="1" s="1"/>
  <c r="H157" i="1" s="1"/>
  <c r="G147" i="1"/>
  <c r="I147" i="1" s="1"/>
  <c r="H147" i="1" s="1"/>
  <c r="G152" i="1"/>
  <c r="G155" i="1"/>
  <c r="I155" i="1" s="1"/>
  <c r="H155" i="1" s="1"/>
  <c r="G160" i="1"/>
  <c r="G158" i="1"/>
  <c r="G146" i="1"/>
  <c r="I146" i="1" s="1"/>
  <c r="H146" i="1" s="1"/>
  <c r="G161" i="1"/>
  <c r="I161" i="1" s="1"/>
  <c r="H161" i="1" s="1"/>
  <c r="G162" i="1"/>
  <c r="I162" i="1" s="1"/>
  <c r="H162" i="1" s="1"/>
  <c r="D95" i="5"/>
  <c r="G101" i="1" s="1"/>
  <c r="D95" i="3"/>
  <c r="G159" i="1"/>
  <c r="G163" i="1"/>
  <c r="C105" i="1"/>
  <c r="B99" i="5"/>
  <c r="C99" i="3"/>
  <c r="C26" i="3"/>
  <c r="B26" i="5"/>
  <c r="C32" i="1"/>
  <c r="I139" i="1"/>
  <c r="H139" i="1" s="1"/>
  <c r="J128" i="10"/>
  <c r="K128" i="10"/>
  <c r="L128" i="10"/>
  <c r="M128" i="10"/>
  <c r="M125" i="10"/>
  <c r="K125" i="10"/>
  <c r="J125" i="10"/>
  <c r="L125" i="10"/>
  <c r="L127" i="10"/>
  <c r="J127" i="10"/>
  <c r="M127" i="10"/>
  <c r="K127" i="10"/>
  <c r="K126" i="10"/>
  <c r="J126" i="10"/>
  <c r="L126" i="10"/>
  <c r="M126" i="10"/>
  <c r="K136" i="10"/>
  <c r="M136" i="10"/>
  <c r="L136" i="10"/>
  <c r="J136" i="10"/>
  <c r="J134" i="10"/>
  <c r="M134" i="10"/>
  <c r="K134" i="10"/>
  <c r="L134" i="10"/>
  <c r="I137" i="10"/>
  <c r="K129" i="10"/>
  <c r="L129" i="10"/>
  <c r="M129" i="10"/>
  <c r="J129" i="10"/>
  <c r="K132" i="10"/>
  <c r="M132" i="10"/>
  <c r="J132" i="10"/>
  <c r="L132" i="10"/>
  <c r="M135" i="10"/>
  <c r="L135" i="10"/>
  <c r="J135" i="10"/>
  <c r="K135" i="10"/>
  <c r="K41" i="10"/>
  <c r="J41" i="10"/>
  <c r="L41" i="10"/>
  <c r="M41" i="10"/>
  <c r="K47" i="10"/>
  <c r="L47" i="10"/>
  <c r="J47" i="10"/>
  <c r="M47" i="10"/>
  <c r="L46" i="10"/>
  <c r="J46" i="10"/>
  <c r="M46" i="10"/>
  <c r="K46" i="10"/>
  <c r="J44" i="10"/>
  <c r="M44" i="10"/>
  <c r="K44" i="10"/>
  <c r="L44" i="10"/>
  <c r="J39" i="10"/>
  <c r="K39" i="10"/>
  <c r="L39" i="10"/>
  <c r="M39" i="10"/>
  <c r="J36" i="10"/>
  <c r="L36" i="10"/>
  <c r="K36" i="10"/>
  <c r="M36" i="10"/>
  <c r="L42" i="10"/>
  <c r="K42" i="10"/>
  <c r="J42" i="10"/>
  <c r="M42" i="10"/>
  <c r="L52" i="10"/>
  <c r="K52" i="10"/>
  <c r="M52" i="10"/>
  <c r="J52" i="10"/>
  <c r="M35" i="10"/>
  <c r="K35" i="10"/>
  <c r="L35" i="10"/>
  <c r="J35" i="10"/>
  <c r="F180" i="10"/>
  <c r="G171" i="10" s="1"/>
  <c r="L54" i="10"/>
  <c r="M54" i="10"/>
  <c r="J54" i="10"/>
  <c r="K54" i="10"/>
  <c r="L40" i="10"/>
  <c r="J40" i="10"/>
  <c r="M40" i="10"/>
  <c r="K40" i="10"/>
  <c r="J34" i="10"/>
  <c r="K34" i="10"/>
  <c r="L34" i="10"/>
  <c r="M34" i="10"/>
  <c r="I56" i="10"/>
  <c r="M29" i="10"/>
  <c r="M12" i="10"/>
  <c r="M6" i="10"/>
  <c r="M16" i="10"/>
  <c r="M31" i="10"/>
  <c r="M23" i="10"/>
  <c r="M21" i="10"/>
  <c r="M26" i="10"/>
  <c r="M15" i="10"/>
  <c r="M30" i="10"/>
  <c r="M17" i="10"/>
  <c r="M11" i="10"/>
  <c r="M10" i="10"/>
  <c r="M8" i="10"/>
  <c r="M20" i="10"/>
  <c r="M27" i="10"/>
  <c r="M19" i="10"/>
  <c r="M22" i="10"/>
  <c r="M4" i="10"/>
  <c r="M3" i="10"/>
  <c r="M2" i="10"/>
  <c r="M28" i="10"/>
  <c r="M7" i="10"/>
  <c r="M24" i="10"/>
  <c r="M13" i="10"/>
  <c r="M5" i="10"/>
  <c r="M18" i="10"/>
  <c r="M14" i="10"/>
  <c r="M9" i="10"/>
  <c r="M25" i="10"/>
  <c r="F75" i="10" l="1"/>
  <c r="D75" i="10"/>
  <c r="E75" i="10"/>
  <c r="G75" i="10"/>
  <c r="C174" i="10"/>
  <c r="B22" i="17" s="1"/>
  <c r="B174" i="10"/>
  <c r="D174" i="10"/>
  <c r="G32" i="10"/>
  <c r="E171" i="10" s="1"/>
  <c r="E156" i="3"/>
  <c r="D155" i="23"/>
  <c r="D45" i="3"/>
  <c r="D24" i="3"/>
  <c r="E179" i="23"/>
  <c r="C184" i="1" s="1"/>
  <c r="G167" i="10"/>
  <c r="E179" i="10" s="1"/>
  <c r="D189" i="10" s="1"/>
  <c r="F167" i="10"/>
  <c r="C179" i="10" s="1"/>
  <c r="E167" i="10"/>
  <c r="B179" i="10" s="1"/>
  <c r="D167" i="10"/>
  <c r="C189" i="10" s="1"/>
  <c r="D123" i="10"/>
  <c r="D176" i="10" s="1"/>
  <c r="F123" i="10"/>
  <c r="C176" i="10" s="1"/>
  <c r="E123" i="10"/>
  <c r="B176" i="10" s="1"/>
  <c r="G123" i="10"/>
  <c r="E176" i="10" s="1"/>
  <c r="E174" i="10"/>
  <c r="D186" i="10"/>
  <c r="L75" i="10"/>
  <c r="D60" i="10"/>
  <c r="D173" i="10" s="1"/>
  <c r="C185" i="10" s="1"/>
  <c r="D36" i="5"/>
  <c r="G42" i="1" s="1"/>
  <c r="I42" i="1" s="1"/>
  <c r="H42" i="1" s="1"/>
  <c r="D36" i="3"/>
  <c r="D124" i="3"/>
  <c r="D47" i="3"/>
  <c r="D122" i="3"/>
  <c r="I135" i="1"/>
  <c r="H135" i="1" s="1"/>
  <c r="I123" i="1"/>
  <c r="H123" i="1" s="1"/>
  <c r="I122" i="1"/>
  <c r="H122" i="1" s="1"/>
  <c r="I137" i="1"/>
  <c r="H137" i="1" s="1"/>
  <c r="I152" i="1"/>
  <c r="H152" i="1" s="1"/>
  <c r="I23" i="1"/>
  <c r="H23" i="1" s="1"/>
  <c r="I31" i="1"/>
  <c r="H31" i="1" s="1"/>
  <c r="I15" i="1"/>
  <c r="H15" i="1" s="1"/>
  <c r="F90" i="1"/>
  <c r="I158" i="1"/>
  <c r="H158" i="1" s="1"/>
  <c r="I12" i="1"/>
  <c r="H12" i="1" s="1"/>
  <c r="I124" i="1"/>
  <c r="H124" i="1" s="1"/>
  <c r="I128" i="1"/>
  <c r="H128" i="1" s="1"/>
  <c r="I78" i="1"/>
  <c r="H78" i="1" s="1"/>
  <c r="I39" i="1"/>
  <c r="H39" i="1" s="1"/>
  <c r="I72" i="1"/>
  <c r="H72" i="1" s="1"/>
  <c r="B14" i="17" s="1"/>
  <c r="I51" i="1"/>
  <c r="H51" i="1" s="1"/>
  <c r="I96" i="1"/>
  <c r="H96" i="1" s="1"/>
  <c r="I86" i="1"/>
  <c r="H86" i="1" s="1"/>
  <c r="I60" i="1"/>
  <c r="H60" i="1" s="1"/>
  <c r="I63" i="1"/>
  <c r="H63" i="1" s="1"/>
  <c r="I19" i="1"/>
  <c r="H19" i="1" s="1"/>
  <c r="I34" i="1"/>
  <c r="H34" i="1" s="1"/>
  <c r="I85" i="1"/>
  <c r="H85" i="1" s="1"/>
  <c r="I38" i="1"/>
  <c r="H38" i="1" s="1"/>
  <c r="I84" i="1"/>
  <c r="H84" i="1" s="1"/>
  <c r="I74" i="1"/>
  <c r="H74" i="1" s="1"/>
  <c r="I131" i="1"/>
  <c r="H131" i="1" s="1"/>
  <c r="I145" i="1"/>
  <c r="H145" i="1" s="1"/>
  <c r="I57" i="1"/>
  <c r="H57" i="1" s="1"/>
  <c r="I49" i="1"/>
  <c r="H49" i="1" s="1"/>
  <c r="I110" i="1"/>
  <c r="H110" i="1" s="1"/>
  <c r="I92" i="1"/>
  <c r="H92" i="1" s="1"/>
  <c r="I109" i="1"/>
  <c r="H109" i="1" s="1"/>
  <c r="I116" i="1"/>
  <c r="H116" i="1" s="1"/>
  <c r="I160" i="1"/>
  <c r="H160" i="1" s="1"/>
  <c r="I59" i="1"/>
  <c r="H59" i="1" s="1"/>
  <c r="I69" i="1"/>
  <c r="H69" i="1" s="1"/>
  <c r="I16" i="1"/>
  <c r="H16" i="1" s="1"/>
  <c r="I40" i="1"/>
  <c r="H40" i="1" s="1"/>
  <c r="I11" i="1"/>
  <c r="H11" i="1" s="1"/>
  <c r="I54" i="1"/>
  <c r="H54" i="1" s="1"/>
  <c r="I77" i="1"/>
  <c r="H77" i="1" s="1"/>
  <c r="I127" i="1"/>
  <c r="H127" i="1" s="1"/>
  <c r="I73" i="1"/>
  <c r="H73" i="1" s="1"/>
  <c r="I121" i="1"/>
  <c r="H121" i="1" s="1"/>
  <c r="I83" i="1"/>
  <c r="H83" i="1" s="1"/>
  <c r="I134" i="1"/>
  <c r="H134" i="1" s="1"/>
  <c r="I144" i="1"/>
  <c r="H144" i="1" s="1"/>
  <c r="I159" i="1"/>
  <c r="H159" i="1" s="1"/>
  <c r="I115" i="1"/>
  <c r="H115" i="1" s="1"/>
  <c r="F162" i="1"/>
  <c r="I111" i="1"/>
  <c r="H111" i="1" s="1"/>
  <c r="I120" i="1"/>
  <c r="H120" i="1" s="1"/>
  <c r="I8" i="1"/>
  <c r="H8" i="1" s="1"/>
  <c r="I126" i="1"/>
  <c r="H126" i="1" s="1"/>
  <c r="I35" i="1"/>
  <c r="H35" i="1" s="1"/>
  <c r="I56" i="1"/>
  <c r="H56" i="1" s="1"/>
  <c r="I89" i="1"/>
  <c r="H89" i="1" s="1"/>
  <c r="I129" i="1"/>
  <c r="H129" i="1" s="1"/>
  <c r="I163" i="1"/>
  <c r="H163" i="1" s="1"/>
  <c r="I113" i="1"/>
  <c r="H113" i="1" s="1"/>
  <c r="I130" i="1"/>
  <c r="H130" i="1" s="1"/>
  <c r="I106" i="1"/>
  <c r="H106" i="1" s="1"/>
  <c r="I30" i="1"/>
  <c r="H30" i="1" s="1"/>
  <c r="I138" i="1"/>
  <c r="H138" i="1" s="1"/>
  <c r="I75" i="1"/>
  <c r="H75" i="1" s="1"/>
  <c r="I156" i="1"/>
  <c r="H156" i="1" s="1"/>
  <c r="I80" i="1"/>
  <c r="H80" i="1" s="1"/>
  <c r="I53" i="1"/>
  <c r="H53" i="1" s="1"/>
  <c r="I50" i="1"/>
  <c r="H50" i="1" s="1"/>
  <c r="G60" i="10"/>
  <c r="E173" i="10" s="1"/>
  <c r="D185" i="10" s="1"/>
  <c r="E60" i="10"/>
  <c r="B173" i="10" s="1"/>
  <c r="B185" i="10" s="1"/>
  <c r="F60" i="10"/>
  <c r="C173" i="10" s="1"/>
  <c r="C199" i="1"/>
  <c r="K19" i="1" s="1"/>
  <c r="J31" i="23"/>
  <c r="C202" i="1"/>
  <c r="K22" i="1" s="1"/>
  <c r="J28" i="23"/>
  <c r="L14" i="23" s="1"/>
  <c r="C208" i="1"/>
  <c r="K28" i="1" s="1"/>
  <c r="J38" i="23"/>
  <c r="L6" i="23" s="1"/>
  <c r="C195" i="1"/>
  <c r="K15" i="1" s="1"/>
  <c r="J21" i="23"/>
  <c r="L18" i="23" s="1"/>
  <c r="J22" i="23"/>
  <c r="L17" i="23" s="1"/>
  <c r="C192" i="1"/>
  <c r="K12" i="1" s="1"/>
  <c r="C203" i="1"/>
  <c r="K23" i="1" s="1"/>
  <c r="D14" i="1" s="1"/>
  <c r="J29" i="23"/>
  <c r="L13" i="23" s="1"/>
  <c r="C200" i="1"/>
  <c r="K20" i="1" s="1"/>
  <c r="J32" i="23"/>
  <c r="L12" i="23" s="1"/>
  <c r="C196" i="1"/>
  <c r="K16" i="1" s="1"/>
  <c r="D43" i="1" s="1"/>
  <c r="J34" i="23"/>
  <c r="L10" i="23" s="1"/>
  <c r="J26" i="23"/>
  <c r="L15" i="23" s="1"/>
  <c r="C190" i="1"/>
  <c r="K10" i="1" s="1"/>
  <c r="J39" i="23"/>
  <c r="L5" i="23" s="1"/>
  <c r="C209" i="1"/>
  <c r="K29" i="1" s="1"/>
  <c r="J30" i="23"/>
  <c r="C204" i="1"/>
  <c r="K24" i="1" s="1"/>
  <c r="D105" i="1" s="1"/>
  <c r="C198" i="1"/>
  <c r="K18" i="1" s="1"/>
  <c r="D36" i="1" s="1"/>
  <c r="J36" i="23"/>
  <c r="L8" i="23" s="1"/>
  <c r="E165" i="23" s="1"/>
  <c r="G165" i="23" s="1"/>
  <c r="J23" i="23"/>
  <c r="C193" i="1"/>
  <c r="K13" i="1" s="1"/>
  <c r="J25" i="23"/>
  <c r="C189" i="1"/>
  <c r="K9" i="1" s="1"/>
  <c r="C207" i="1"/>
  <c r="K27" i="1" s="1"/>
  <c r="J37" i="23"/>
  <c r="L7" i="23" s="1"/>
  <c r="J33" i="23"/>
  <c r="L11" i="23" s="1"/>
  <c r="C201" i="1"/>
  <c r="K21" i="1" s="1"/>
  <c r="C197" i="1"/>
  <c r="K17" i="1" s="1"/>
  <c r="D32" i="1" s="1"/>
  <c r="J35" i="23"/>
  <c r="L9" i="23" s="1"/>
  <c r="E175" i="23" s="1"/>
  <c r="G175" i="23" s="1"/>
  <c r="D175" i="23" s="1"/>
  <c r="C191" i="1"/>
  <c r="K11" i="1" s="1"/>
  <c r="J27" i="23"/>
  <c r="J24" i="23"/>
  <c r="L16" i="23" s="1"/>
  <c r="C194" i="1"/>
  <c r="K14" i="1" s="1"/>
  <c r="C206" i="1"/>
  <c r="K26" i="1" s="1"/>
  <c r="J40" i="23"/>
  <c r="L4" i="23" s="1"/>
  <c r="D40" i="3"/>
  <c r="I101" i="1"/>
  <c r="H101" i="1" s="1"/>
  <c r="I55" i="1"/>
  <c r="H55" i="1" s="1"/>
  <c r="I149" i="1"/>
  <c r="H149" i="1" s="1"/>
  <c r="I117" i="1"/>
  <c r="H117" i="1" s="1"/>
  <c r="I70" i="1"/>
  <c r="H70" i="1" s="1"/>
  <c r="I114" i="1"/>
  <c r="H114" i="1" s="1"/>
  <c r="I46" i="1"/>
  <c r="H46" i="1" s="1"/>
  <c r="I153" i="1"/>
  <c r="H153" i="1" s="1"/>
  <c r="I65" i="1"/>
  <c r="H65" i="1" s="1"/>
  <c r="I71" i="1"/>
  <c r="H71" i="1" s="1"/>
  <c r="I44" i="1"/>
  <c r="H44" i="1" s="1"/>
  <c r="D137" i="10"/>
  <c r="D177" i="10" s="1"/>
  <c r="F137" i="10"/>
  <c r="C177" i="10" s="1"/>
  <c r="E137" i="10"/>
  <c r="B177" i="10" s="1"/>
  <c r="G137" i="10"/>
  <c r="E177" i="10" s="1"/>
  <c r="G172" i="10"/>
  <c r="G179" i="10"/>
  <c r="G174" i="10"/>
  <c r="E56" i="10"/>
  <c r="B172" i="10" s="1"/>
  <c r="B191" i="10" s="1"/>
  <c r="G176" i="10"/>
  <c r="G177" i="10"/>
  <c r="F56" i="10"/>
  <c r="C172" i="10" s="1"/>
  <c r="D56" i="10"/>
  <c r="D172" i="10" s="1"/>
  <c r="G178" i="10"/>
  <c r="K178" i="10" s="1"/>
  <c r="G173" i="10"/>
  <c r="G175" i="10"/>
  <c r="K175" i="10" s="1"/>
  <c r="G56" i="10"/>
  <c r="E172" i="10" s="1"/>
  <c r="K176" i="10" l="1"/>
  <c r="D179" i="10"/>
  <c r="B189" i="10"/>
  <c r="J179" i="10"/>
  <c r="B186" i="10"/>
  <c r="B23" i="17"/>
  <c r="H174" i="10"/>
  <c r="E178" i="23"/>
  <c r="G178" i="23" s="1"/>
  <c r="D178" i="23" s="1"/>
  <c r="E183" i="1" s="1"/>
  <c r="G179" i="23"/>
  <c r="D67" i="1"/>
  <c r="E61" i="3" s="1"/>
  <c r="F43" i="1"/>
  <c r="G37" i="3" s="1"/>
  <c r="E99" i="3"/>
  <c r="D10" i="1"/>
  <c r="G156" i="3"/>
  <c r="E90" i="1"/>
  <c r="E166" i="23"/>
  <c r="C172" i="1" s="1"/>
  <c r="F36" i="1"/>
  <c r="E37" i="3"/>
  <c r="D37" i="23"/>
  <c r="B7" i="17"/>
  <c r="G84" i="3"/>
  <c r="E162" i="1"/>
  <c r="E162" i="23"/>
  <c r="G162" i="23" s="1"/>
  <c r="D162" i="23" s="1"/>
  <c r="E168" i="1" s="1"/>
  <c r="B13" i="17"/>
  <c r="E161" i="23"/>
  <c r="G161" i="23" s="1"/>
  <c r="D167" i="1" s="1"/>
  <c r="E174" i="23"/>
  <c r="G174" i="23" s="1"/>
  <c r="D174" i="23" s="1"/>
  <c r="E180" i="1" s="1"/>
  <c r="E177" i="23"/>
  <c r="E180" i="23"/>
  <c r="E168" i="23"/>
  <c r="C174" i="1" s="1"/>
  <c r="I177" i="10"/>
  <c r="I173" i="10"/>
  <c r="H172" i="10"/>
  <c r="H179" i="10"/>
  <c r="K179" i="10"/>
  <c r="F14" i="1"/>
  <c r="D8" i="23"/>
  <c r="E8" i="3"/>
  <c r="E170" i="23"/>
  <c r="E30" i="3"/>
  <c r="D98" i="23"/>
  <c r="E171" i="23"/>
  <c r="D30" i="23"/>
  <c r="D26" i="23"/>
  <c r="E26" i="3"/>
  <c r="F32" i="1"/>
  <c r="F105" i="1"/>
  <c r="D125" i="1"/>
  <c r="D135" i="1"/>
  <c r="D29" i="1"/>
  <c r="D89" i="1"/>
  <c r="D96" i="1"/>
  <c r="D132" i="1"/>
  <c r="D72" i="1"/>
  <c r="D126" i="1"/>
  <c r="D127" i="1"/>
  <c r="D78" i="1"/>
  <c r="D80" i="1"/>
  <c r="D129" i="1"/>
  <c r="D86" i="1"/>
  <c r="D56" i="1"/>
  <c r="D77" i="1"/>
  <c r="D39" i="1"/>
  <c r="D38" i="1"/>
  <c r="D140" i="1"/>
  <c r="D30" i="1"/>
  <c r="D131" i="1"/>
  <c r="D17" i="1"/>
  <c r="D62" i="1"/>
  <c r="D137" i="1"/>
  <c r="D151" i="1"/>
  <c r="D114" i="1"/>
  <c r="D144" i="1"/>
  <c r="D93" i="1"/>
  <c r="D110" i="1"/>
  <c r="D159" i="1"/>
  <c r="D63" i="1"/>
  <c r="D35" i="1"/>
  <c r="D133" i="1"/>
  <c r="D15" i="1"/>
  <c r="D109" i="1"/>
  <c r="D145" i="1"/>
  <c r="D81" i="1"/>
  <c r="D91" i="1"/>
  <c r="D51" i="1"/>
  <c r="D148" i="1"/>
  <c r="D153" i="1"/>
  <c r="D87" i="1"/>
  <c r="D113" i="1"/>
  <c r="D118" i="1"/>
  <c r="D34" i="1"/>
  <c r="D19" i="1"/>
  <c r="D54" i="1"/>
  <c r="D128" i="1"/>
  <c r="D44" i="1"/>
  <c r="D79" i="1"/>
  <c r="D27" i="1"/>
  <c r="D84" i="1"/>
  <c r="D155" i="1"/>
  <c r="D33" i="1"/>
  <c r="D142" i="1"/>
  <c r="D24" i="1"/>
  <c r="D53" i="1"/>
  <c r="E167" i="23"/>
  <c r="E164" i="23"/>
  <c r="E173" i="23"/>
  <c r="E176" i="23"/>
  <c r="D42" i="1"/>
  <c r="D57" i="1"/>
  <c r="D88" i="1"/>
  <c r="D139" i="1"/>
  <c r="D107" i="1"/>
  <c r="D45" i="1"/>
  <c r="D18" i="1"/>
  <c r="D108" i="1"/>
  <c r="D115" i="1"/>
  <c r="D65" i="1"/>
  <c r="D13" i="1"/>
  <c r="D95" i="1"/>
  <c r="D52" i="1"/>
  <c r="D130" i="1"/>
  <c r="D163" i="1"/>
  <c r="D20" i="1"/>
  <c r="E169" i="23"/>
  <c r="D164" i="1"/>
  <c r="D47" i="1"/>
  <c r="D12" i="1"/>
  <c r="D99" i="1"/>
  <c r="D26" i="1"/>
  <c r="D75" i="1"/>
  <c r="D122" i="1"/>
  <c r="D92" i="1"/>
  <c r="D134" i="1"/>
  <c r="D71" i="1"/>
  <c r="C171" i="1"/>
  <c r="E181" i="23"/>
  <c r="C186" i="1" s="1"/>
  <c r="D94" i="1"/>
  <c r="D37" i="1"/>
  <c r="D124" i="1"/>
  <c r="D69" i="1"/>
  <c r="D76" i="1"/>
  <c r="D23" i="1"/>
  <c r="D146" i="1"/>
  <c r="D50" i="1"/>
  <c r="D158" i="1"/>
  <c r="E172" i="23"/>
  <c r="E163" i="23"/>
  <c r="D121" i="1"/>
  <c r="D48" i="1"/>
  <c r="D70" i="1"/>
  <c r="D123" i="1"/>
  <c r="D117" i="1"/>
  <c r="D40" i="1"/>
  <c r="D83" i="1"/>
  <c r="D160" i="1"/>
  <c r="D73" i="1"/>
  <c r="D100" i="1"/>
  <c r="D154" i="1"/>
  <c r="D138" i="1"/>
  <c r="D149" i="1"/>
  <c r="D31" i="1"/>
  <c r="D120" i="1"/>
  <c r="D101" i="1"/>
  <c r="D41" i="1"/>
  <c r="D74" i="1"/>
  <c r="D152" i="1"/>
  <c r="D98" i="1"/>
  <c r="D55" i="1"/>
  <c r="D21" i="1"/>
  <c r="D136" i="1"/>
  <c r="D97" i="1"/>
  <c r="D61" i="1"/>
  <c r="D141" i="1"/>
  <c r="D156" i="1"/>
  <c r="D147" i="1"/>
  <c r="D102" i="1"/>
  <c r="D150" i="1"/>
  <c r="D64" i="1"/>
  <c r="D143" i="1"/>
  <c r="D103" i="1"/>
  <c r="D112" i="1"/>
  <c r="D28" i="1"/>
  <c r="D116" i="1"/>
  <c r="D11" i="1"/>
  <c r="D111" i="1"/>
  <c r="D22" i="1"/>
  <c r="D59" i="1"/>
  <c r="D16" i="1"/>
  <c r="D85" i="1"/>
  <c r="D157" i="1"/>
  <c r="D60" i="1"/>
  <c r="D8" i="1"/>
  <c r="D25" i="1"/>
  <c r="D9" i="1"/>
  <c r="D58" i="1"/>
  <c r="D82" i="1"/>
  <c r="D161" i="1"/>
  <c r="D68" i="1"/>
  <c r="D104" i="1"/>
  <c r="D46" i="1"/>
  <c r="D49" i="1"/>
  <c r="D66" i="1"/>
  <c r="D106" i="1"/>
  <c r="D119" i="1"/>
  <c r="D171" i="1"/>
  <c r="D165" i="23"/>
  <c r="E171" i="1" s="1"/>
  <c r="D179" i="23"/>
  <c r="E184" i="1" s="1"/>
  <c r="D184" i="1"/>
  <c r="J172" i="10"/>
  <c r="K174" i="10"/>
  <c r="I172" i="10"/>
  <c r="J174" i="10"/>
  <c r="I179" i="10"/>
  <c r="I174" i="10"/>
  <c r="I176" i="10"/>
  <c r="K172" i="10"/>
  <c r="H176" i="10"/>
  <c r="J176" i="10"/>
  <c r="H177" i="10"/>
  <c r="K177" i="10"/>
  <c r="J173" i="10"/>
  <c r="I178" i="10"/>
  <c r="J177" i="10"/>
  <c r="K173" i="10"/>
  <c r="J178" i="10"/>
  <c r="H173" i="10"/>
  <c r="H175" i="10"/>
  <c r="H178" i="10"/>
  <c r="D190" i="10"/>
  <c r="J175" i="10"/>
  <c r="I175" i="10"/>
  <c r="D184" i="10"/>
  <c r="K171" i="10"/>
  <c r="C183" i="1" l="1"/>
  <c r="D183" i="1"/>
  <c r="D61" i="23"/>
  <c r="F67" i="1"/>
  <c r="G61" i="3" s="1"/>
  <c r="E43" i="1"/>
  <c r="C37" i="23" s="1"/>
  <c r="E37" i="23" s="1"/>
  <c r="G37" i="23" s="1"/>
  <c r="F10" i="1"/>
  <c r="E4" i="3"/>
  <c r="D4" i="23"/>
  <c r="F84" i="3"/>
  <c r="G99" i="3"/>
  <c r="F156" i="3"/>
  <c r="G30" i="3"/>
  <c r="C83" i="23"/>
  <c r="E83" i="23" s="1"/>
  <c r="G83" i="23" s="1"/>
  <c r="G166" i="23"/>
  <c r="D166" i="23" s="1"/>
  <c r="E172" i="1" s="1"/>
  <c r="E36" i="1"/>
  <c r="L7" i="10"/>
  <c r="D171" i="10"/>
  <c r="C155" i="23"/>
  <c r="E155" i="23" s="1"/>
  <c r="G155" i="23" s="1"/>
  <c r="E105" i="1"/>
  <c r="D168" i="1"/>
  <c r="D180" i="1"/>
  <c r="C168" i="1"/>
  <c r="C167" i="1"/>
  <c r="C180" i="1"/>
  <c r="D161" i="23"/>
  <c r="E167" i="1" s="1"/>
  <c r="G26" i="3"/>
  <c r="L5" i="10"/>
  <c r="G168" i="23"/>
  <c r="C185" i="1"/>
  <c r="G180" i="23"/>
  <c r="G177" i="23"/>
  <c r="C182" i="1"/>
  <c r="G170" i="23"/>
  <c r="C176" i="1"/>
  <c r="E32" i="1"/>
  <c r="E14" i="1"/>
  <c r="G8" i="3"/>
  <c r="C177" i="1"/>
  <c r="G171" i="23"/>
  <c r="E40" i="3"/>
  <c r="D40" i="23"/>
  <c r="F46" i="1"/>
  <c r="E2" i="3"/>
  <c r="D2" i="23"/>
  <c r="F8" i="1"/>
  <c r="F11" i="1"/>
  <c r="D5" i="23"/>
  <c r="E5" i="3"/>
  <c r="E96" i="3"/>
  <c r="D95" i="23"/>
  <c r="F102" i="1"/>
  <c r="D49" i="23"/>
  <c r="E49" i="3"/>
  <c r="F55" i="1"/>
  <c r="D142" i="23"/>
  <c r="E143" i="3"/>
  <c r="F149" i="1"/>
  <c r="E111" i="3"/>
  <c r="D110" i="23"/>
  <c r="F117" i="1"/>
  <c r="E44" i="3"/>
  <c r="D44" i="23"/>
  <c r="F50" i="1"/>
  <c r="G181" i="23"/>
  <c r="D186" i="1" s="1"/>
  <c r="E20" i="3"/>
  <c r="D20" i="23"/>
  <c r="F26" i="1"/>
  <c r="E124" i="3"/>
  <c r="D123" i="23"/>
  <c r="F130" i="1"/>
  <c r="E39" i="3"/>
  <c r="D39" i="23"/>
  <c r="F45" i="1"/>
  <c r="C170" i="1"/>
  <c r="G164" i="23"/>
  <c r="D21" i="23"/>
  <c r="E21" i="3"/>
  <c r="F27" i="1"/>
  <c r="D106" i="23"/>
  <c r="E107" i="3"/>
  <c r="F113" i="1"/>
  <c r="E103" i="3"/>
  <c r="D102" i="23"/>
  <c r="F109" i="1"/>
  <c r="E138" i="3"/>
  <c r="D137" i="23"/>
  <c r="F144" i="1"/>
  <c r="D133" i="23"/>
  <c r="E134" i="3"/>
  <c r="F140" i="1"/>
  <c r="D23" i="23"/>
  <c r="E23" i="3"/>
  <c r="F29" i="1"/>
  <c r="E98" i="3"/>
  <c r="F104" i="1"/>
  <c r="D97" i="23"/>
  <c r="D54" i="23"/>
  <c r="F60" i="1"/>
  <c r="E54" i="3"/>
  <c r="E110" i="3"/>
  <c r="D109" i="23"/>
  <c r="F116" i="1"/>
  <c r="D140" i="23"/>
  <c r="E141" i="3"/>
  <c r="F147" i="1"/>
  <c r="D91" i="23"/>
  <c r="E92" i="3"/>
  <c r="F98" i="1"/>
  <c r="E132" i="3"/>
  <c r="D131" i="23"/>
  <c r="F138" i="1"/>
  <c r="D116" i="23"/>
  <c r="E117" i="3"/>
  <c r="F123" i="1"/>
  <c r="E140" i="3"/>
  <c r="D139" i="23"/>
  <c r="F146" i="1"/>
  <c r="E93" i="3"/>
  <c r="D92" i="23"/>
  <c r="F99" i="1"/>
  <c r="F52" i="1"/>
  <c r="D46" i="23"/>
  <c r="E46" i="3"/>
  <c r="E101" i="3"/>
  <c r="D100" i="23"/>
  <c r="F107" i="1"/>
  <c r="C173" i="1"/>
  <c r="G167" i="23"/>
  <c r="D73" i="23"/>
  <c r="F79" i="1"/>
  <c r="E73" i="3"/>
  <c r="E81" i="3"/>
  <c r="D81" i="23"/>
  <c r="F87" i="1"/>
  <c r="F15" i="1"/>
  <c r="D9" i="23"/>
  <c r="E9" i="3"/>
  <c r="D107" i="23"/>
  <c r="E108" i="3"/>
  <c r="F114" i="1"/>
  <c r="F38" i="1"/>
  <c r="D32" i="23"/>
  <c r="E32" i="3"/>
  <c r="D72" i="23"/>
  <c r="F78" i="1"/>
  <c r="E72" i="3"/>
  <c r="D128" i="23"/>
  <c r="E129" i="3"/>
  <c r="F135" i="1"/>
  <c r="D62" i="23"/>
  <c r="F68" i="1"/>
  <c r="E62" i="3"/>
  <c r="D150" i="23"/>
  <c r="E151" i="3"/>
  <c r="F157" i="1"/>
  <c r="E22" i="3"/>
  <c r="D22" i="23"/>
  <c r="F28" i="1"/>
  <c r="D149" i="23"/>
  <c r="E150" i="3"/>
  <c r="F156" i="1"/>
  <c r="D145" i="23"/>
  <c r="E146" i="3"/>
  <c r="F152" i="1"/>
  <c r="E148" i="3"/>
  <c r="D147" i="23"/>
  <c r="F154" i="1"/>
  <c r="D64" i="23"/>
  <c r="E64" i="3"/>
  <c r="F70" i="1"/>
  <c r="F23" i="1"/>
  <c r="D17" i="23"/>
  <c r="E17" i="3"/>
  <c r="F12" i="1"/>
  <c r="D6" i="23"/>
  <c r="E6" i="3"/>
  <c r="D88" i="23"/>
  <c r="E89" i="3"/>
  <c r="F95" i="1"/>
  <c r="E133" i="3"/>
  <c r="D132" i="23"/>
  <c r="F139" i="1"/>
  <c r="D47" i="23"/>
  <c r="E47" i="3"/>
  <c r="F53" i="1"/>
  <c r="D38" i="23"/>
  <c r="F44" i="1"/>
  <c r="E38" i="3"/>
  <c r="D146" i="23"/>
  <c r="E147" i="3"/>
  <c r="F153" i="1"/>
  <c r="D126" i="23"/>
  <c r="E127" i="3"/>
  <c r="F133" i="1"/>
  <c r="D144" i="23"/>
  <c r="E145" i="3"/>
  <c r="F151" i="1"/>
  <c r="E33" i="3"/>
  <c r="D33" i="23"/>
  <c r="F39" i="1"/>
  <c r="F127" i="1"/>
  <c r="D120" i="23"/>
  <c r="E121" i="3"/>
  <c r="E119" i="3"/>
  <c r="D118" i="23"/>
  <c r="F125" i="1"/>
  <c r="D154" i="23"/>
  <c r="E155" i="3"/>
  <c r="F161" i="1"/>
  <c r="D79" i="23"/>
  <c r="E79" i="3"/>
  <c r="F85" i="1"/>
  <c r="D105" i="23"/>
  <c r="E106" i="3"/>
  <c r="F112" i="1"/>
  <c r="E135" i="3"/>
  <c r="D134" i="23"/>
  <c r="F141" i="1"/>
  <c r="D68" i="23"/>
  <c r="E68" i="3"/>
  <c r="F74" i="1"/>
  <c r="E94" i="3"/>
  <c r="D93" i="23"/>
  <c r="F100" i="1"/>
  <c r="E42" i="3"/>
  <c r="D42" i="23"/>
  <c r="F48" i="1"/>
  <c r="D70" i="23"/>
  <c r="E70" i="3"/>
  <c r="F76" i="1"/>
  <c r="E65" i="3"/>
  <c r="D65" i="23"/>
  <c r="F71" i="1"/>
  <c r="D41" i="23"/>
  <c r="E41" i="3"/>
  <c r="F47" i="1"/>
  <c r="D7" i="23"/>
  <c r="E7" i="3"/>
  <c r="F13" i="1"/>
  <c r="E82" i="3"/>
  <c r="F88" i="1"/>
  <c r="E18" i="3"/>
  <c r="D18" i="23"/>
  <c r="F24" i="1"/>
  <c r="F128" i="1"/>
  <c r="E122" i="3"/>
  <c r="D121" i="23"/>
  <c r="D141" i="23"/>
  <c r="E142" i="3"/>
  <c r="F148" i="1"/>
  <c r="D29" i="23"/>
  <c r="E29" i="3"/>
  <c r="F35" i="1"/>
  <c r="E131" i="3"/>
  <c r="D130" i="23"/>
  <c r="F137" i="1"/>
  <c r="F77" i="1"/>
  <c r="E71" i="3"/>
  <c r="D71" i="23"/>
  <c r="E120" i="3"/>
  <c r="D119" i="23"/>
  <c r="F126" i="1"/>
  <c r="F82" i="1"/>
  <c r="D76" i="23"/>
  <c r="E76" i="3"/>
  <c r="E55" i="3"/>
  <c r="D55" i="23"/>
  <c r="F61" i="1"/>
  <c r="E67" i="3"/>
  <c r="D67" i="23"/>
  <c r="F73" i="1"/>
  <c r="E115" i="3"/>
  <c r="D114" i="23"/>
  <c r="F121" i="1"/>
  <c r="D63" i="23"/>
  <c r="E63" i="3"/>
  <c r="F69" i="1"/>
  <c r="E128" i="3"/>
  <c r="F134" i="1"/>
  <c r="D127" i="23"/>
  <c r="D157" i="23"/>
  <c r="E158" i="3"/>
  <c r="F164" i="1"/>
  <c r="E59" i="3"/>
  <c r="D59" i="23"/>
  <c r="F65" i="1"/>
  <c r="D51" i="23"/>
  <c r="E51" i="3"/>
  <c r="F57" i="1"/>
  <c r="D135" i="23"/>
  <c r="E136" i="3"/>
  <c r="F142" i="1"/>
  <c r="D48" i="23"/>
  <c r="E48" i="3"/>
  <c r="F54" i="1"/>
  <c r="F51" i="1"/>
  <c r="D45" i="23"/>
  <c r="E45" i="3"/>
  <c r="E57" i="3"/>
  <c r="D57" i="23"/>
  <c r="F63" i="1"/>
  <c r="F62" i="1"/>
  <c r="B9" i="17"/>
  <c r="E56" i="3"/>
  <c r="D56" i="23"/>
  <c r="D50" i="23"/>
  <c r="E50" i="3"/>
  <c r="F56" i="1"/>
  <c r="D66" i="23"/>
  <c r="E66" i="3"/>
  <c r="F72" i="1"/>
  <c r="D112" i="23"/>
  <c r="E113" i="3"/>
  <c r="F119" i="1"/>
  <c r="D10" i="23"/>
  <c r="E10" i="3"/>
  <c r="F16" i="1"/>
  <c r="D99" i="23"/>
  <c r="E100" i="3"/>
  <c r="F106" i="1"/>
  <c r="E52" i="3"/>
  <c r="D52" i="23"/>
  <c r="F58" i="1"/>
  <c r="F59" i="1"/>
  <c r="D53" i="23"/>
  <c r="E53" i="3"/>
  <c r="E137" i="3"/>
  <c r="D136" i="23"/>
  <c r="F143" i="1"/>
  <c r="D90" i="23"/>
  <c r="E91" i="3"/>
  <c r="F97" i="1"/>
  <c r="D94" i="23"/>
  <c r="E95" i="3"/>
  <c r="F101" i="1"/>
  <c r="F160" i="1"/>
  <c r="E154" i="3"/>
  <c r="D153" i="23"/>
  <c r="C169" i="1"/>
  <c r="G163" i="23"/>
  <c r="E118" i="3"/>
  <c r="D117" i="23"/>
  <c r="F124" i="1"/>
  <c r="F92" i="1"/>
  <c r="D85" i="23"/>
  <c r="E86" i="3"/>
  <c r="B31" i="17"/>
  <c r="G169" i="23"/>
  <c r="C175" i="1"/>
  <c r="D108" i="23"/>
  <c r="E109" i="3"/>
  <c r="F115" i="1"/>
  <c r="E36" i="3"/>
  <c r="D36" i="23"/>
  <c r="F42" i="1"/>
  <c r="E27" i="3"/>
  <c r="F33" i="1"/>
  <c r="D27" i="23"/>
  <c r="D13" i="23"/>
  <c r="E13" i="3"/>
  <c r="F19" i="1"/>
  <c r="F91" i="1"/>
  <c r="E85" i="3"/>
  <c r="D84" i="23"/>
  <c r="D152" i="23"/>
  <c r="E153" i="3"/>
  <c r="F159" i="1"/>
  <c r="E11" i="3"/>
  <c r="D11" i="23"/>
  <c r="F17" i="1"/>
  <c r="E80" i="3"/>
  <c r="D80" i="23"/>
  <c r="F86" i="1"/>
  <c r="E126" i="3"/>
  <c r="D125" i="23"/>
  <c r="F132" i="1"/>
  <c r="F103" i="1"/>
  <c r="E97" i="3"/>
  <c r="D96" i="23"/>
  <c r="D60" i="23"/>
  <c r="E60" i="3"/>
  <c r="F66" i="1"/>
  <c r="E3" i="3"/>
  <c r="D3" i="23"/>
  <c r="F9" i="1"/>
  <c r="F22" i="1"/>
  <c r="D16" i="23"/>
  <c r="E16" i="3"/>
  <c r="E58" i="3"/>
  <c r="D58" i="23"/>
  <c r="F64" i="1"/>
  <c r="D129" i="23"/>
  <c r="E130" i="3"/>
  <c r="F136" i="1"/>
  <c r="D113" i="23"/>
  <c r="E114" i="3"/>
  <c r="F120" i="1"/>
  <c r="E77" i="3"/>
  <c r="D77" i="23"/>
  <c r="F83" i="1"/>
  <c r="C178" i="1"/>
  <c r="G172" i="23"/>
  <c r="E31" i="3"/>
  <c r="D31" i="23"/>
  <c r="F37" i="1"/>
  <c r="D115" i="23"/>
  <c r="E116" i="3"/>
  <c r="F122" i="1"/>
  <c r="E14" i="3"/>
  <c r="F20" i="1"/>
  <c r="D14" i="23"/>
  <c r="D101" i="23"/>
  <c r="E102" i="3"/>
  <c r="F108" i="1"/>
  <c r="G176" i="23"/>
  <c r="C181" i="1"/>
  <c r="D148" i="23"/>
  <c r="E149" i="3"/>
  <c r="F155" i="1"/>
  <c r="E28" i="3"/>
  <c r="D28" i="23"/>
  <c r="F34" i="1"/>
  <c r="D75" i="23"/>
  <c r="E75" i="3"/>
  <c r="F81" i="1"/>
  <c r="D103" i="23"/>
  <c r="E104" i="3"/>
  <c r="F110" i="1"/>
  <c r="E125" i="3"/>
  <c r="D124" i="23"/>
  <c r="F131" i="1"/>
  <c r="E123" i="3"/>
  <c r="D122" i="23"/>
  <c r="F129" i="1"/>
  <c r="D89" i="23"/>
  <c r="F96" i="1"/>
  <c r="E90" i="3"/>
  <c r="E35" i="3"/>
  <c r="D35" i="23"/>
  <c r="F41" i="1"/>
  <c r="E43" i="3"/>
  <c r="D43" i="23"/>
  <c r="F49" i="1"/>
  <c r="D19" i="23"/>
  <c r="E19" i="3"/>
  <c r="F25" i="1"/>
  <c r="E105" i="3"/>
  <c r="D104" i="23"/>
  <c r="F111" i="1"/>
  <c r="E144" i="3"/>
  <c r="D143" i="23"/>
  <c r="F150" i="1"/>
  <c r="E15" i="3"/>
  <c r="D15" i="23"/>
  <c r="F21" i="1"/>
  <c r="D25" i="23"/>
  <c r="F31" i="1"/>
  <c r="E25" i="3"/>
  <c r="E34" i="3"/>
  <c r="D34" i="23"/>
  <c r="F40" i="1"/>
  <c r="D151" i="23"/>
  <c r="E152" i="3"/>
  <c r="F158" i="1"/>
  <c r="E88" i="3"/>
  <c r="D87" i="23"/>
  <c r="F94" i="1"/>
  <c r="D69" i="23"/>
  <c r="E69" i="3"/>
  <c r="F75" i="1"/>
  <c r="D156" i="23"/>
  <c r="F163" i="1"/>
  <c r="E157" i="3"/>
  <c r="D12" i="23"/>
  <c r="E12" i="3"/>
  <c r="F18" i="1"/>
  <c r="G173" i="23"/>
  <c r="C179" i="1"/>
  <c r="F84" i="1"/>
  <c r="E78" i="3"/>
  <c r="D78" i="23"/>
  <c r="D111" i="23"/>
  <c r="E112" i="3"/>
  <c r="F118" i="1"/>
  <c r="D138" i="23"/>
  <c r="E139" i="3"/>
  <c r="F145" i="1"/>
  <c r="D86" i="23"/>
  <c r="E87" i="3"/>
  <c r="F93" i="1"/>
  <c r="D24" i="23"/>
  <c r="E24" i="3"/>
  <c r="F30" i="1"/>
  <c r="E74" i="3"/>
  <c r="D74" i="23"/>
  <c r="F80" i="1"/>
  <c r="D82" i="23"/>
  <c r="E83" i="3"/>
  <c r="F89" i="1"/>
  <c r="E180" i="10"/>
  <c r="D194" i="10" s="1"/>
  <c r="E67" i="1" l="1"/>
  <c r="C61" i="23" s="1"/>
  <c r="E61" i="23" s="1"/>
  <c r="G61" i="23" s="1"/>
  <c r="F37" i="3"/>
  <c r="D172" i="1"/>
  <c r="G4" i="3"/>
  <c r="E10" i="1"/>
  <c r="L3" i="10"/>
  <c r="L2" i="10"/>
  <c r="L15" i="10"/>
  <c r="L14" i="10"/>
  <c r="L11" i="10"/>
  <c r="L21" i="10"/>
  <c r="L6" i="10"/>
  <c r="L19" i="10"/>
  <c r="L23" i="10"/>
  <c r="L4" i="10"/>
  <c r="K7" i="10"/>
  <c r="L27" i="10"/>
  <c r="L20" i="10"/>
  <c r="L29" i="10"/>
  <c r="L16" i="10"/>
  <c r="L9" i="10"/>
  <c r="L31" i="10"/>
  <c r="F26" i="3"/>
  <c r="F99" i="3"/>
  <c r="L26" i="10"/>
  <c r="L12" i="10"/>
  <c r="L22" i="10"/>
  <c r="L10" i="10"/>
  <c r="C30" i="23"/>
  <c r="E30" i="23" s="1"/>
  <c r="G30" i="23" s="1"/>
  <c r="L24" i="10"/>
  <c r="L28" i="10"/>
  <c r="L13" i="10"/>
  <c r="L30" i="10"/>
  <c r="L8" i="10"/>
  <c r="L18" i="10"/>
  <c r="L25" i="10"/>
  <c r="L17" i="10"/>
  <c r="F30" i="3"/>
  <c r="C184" i="10"/>
  <c r="J171" i="10"/>
  <c r="D180" i="10" s="1"/>
  <c r="C194" i="10" s="1"/>
  <c r="F61" i="3"/>
  <c r="C98" i="23"/>
  <c r="E98" i="23" s="1"/>
  <c r="G98" i="23" s="1"/>
  <c r="D182" i="1"/>
  <c r="D177" i="23"/>
  <c r="E182" i="1" s="1"/>
  <c r="D185" i="1"/>
  <c r="D180" i="23"/>
  <c r="E185" i="1" s="1"/>
  <c r="D174" i="1"/>
  <c r="D168" i="23"/>
  <c r="E174" i="1" s="1"/>
  <c r="D181" i="23"/>
  <c r="E186" i="1" s="1"/>
  <c r="C26" i="23"/>
  <c r="E26" i="23" s="1"/>
  <c r="G26" i="23" s="1"/>
  <c r="K5" i="10"/>
  <c r="C8" i="23"/>
  <c r="E8" i="23" s="1"/>
  <c r="G8" i="23" s="1"/>
  <c r="F8" i="3"/>
  <c r="D176" i="1"/>
  <c r="D170" i="23"/>
  <c r="E176" i="1" s="1"/>
  <c r="D171" i="23"/>
  <c r="E177" i="1" s="1"/>
  <c r="D177" i="1"/>
  <c r="G34" i="3"/>
  <c r="E40" i="1"/>
  <c r="G114" i="3"/>
  <c r="E120" i="1"/>
  <c r="E69" i="1"/>
  <c r="G63" i="3"/>
  <c r="E145" i="1"/>
  <c r="G139" i="3"/>
  <c r="E84" i="1"/>
  <c r="G78" i="3"/>
  <c r="E21" i="1"/>
  <c r="G15" i="3"/>
  <c r="E131" i="1"/>
  <c r="G125" i="3"/>
  <c r="D176" i="23"/>
  <c r="E181" i="1" s="1"/>
  <c r="D181" i="1"/>
  <c r="G58" i="3"/>
  <c r="E64" i="1"/>
  <c r="E159" i="1"/>
  <c r="G153" i="3"/>
  <c r="G118" i="3"/>
  <c r="E124" i="1"/>
  <c r="G95" i="3"/>
  <c r="E101" i="1"/>
  <c r="E72" i="1"/>
  <c r="G66" i="3"/>
  <c r="G48" i="3"/>
  <c r="E54" i="1"/>
  <c r="E134" i="1"/>
  <c r="G128" i="3"/>
  <c r="E73" i="1"/>
  <c r="G67" i="3"/>
  <c r="G76" i="3"/>
  <c r="E82" i="1"/>
  <c r="G7" i="3"/>
  <c r="E13" i="1"/>
  <c r="G106" i="3"/>
  <c r="E112" i="1"/>
  <c r="E153" i="1"/>
  <c r="G147" i="3"/>
  <c r="E154" i="1"/>
  <c r="G148" i="3"/>
  <c r="G62" i="3"/>
  <c r="E68" i="1"/>
  <c r="E15" i="1"/>
  <c r="G9" i="3"/>
  <c r="G132" i="3"/>
  <c r="E138" i="1"/>
  <c r="G98" i="3"/>
  <c r="E104" i="1"/>
  <c r="G138" i="3"/>
  <c r="E144" i="1"/>
  <c r="G44" i="3"/>
  <c r="E50" i="1"/>
  <c r="G69" i="3"/>
  <c r="E75" i="1"/>
  <c r="G19" i="3"/>
  <c r="E25" i="1"/>
  <c r="E34" i="1"/>
  <c r="G28" i="3"/>
  <c r="E108" i="1"/>
  <c r="G102" i="3"/>
  <c r="G60" i="3"/>
  <c r="E66" i="1"/>
  <c r="G56" i="3"/>
  <c r="B10" i="17"/>
  <c r="E62" i="1"/>
  <c r="G59" i="3"/>
  <c r="E65" i="1"/>
  <c r="G120" i="3"/>
  <c r="E126" i="1"/>
  <c r="G70" i="3"/>
  <c r="E76" i="1"/>
  <c r="G119" i="3"/>
  <c r="E125" i="1"/>
  <c r="E139" i="1"/>
  <c r="G133" i="3"/>
  <c r="G6" i="3"/>
  <c r="E12" i="1"/>
  <c r="G22" i="3"/>
  <c r="E28" i="1"/>
  <c r="E87" i="1"/>
  <c r="G81" i="3"/>
  <c r="E107" i="1"/>
  <c r="G101" i="3"/>
  <c r="E116" i="1"/>
  <c r="G110" i="3"/>
  <c r="G21" i="3"/>
  <c r="E27" i="1"/>
  <c r="G124" i="3"/>
  <c r="E130" i="1"/>
  <c r="E55" i="1"/>
  <c r="G49" i="3"/>
  <c r="E11" i="1"/>
  <c r="G5" i="3"/>
  <c r="G158" i="3"/>
  <c r="E164" i="1"/>
  <c r="E102" i="1"/>
  <c r="G96" i="3"/>
  <c r="D179" i="1"/>
  <c r="D173" i="23"/>
  <c r="E179" i="1" s="1"/>
  <c r="E37" i="1"/>
  <c r="G31" i="3"/>
  <c r="G80" i="3"/>
  <c r="E86" i="1"/>
  <c r="E16" i="1"/>
  <c r="G10" i="3"/>
  <c r="G29" i="3"/>
  <c r="E35" i="1"/>
  <c r="E74" i="1"/>
  <c r="G68" i="3"/>
  <c r="G145" i="3"/>
  <c r="E151" i="1"/>
  <c r="E18" i="1"/>
  <c r="G12" i="3"/>
  <c r="E150" i="1"/>
  <c r="G144" i="3"/>
  <c r="E110" i="1"/>
  <c r="G104" i="3"/>
  <c r="E97" i="1"/>
  <c r="G91" i="3"/>
  <c r="E56" i="1"/>
  <c r="G50" i="3"/>
  <c r="E61" i="1"/>
  <c r="G55" i="3"/>
  <c r="E24" i="1"/>
  <c r="G18" i="3"/>
  <c r="E152" i="1"/>
  <c r="G146" i="3"/>
  <c r="G92" i="3"/>
  <c r="E98" i="1"/>
  <c r="E49" i="1"/>
  <c r="G43" i="3"/>
  <c r="E155" i="1"/>
  <c r="G149" i="3"/>
  <c r="G42" i="3"/>
  <c r="E48" i="1"/>
  <c r="E95" i="1"/>
  <c r="G89" i="3"/>
  <c r="G151" i="3"/>
  <c r="E157" i="1"/>
  <c r="E26" i="1"/>
  <c r="G20" i="3"/>
  <c r="E20" i="1"/>
  <c r="G14" i="3"/>
  <c r="D178" i="1"/>
  <c r="D172" i="23"/>
  <c r="E178" i="1" s="1"/>
  <c r="E136" i="1"/>
  <c r="G130" i="3"/>
  <c r="E22" i="1"/>
  <c r="G16" i="3"/>
  <c r="E17" i="1"/>
  <c r="G11" i="3"/>
  <c r="E91" i="1"/>
  <c r="G85" i="3"/>
  <c r="E119" i="1"/>
  <c r="G113" i="3"/>
  <c r="G115" i="3"/>
  <c r="E121" i="1"/>
  <c r="G142" i="3"/>
  <c r="E148" i="1"/>
  <c r="G135" i="3"/>
  <c r="E141" i="1"/>
  <c r="G127" i="3"/>
  <c r="E133" i="1"/>
  <c r="E70" i="1"/>
  <c r="G64" i="3"/>
  <c r="E79" i="1"/>
  <c r="G73" i="3"/>
  <c r="G117" i="3"/>
  <c r="E123" i="1"/>
  <c r="G54" i="3"/>
  <c r="E60" i="1"/>
  <c r="E140" i="1"/>
  <c r="G134" i="3"/>
  <c r="E46" i="1"/>
  <c r="G40" i="3"/>
  <c r="G24" i="3"/>
  <c r="E30" i="1"/>
  <c r="G122" i="3"/>
  <c r="E128" i="1"/>
  <c r="E38" i="1"/>
  <c r="G32" i="3"/>
  <c r="G2" i="3"/>
  <c r="E8" i="1"/>
  <c r="D175" i="1"/>
  <c r="D169" i="23"/>
  <c r="E175" i="1" s="1"/>
  <c r="G53" i="3"/>
  <c r="E59" i="1"/>
  <c r="E85" i="1"/>
  <c r="G79" i="3"/>
  <c r="E109" i="1"/>
  <c r="G103" i="3"/>
  <c r="E117" i="1"/>
  <c r="G111" i="3"/>
  <c r="G38" i="3"/>
  <c r="E44" i="1"/>
  <c r="D164" i="23"/>
  <c r="E170" i="1" s="1"/>
  <c r="D170" i="1"/>
  <c r="E57" i="1"/>
  <c r="G51" i="3"/>
  <c r="E77" i="1"/>
  <c r="G71" i="3"/>
  <c r="E88" i="1"/>
  <c r="G82" i="3"/>
  <c r="E71" i="1"/>
  <c r="G65" i="3"/>
  <c r="E161" i="1"/>
  <c r="G155" i="3"/>
  <c r="G121" i="3"/>
  <c r="E127" i="1"/>
  <c r="G47" i="3"/>
  <c r="E53" i="1"/>
  <c r="G150" i="3"/>
  <c r="E156" i="1"/>
  <c r="E78" i="1"/>
  <c r="G72" i="3"/>
  <c r="G46" i="3"/>
  <c r="E52" i="1"/>
  <c r="G141" i="3"/>
  <c r="E147" i="1"/>
  <c r="E113" i="1"/>
  <c r="G107" i="3"/>
  <c r="E45" i="1"/>
  <c r="G39" i="3"/>
  <c r="E149" i="1"/>
  <c r="G143" i="3"/>
  <c r="E33" i="1"/>
  <c r="G27" i="3"/>
  <c r="G57" i="3"/>
  <c r="E63" i="1"/>
  <c r="E135" i="1"/>
  <c r="G129" i="3"/>
  <c r="G140" i="3"/>
  <c r="E146" i="1"/>
  <c r="G23" i="3"/>
  <c r="E29" i="1"/>
  <c r="G112" i="3"/>
  <c r="E118" i="1"/>
  <c r="E96" i="1"/>
  <c r="G90" i="3"/>
  <c r="D169" i="1"/>
  <c r="D163" i="23"/>
  <c r="E169" i="1" s="1"/>
  <c r="E142" i="1"/>
  <c r="G136" i="3"/>
  <c r="G41" i="3"/>
  <c r="E47" i="1"/>
  <c r="G108" i="3"/>
  <c r="E114" i="1"/>
  <c r="G83" i="3"/>
  <c r="E89" i="1"/>
  <c r="E94" i="1"/>
  <c r="G88" i="3"/>
  <c r="G36" i="3"/>
  <c r="E42" i="1"/>
  <c r="E58" i="1"/>
  <c r="G52" i="3"/>
  <c r="E23" i="1"/>
  <c r="G17" i="3"/>
  <c r="G87" i="3"/>
  <c r="E93" i="1"/>
  <c r="E129" i="1"/>
  <c r="G123" i="3"/>
  <c r="E31" i="1"/>
  <c r="G25" i="3"/>
  <c r="E111" i="1"/>
  <c r="G105" i="3"/>
  <c r="G75" i="3"/>
  <c r="E81" i="1"/>
  <c r="G3" i="3"/>
  <c r="E9" i="1"/>
  <c r="G97" i="3"/>
  <c r="E103" i="1"/>
  <c r="G13" i="3"/>
  <c r="E19" i="1"/>
  <c r="G137" i="3"/>
  <c r="E143" i="1"/>
  <c r="G74" i="3"/>
  <c r="E80" i="1"/>
  <c r="E163" i="1"/>
  <c r="G157" i="3"/>
  <c r="E158" i="1"/>
  <c r="G152" i="3"/>
  <c r="E41" i="1"/>
  <c r="G35" i="3"/>
  <c r="G116" i="3"/>
  <c r="E122" i="1"/>
  <c r="G77" i="3"/>
  <c r="E83" i="1"/>
  <c r="E132" i="1"/>
  <c r="G126" i="3"/>
  <c r="E115" i="1"/>
  <c r="G109" i="3"/>
  <c r="E92" i="1"/>
  <c r="G86" i="3"/>
  <c r="G154" i="3"/>
  <c r="E160" i="1"/>
  <c r="E106" i="1"/>
  <c r="G100" i="3"/>
  <c r="E51" i="1"/>
  <c r="G45" i="3"/>
  <c r="G131" i="3"/>
  <c r="E137" i="1"/>
  <c r="E100" i="1"/>
  <c r="G94" i="3"/>
  <c r="G33" i="3"/>
  <c r="E39" i="1"/>
  <c r="D167" i="23"/>
  <c r="E173" i="1" s="1"/>
  <c r="D173" i="1"/>
  <c r="E99" i="1"/>
  <c r="G93" i="3"/>
  <c r="F32" i="10" l="1"/>
  <c r="C171" i="10" s="1"/>
  <c r="I171" i="10" s="1"/>
  <c r="C180" i="10" s="1"/>
  <c r="F4" i="3"/>
  <c r="C4" i="23"/>
  <c r="E4" i="23" s="1"/>
  <c r="G4" i="23" s="1"/>
  <c r="K12" i="10"/>
  <c r="K25" i="10"/>
  <c r="K2" i="10"/>
  <c r="K21" i="10"/>
  <c r="K18" i="10"/>
  <c r="K3" i="10"/>
  <c r="K14" i="10"/>
  <c r="K27" i="10"/>
  <c r="K31" i="10"/>
  <c r="K15" i="10"/>
  <c r="K9" i="10"/>
  <c r="K26" i="10"/>
  <c r="K4" i="10"/>
  <c r="K23" i="10"/>
  <c r="K20" i="10"/>
  <c r="K10" i="10"/>
  <c r="K29" i="10"/>
  <c r="K22" i="10"/>
  <c r="F82" i="3"/>
  <c r="K13" i="10"/>
  <c r="K28" i="10"/>
  <c r="K19" i="10"/>
  <c r="K11" i="10"/>
  <c r="K17" i="10"/>
  <c r="K30" i="10"/>
  <c r="K8" i="10"/>
  <c r="K16" i="10"/>
  <c r="K24" i="10"/>
  <c r="K6" i="10"/>
  <c r="F116" i="3"/>
  <c r="C115" i="23"/>
  <c r="E115" i="23" s="1"/>
  <c r="G115" i="23" s="1"/>
  <c r="F112" i="3"/>
  <c r="C111" i="23"/>
  <c r="E111" i="23" s="1"/>
  <c r="G111" i="23" s="1"/>
  <c r="F139" i="3"/>
  <c r="C138" i="23"/>
  <c r="E138" i="23" s="1"/>
  <c r="G138" i="23" s="1"/>
  <c r="F86" i="3"/>
  <c r="C85" i="23"/>
  <c r="E85" i="23" s="1"/>
  <c r="G85" i="23" s="1"/>
  <c r="F107" i="3"/>
  <c r="C106" i="23"/>
  <c r="E106" i="23" s="1"/>
  <c r="G106" i="23" s="1"/>
  <c r="F32" i="3"/>
  <c r="C32" i="23"/>
  <c r="E32" i="23" s="1"/>
  <c r="G32" i="23" s="1"/>
  <c r="C148" i="23"/>
  <c r="E148" i="23" s="1"/>
  <c r="G148" i="23" s="1"/>
  <c r="F149" i="3"/>
  <c r="F5" i="3"/>
  <c r="C5" i="23"/>
  <c r="E5" i="23" s="1"/>
  <c r="G5" i="23" s="1"/>
  <c r="F44" i="3"/>
  <c r="C44" i="23"/>
  <c r="E44" i="23" s="1"/>
  <c r="G44" i="23" s="1"/>
  <c r="C140" i="23"/>
  <c r="E140" i="23" s="1"/>
  <c r="G140" i="23" s="1"/>
  <c r="F141" i="3"/>
  <c r="F54" i="3"/>
  <c r="C54" i="23"/>
  <c r="E54" i="23" s="1"/>
  <c r="G54" i="23" s="1"/>
  <c r="C27" i="23"/>
  <c r="E27" i="23" s="1"/>
  <c r="G27" i="23" s="1"/>
  <c r="F27" i="3"/>
  <c r="F43" i="3"/>
  <c r="C43" i="23"/>
  <c r="E43" i="23" s="1"/>
  <c r="G43" i="23" s="1"/>
  <c r="C49" i="23"/>
  <c r="E49" i="23" s="1"/>
  <c r="G49" i="23" s="1"/>
  <c r="F49" i="3"/>
  <c r="F138" i="3"/>
  <c r="C137" i="23"/>
  <c r="E137" i="23" s="1"/>
  <c r="G137" i="23" s="1"/>
  <c r="F7" i="3"/>
  <c r="C7" i="23"/>
  <c r="E7" i="23" s="1"/>
  <c r="G7" i="23" s="1"/>
  <c r="F48" i="3"/>
  <c r="C48" i="23"/>
  <c r="E48" i="23" s="1"/>
  <c r="G48" i="23" s="1"/>
  <c r="C93" i="23"/>
  <c r="E93" i="23" s="1"/>
  <c r="G93" i="23" s="1"/>
  <c r="F94" i="3"/>
  <c r="F157" i="3"/>
  <c r="C156" i="23"/>
  <c r="E156" i="23" s="1"/>
  <c r="G156" i="23" s="1"/>
  <c r="F25" i="3"/>
  <c r="C25" i="23"/>
  <c r="E25" i="23" s="1"/>
  <c r="G25" i="23" s="1"/>
  <c r="F52" i="3"/>
  <c r="C52" i="23"/>
  <c r="E52" i="23" s="1"/>
  <c r="G52" i="23" s="1"/>
  <c r="F90" i="3"/>
  <c r="C89" i="23"/>
  <c r="E89" i="23" s="1"/>
  <c r="G89" i="23" s="1"/>
  <c r="C128" i="23"/>
  <c r="E128" i="23" s="1"/>
  <c r="G128" i="23" s="1"/>
  <c r="F129" i="3"/>
  <c r="C39" i="23"/>
  <c r="E39" i="23" s="1"/>
  <c r="G39" i="23" s="1"/>
  <c r="F39" i="3"/>
  <c r="F72" i="3"/>
  <c r="C72" i="23"/>
  <c r="E72" i="23" s="1"/>
  <c r="G72" i="23" s="1"/>
  <c r="C154" i="23"/>
  <c r="E154" i="23" s="1"/>
  <c r="G154" i="23" s="1"/>
  <c r="F155" i="3"/>
  <c r="F51" i="3"/>
  <c r="C51" i="23"/>
  <c r="E51" i="23" s="1"/>
  <c r="G51" i="23" s="1"/>
  <c r="F103" i="3"/>
  <c r="C102" i="23"/>
  <c r="E102" i="23" s="1"/>
  <c r="G102" i="23" s="1"/>
  <c r="F40" i="3"/>
  <c r="C40" i="23"/>
  <c r="E40" i="23" s="1"/>
  <c r="G40" i="23" s="1"/>
  <c r="C73" i="23"/>
  <c r="E73" i="23" s="1"/>
  <c r="G73" i="23" s="1"/>
  <c r="F73" i="3"/>
  <c r="F11" i="3"/>
  <c r="C11" i="23"/>
  <c r="E11" i="23" s="1"/>
  <c r="G11" i="23" s="1"/>
  <c r="F14" i="3"/>
  <c r="C14" i="23"/>
  <c r="E14" i="23" s="1"/>
  <c r="G14" i="23" s="1"/>
  <c r="F146" i="3"/>
  <c r="C145" i="23"/>
  <c r="E145" i="23" s="1"/>
  <c r="G145" i="23" s="1"/>
  <c r="F91" i="3"/>
  <c r="C90" i="23"/>
  <c r="E90" i="23" s="1"/>
  <c r="G90" i="23" s="1"/>
  <c r="C60" i="23"/>
  <c r="E60" i="23" s="1"/>
  <c r="G60" i="23" s="1"/>
  <c r="F60" i="3"/>
  <c r="C69" i="23"/>
  <c r="E69" i="23" s="1"/>
  <c r="G69" i="23" s="1"/>
  <c r="F69" i="3"/>
  <c r="F132" i="3"/>
  <c r="C131" i="23"/>
  <c r="E131" i="23" s="1"/>
  <c r="G131" i="23" s="1"/>
  <c r="F95" i="3"/>
  <c r="C94" i="23"/>
  <c r="E94" i="23" s="1"/>
  <c r="G94" i="23" s="1"/>
  <c r="C146" i="23"/>
  <c r="E146" i="23" s="1"/>
  <c r="G146" i="23" s="1"/>
  <c r="F147" i="3"/>
  <c r="C122" i="23"/>
  <c r="E122" i="23" s="1"/>
  <c r="G122" i="23" s="1"/>
  <c r="F123" i="3"/>
  <c r="C59" i="23"/>
  <c r="E59" i="23" s="1"/>
  <c r="G59" i="23" s="1"/>
  <c r="F59" i="3"/>
  <c r="C101" i="23"/>
  <c r="E101" i="23" s="1"/>
  <c r="G101" i="23" s="1"/>
  <c r="F102" i="3"/>
  <c r="F9" i="3"/>
  <c r="C9" i="23"/>
  <c r="E9" i="23" s="1"/>
  <c r="G9" i="23" s="1"/>
  <c r="F128" i="3"/>
  <c r="C127" i="23"/>
  <c r="E127" i="23" s="1"/>
  <c r="G127" i="23" s="1"/>
  <c r="C124" i="23"/>
  <c r="E124" i="23" s="1"/>
  <c r="G124" i="23" s="1"/>
  <c r="F125" i="3"/>
  <c r="F63" i="3"/>
  <c r="C63" i="23"/>
  <c r="E63" i="23" s="1"/>
  <c r="G63" i="23" s="1"/>
  <c r="F133" i="3"/>
  <c r="C132" i="23"/>
  <c r="E132" i="23" s="1"/>
  <c r="G132" i="23" s="1"/>
  <c r="C130" i="23"/>
  <c r="E130" i="23" s="1"/>
  <c r="G130" i="23" s="1"/>
  <c r="F131" i="3"/>
  <c r="F74" i="3"/>
  <c r="C74" i="23"/>
  <c r="E74" i="23" s="1"/>
  <c r="G74" i="23" s="1"/>
  <c r="F41" i="3"/>
  <c r="C41" i="23"/>
  <c r="E41" i="23" s="1"/>
  <c r="G41" i="23" s="1"/>
  <c r="C149" i="23"/>
  <c r="E149" i="23" s="1"/>
  <c r="G149" i="23" s="1"/>
  <c r="F150" i="3"/>
  <c r="F67" i="3"/>
  <c r="C67" i="23"/>
  <c r="E67" i="23" s="1"/>
  <c r="G67" i="23" s="1"/>
  <c r="C65" i="23"/>
  <c r="E65" i="23" s="1"/>
  <c r="G65" i="23" s="1"/>
  <c r="F65" i="3"/>
  <c r="F79" i="3"/>
  <c r="C79" i="23"/>
  <c r="E79" i="23" s="1"/>
  <c r="G79" i="23" s="1"/>
  <c r="F104" i="3"/>
  <c r="C103" i="23"/>
  <c r="E103" i="23" s="1"/>
  <c r="G103" i="23" s="1"/>
  <c r="C109" i="23"/>
  <c r="E109" i="23" s="1"/>
  <c r="G109" i="23" s="1"/>
  <c r="F110" i="3"/>
  <c r="C117" i="23"/>
  <c r="E117" i="23" s="1"/>
  <c r="G117" i="23" s="1"/>
  <c r="F118" i="3"/>
  <c r="F87" i="3"/>
  <c r="C86" i="23"/>
  <c r="E86" i="23" s="1"/>
  <c r="G86" i="23" s="1"/>
  <c r="C38" i="23"/>
  <c r="E38" i="23" s="1"/>
  <c r="G38" i="23" s="1"/>
  <c r="F38" i="3"/>
  <c r="C126" i="23"/>
  <c r="E126" i="23" s="1"/>
  <c r="G126" i="23" s="1"/>
  <c r="F127" i="3"/>
  <c r="C108" i="23"/>
  <c r="E108" i="23" s="1"/>
  <c r="G108" i="23" s="1"/>
  <c r="F109" i="3"/>
  <c r="C87" i="23"/>
  <c r="E87" i="23" s="1"/>
  <c r="G87" i="23" s="1"/>
  <c r="F88" i="3"/>
  <c r="F33" i="3"/>
  <c r="C33" i="23"/>
  <c r="E33" i="23" s="1"/>
  <c r="G33" i="23" s="1"/>
  <c r="C13" i="23"/>
  <c r="E13" i="23" s="1"/>
  <c r="G13" i="23" s="1"/>
  <c r="F13" i="3"/>
  <c r="C82" i="23"/>
  <c r="E82" i="23" s="1"/>
  <c r="G82" i="23" s="1"/>
  <c r="F83" i="3"/>
  <c r="C139" i="23"/>
  <c r="E139" i="23" s="1"/>
  <c r="G139" i="23" s="1"/>
  <c r="F140" i="3"/>
  <c r="F46" i="3"/>
  <c r="C46" i="23"/>
  <c r="E46" i="23" s="1"/>
  <c r="G46" i="23" s="1"/>
  <c r="C120" i="23"/>
  <c r="E120" i="23" s="1"/>
  <c r="G120" i="23" s="1"/>
  <c r="F121" i="3"/>
  <c r="F24" i="3"/>
  <c r="C24" i="23"/>
  <c r="E24" i="23" s="1"/>
  <c r="G24" i="23" s="1"/>
  <c r="F117" i="3"/>
  <c r="C116" i="23"/>
  <c r="E116" i="23" s="1"/>
  <c r="G116" i="23" s="1"/>
  <c r="C134" i="23"/>
  <c r="E134" i="23" s="1"/>
  <c r="G134" i="23" s="1"/>
  <c r="F135" i="3"/>
  <c r="F92" i="3"/>
  <c r="C91" i="23"/>
  <c r="E91" i="23" s="1"/>
  <c r="G91" i="23" s="1"/>
  <c r="C123" i="23"/>
  <c r="E123" i="23" s="1"/>
  <c r="G123" i="23" s="1"/>
  <c r="F124" i="3"/>
  <c r="C118" i="23"/>
  <c r="E118" i="23" s="1"/>
  <c r="G118" i="23" s="1"/>
  <c r="F119" i="3"/>
  <c r="F56" i="3"/>
  <c r="B11" i="17"/>
  <c r="C56" i="23"/>
  <c r="E56" i="23" s="1"/>
  <c r="G56" i="23" s="1"/>
  <c r="F28" i="3"/>
  <c r="C28" i="23"/>
  <c r="E28" i="23" s="1"/>
  <c r="G28" i="23" s="1"/>
  <c r="F153" i="3"/>
  <c r="C152" i="23"/>
  <c r="E152" i="23" s="1"/>
  <c r="G152" i="23" s="1"/>
  <c r="F15" i="3"/>
  <c r="C15" i="23"/>
  <c r="E15" i="23" s="1"/>
  <c r="G15" i="23" s="1"/>
  <c r="C57" i="23"/>
  <c r="E57" i="23" s="1"/>
  <c r="G57" i="23" s="1"/>
  <c r="F57" i="3"/>
  <c r="C114" i="23"/>
  <c r="E114" i="23" s="1"/>
  <c r="G114" i="23" s="1"/>
  <c r="F115" i="3"/>
  <c r="F120" i="3"/>
  <c r="C119" i="23"/>
  <c r="E119" i="23" s="1"/>
  <c r="G119" i="23" s="1"/>
  <c r="C133" i="23"/>
  <c r="E133" i="23" s="1"/>
  <c r="G133" i="23" s="1"/>
  <c r="F134" i="3"/>
  <c r="C20" i="23"/>
  <c r="E20" i="23" s="1"/>
  <c r="G20" i="23" s="1"/>
  <c r="F20" i="3"/>
  <c r="C31" i="23"/>
  <c r="E31" i="23" s="1"/>
  <c r="G31" i="23" s="1"/>
  <c r="F31" i="3"/>
  <c r="C136" i="23"/>
  <c r="E136" i="23" s="1"/>
  <c r="G136" i="23" s="1"/>
  <c r="F137" i="3"/>
  <c r="F47" i="3"/>
  <c r="C47" i="23"/>
  <c r="E47" i="23" s="1"/>
  <c r="G47" i="23" s="1"/>
  <c r="F122" i="3"/>
  <c r="C121" i="23"/>
  <c r="E121" i="23" s="1"/>
  <c r="G121" i="23" s="1"/>
  <c r="F151" i="3"/>
  <c r="C150" i="23"/>
  <c r="E150" i="23" s="1"/>
  <c r="G150" i="23" s="1"/>
  <c r="F29" i="3"/>
  <c r="C29" i="23"/>
  <c r="E29" i="23" s="1"/>
  <c r="G29" i="23" s="1"/>
  <c r="F35" i="3"/>
  <c r="C35" i="23"/>
  <c r="E35" i="23" s="1"/>
  <c r="G35" i="23" s="1"/>
  <c r="F136" i="3"/>
  <c r="C135" i="23"/>
  <c r="E135" i="23" s="1"/>
  <c r="G135" i="23" s="1"/>
  <c r="F130" i="3"/>
  <c r="C129" i="23"/>
  <c r="E129" i="23" s="1"/>
  <c r="G129" i="23" s="1"/>
  <c r="C143" i="23"/>
  <c r="E143" i="23" s="1"/>
  <c r="G143" i="23" s="1"/>
  <c r="F144" i="3"/>
  <c r="C62" i="23"/>
  <c r="E62" i="23" s="1"/>
  <c r="G62" i="23" s="1"/>
  <c r="F62" i="3"/>
  <c r="F111" i="3"/>
  <c r="C110" i="23"/>
  <c r="E110" i="23" s="1"/>
  <c r="G110" i="23" s="1"/>
  <c r="F85" i="3"/>
  <c r="C84" i="23"/>
  <c r="E84" i="23" s="1"/>
  <c r="G84" i="23" s="1"/>
  <c r="F89" i="3"/>
  <c r="C88" i="23"/>
  <c r="E88" i="23" s="1"/>
  <c r="G88" i="23" s="1"/>
  <c r="C50" i="23"/>
  <c r="E50" i="23" s="1"/>
  <c r="G50" i="23" s="1"/>
  <c r="F50" i="3"/>
  <c r="F10" i="3"/>
  <c r="C10" i="23"/>
  <c r="E10" i="23" s="1"/>
  <c r="G10" i="23" s="1"/>
  <c r="C95" i="23"/>
  <c r="E95" i="23" s="1"/>
  <c r="G95" i="23" s="1"/>
  <c r="F96" i="3"/>
  <c r="C81" i="23"/>
  <c r="E81" i="23" s="1"/>
  <c r="G81" i="23" s="1"/>
  <c r="F81" i="3"/>
  <c r="F19" i="3"/>
  <c r="C19" i="23"/>
  <c r="E19" i="23" s="1"/>
  <c r="G19" i="23" s="1"/>
  <c r="F98" i="3"/>
  <c r="C97" i="23"/>
  <c r="E97" i="23" s="1"/>
  <c r="G97" i="23" s="1"/>
  <c r="F76" i="3"/>
  <c r="C76" i="23"/>
  <c r="E76" i="23" s="1"/>
  <c r="G76" i="23" s="1"/>
  <c r="C58" i="23"/>
  <c r="E58" i="23" s="1"/>
  <c r="G58" i="23" s="1"/>
  <c r="F58" i="3"/>
  <c r="F34" i="3"/>
  <c r="C34" i="23"/>
  <c r="E34" i="23" s="1"/>
  <c r="G34" i="23" s="1"/>
  <c r="C3" i="23"/>
  <c r="E3" i="23" s="1"/>
  <c r="G3" i="23" s="1"/>
  <c r="F3" i="3"/>
  <c r="F36" i="3"/>
  <c r="C36" i="23"/>
  <c r="E36" i="23" s="1"/>
  <c r="G36" i="23" s="1"/>
  <c r="C6" i="23"/>
  <c r="E6" i="23" s="1"/>
  <c r="G6" i="23" s="1"/>
  <c r="F6" i="3"/>
  <c r="F93" i="3"/>
  <c r="C92" i="23"/>
  <c r="E92" i="23" s="1"/>
  <c r="G92" i="23" s="1"/>
  <c r="C64" i="23"/>
  <c r="E64" i="23" s="1"/>
  <c r="G64" i="23" s="1"/>
  <c r="F64" i="3"/>
  <c r="C16" i="23"/>
  <c r="E16" i="23" s="1"/>
  <c r="G16" i="23" s="1"/>
  <c r="F16" i="3"/>
  <c r="F18" i="3"/>
  <c r="C18" i="23"/>
  <c r="E18" i="23" s="1"/>
  <c r="G18" i="23" s="1"/>
  <c r="C68" i="23"/>
  <c r="E68" i="23" s="1"/>
  <c r="G68" i="23" s="1"/>
  <c r="F68" i="3"/>
  <c r="C105" i="23"/>
  <c r="E105" i="23" s="1"/>
  <c r="G105" i="23" s="1"/>
  <c r="F106" i="3"/>
  <c r="F75" i="3"/>
  <c r="C75" i="23"/>
  <c r="E75" i="23" s="1"/>
  <c r="G75" i="23" s="1"/>
  <c r="C23" i="23"/>
  <c r="E23" i="23" s="1"/>
  <c r="G23" i="23" s="1"/>
  <c r="F23" i="3"/>
  <c r="F53" i="3"/>
  <c r="C53" i="23"/>
  <c r="E53" i="23" s="1"/>
  <c r="G53" i="23" s="1"/>
  <c r="F45" i="3"/>
  <c r="C45" i="23"/>
  <c r="E45" i="23" s="1"/>
  <c r="G45" i="23" s="1"/>
  <c r="F113" i="3"/>
  <c r="C112" i="23"/>
  <c r="E112" i="23" s="1"/>
  <c r="G112" i="23" s="1"/>
  <c r="F55" i="3"/>
  <c r="C55" i="23"/>
  <c r="E55" i="23" s="1"/>
  <c r="G55" i="23" s="1"/>
  <c r="F101" i="3"/>
  <c r="C100" i="23"/>
  <c r="E100" i="23" s="1"/>
  <c r="G100" i="23" s="1"/>
  <c r="C113" i="23"/>
  <c r="E113" i="23" s="1"/>
  <c r="G113" i="23" s="1"/>
  <c r="F114" i="3"/>
  <c r="F100" i="3"/>
  <c r="C99" i="23"/>
  <c r="E99" i="23" s="1"/>
  <c r="G99" i="23" s="1"/>
  <c r="C125" i="23"/>
  <c r="E125" i="23" s="1"/>
  <c r="G125" i="23" s="1"/>
  <c r="F126" i="3"/>
  <c r="C151" i="23"/>
  <c r="E151" i="23" s="1"/>
  <c r="G151" i="23" s="1"/>
  <c r="F152" i="3"/>
  <c r="F105" i="3"/>
  <c r="C104" i="23"/>
  <c r="E104" i="23" s="1"/>
  <c r="G104" i="23" s="1"/>
  <c r="C17" i="23"/>
  <c r="E17" i="23" s="1"/>
  <c r="G17" i="23" s="1"/>
  <c r="F17" i="3"/>
  <c r="F143" i="3"/>
  <c r="C142" i="23"/>
  <c r="E142" i="23" s="1"/>
  <c r="G142" i="23" s="1"/>
  <c r="C71" i="23"/>
  <c r="E71" i="23" s="1"/>
  <c r="G71" i="23" s="1"/>
  <c r="F71" i="3"/>
  <c r="C12" i="23"/>
  <c r="E12" i="23" s="1"/>
  <c r="G12" i="23" s="1"/>
  <c r="F12" i="3"/>
  <c r="C153" i="23"/>
  <c r="E153" i="23" s="1"/>
  <c r="G153" i="23" s="1"/>
  <c r="F154" i="3"/>
  <c r="C77" i="23"/>
  <c r="E77" i="23" s="1"/>
  <c r="G77" i="23" s="1"/>
  <c r="F77" i="3"/>
  <c r="C96" i="23"/>
  <c r="E96" i="23" s="1"/>
  <c r="G96" i="23" s="1"/>
  <c r="F97" i="3"/>
  <c r="F108" i="3"/>
  <c r="C107" i="23"/>
  <c r="E107" i="23" s="1"/>
  <c r="G107" i="23" s="1"/>
  <c r="F2" i="3"/>
  <c r="C2" i="23"/>
  <c r="E2" i="23" s="1"/>
  <c r="G2" i="23" s="1"/>
  <c r="F142" i="3"/>
  <c r="C141" i="23"/>
  <c r="E141" i="23" s="1"/>
  <c r="G141" i="23" s="1"/>
  <c r="C42" i="23"/>
  <c r="E42" i="23" s="1"/>
  <c r="G42" i="23" s="1"/>
  <c r="F42" i="3"/>
  <c r="F145" i="3"/>
  <c r="C144" i="23"/>
  <c r="E144" i="23" s="1"/>
  <c r="G144" i="23" s="1"/>
  <c r="F80" i="3"/>
  <c r="C80" i="23"/>
  <c r="E80" i="23" s="1"/>
  <c r="G80" i="23" s="1"/>
  <c r="F158" i="3"/>
  <c r="C157" i="23"/>
  <c r="E157" i="23" s="1"/>
  <c r="G157" i="23" s="1"/>
  <c r="C21" i="23"/>
  <c r="E21" i="23" s="1"/>
  <c r="G21" i="23" s="1"/>
  <c r="F21" i="3"/>
  <c r="C22" i="23"/>
  <c r="E22" i="23" s="1"/>
  <c r="G22" i="23" s="1"/>
  <c r="F22" i="3"/>
  <c r="F70" i="3"/>
  <c r="C70" i="23"/>
  <c r="E70" i="23" s="1"/>
  <c r="G70" i="23" s="1"/>
  <c r="F148" i="3"/>
  <c r="C147" i="23"/>
  <c r="E147" i="23" s="1"/>
  <c r="G147" i="23" s="1"/>
  <c r="C66" i="23"/>
  <c r="E66" i="23" s="1"/>
  <c r="G66" i="23" s="1"/>
  <c r="F66" i="3"/>
  <c r="C78" i="23"/>
  <c r="E78" i="23" s="1"/>
  <c r="G78" i="23" s="1"/>
  <c r="F78" i="3"/>
  <c r="E32" i="10" l="1"/>
  <c r="B171" i="10" s="1"/>
  <c r="B190" i="10" s="1"/>
  <c r="B184" i="10" l="1"/>
  <c r="H171" i="10"/>
  <c r="B180" i="10" s="1"/>
  <c r="B19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<sst xmlns="http://schemas.openxmlformats.org/spreadsheetml/2006/main" count="3764" uniqueCount="580">
  <si>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</si>
  <si>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</si>
  <si>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</si>
  <si>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</si>
  <si>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</si>
  <si>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</si>
  <si>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</si>
  <si>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</si>
  <si>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</si>
  <si>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</si>
  <si>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</si>
  <si>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</si>
  <si>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</si>
  <si>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</si>
  <si>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</si>
  <si>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</si>
  <si>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</si>
  <si>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</si>
  <si>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</si>
  <si>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</si>
  <si>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</si>
  <si>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</si>
  <si>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</si>
  <si>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</si>
  <si>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</si>
  <si>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</si>
  <si>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</si>
  <si>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</si>
  <si>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</si>
  <si>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</si>
  <si>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</si>
  <si>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</si>
  <si>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</si>
  <si>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</si>
  <si>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</si>
  <si>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</si>
  <si>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</si>
  <si>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</si>
  <si>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</si>
  <si>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</si>
  <si>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</si>
  <si>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</si>
  <si>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</si>
  <si>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</si>
  <si>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</si>
  <si>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</si>
  <si>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</si>
  <si>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</si>
  <si>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</si>
  <si>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</si>
  <si>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</si>
  <si>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</si>
  <si>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</si>
  <si>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</si>
  <si>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</si>
  <si>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</si>
  <si>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</si>
  <si>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</si>
  <si>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</si>
  <si>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</si>
  <si>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</si>
  <si>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</si>
  <si>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</si>
  <si>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</si>
  <si>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</si>
  <si>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</si>
  <si>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</si>
  <si>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</si>
  <si>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</si>
  <si>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</si>
  <si>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</si>
  <si>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</si>
  <si>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</si>
  <si>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Yes</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</si>
  <si>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</si>
  <si>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</si>
  <si>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</si>
  <si>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</si>
  <si>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</si>
  <si>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</si>
  <si>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</si>
  <si>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</si>
  <si>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</si>
  <si>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</si>
  <si>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</si>
  <si>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</si>
  <si>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</si>
  <si>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</si>
  <si>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</si>
  <si>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</si>
  <si>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</si>
  <si>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</si>
  <si>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</si>
  <si>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</si>
  <si>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</si>
  <si>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</si>
  <si>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</si>
  <si>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</si>
  <si>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</si>
  <si>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</si>
  <si>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</si>
  <si>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</si>
  <si>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</si>
  <si>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</si>
  <si>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</si>
  <si>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</si>
  <si>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</si>
  <si>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</si>
  <si>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</si>
  <si>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</si>
  <si>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</si>
  <si>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</si>
  <si>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</si>
  <si>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</si>
  <si>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</si>
  <si>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</si>
  <si>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</si>
  <si>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</si>
  <si>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</si>
  <si>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</si>
  <si>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</si>
  <si>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</si>
  <si>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</si>
  <si>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</si>
  <si>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</si>
  <si>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</si>
  <si>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</si>
  <si>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</si>
  <si>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</si>
  <si>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</si>
  <si>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</si>
  <si>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</si>
  <si>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</si>
  <si>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</si>
  <si>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</si>
  <si>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</si>
  <si>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</si>
  <si>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</si>
  <si>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</si>
  <si>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</si>
  <si>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</si>
  <si>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</si>
  <si>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</si>
  <si>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</si>
  <si>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Bosnia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</si>
  <si>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</si>
  <si>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</si>
  <si>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</si>
  <si>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</si>
  <si>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</si>
  <si>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</si>
  <si>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</si>
  <si>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</si>
  <si>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</si>
  <si>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</si>
  <si>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</si>
  <si>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</si>
  <si>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http://www.stern.nyu.edu/~adamodar/pc/implprem/ERPbymonth.xls</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</si>
  <si>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</si>
  <si>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</si>
  <si>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</si>
  <si>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</si>
  <si>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</si>
  <si>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</si>
  <si>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</si>
  <si>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</si>
  <si>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</si>
  <si>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</si>
  <si>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</si>
  <si>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</si>
  <si>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</si>
  <si>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</si>
  <si>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</si>
  <si>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</si>
  <si>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</si>
  <si>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</si>
  <si>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</si>
  <si>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</si>
  <si>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</si>
  <si>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</si>
  <si>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</si>
  <si>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</si>
  <si>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</si>
  <si>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</si>
  <si>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</si>
  <si>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</si>
  <si>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</si>
  <si>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</si>
  <si>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</si>
  <si>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</si>
  <si>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</si>
  <si>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</si>
  <si>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</si>
  <si>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</si>
  <si>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</si>
  <si>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</si>
  <si>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</si>
  <si>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</si>
  <si>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</si>
  <si>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</si>
  <si>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</si>
  <si>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</si>
  <si>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</si>
  <si>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</si>
  <si>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</si>
  <si>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</si>
  <si>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</si>
  <si>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</si>
  <si>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</si>
  <si>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</si>
  <si>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</si>
  <si>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</si>
  <si>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</si>
  <si>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</si>
  <si>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</si>
  <si>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</si>
  <si>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</si>
  <si>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</si>
  <si>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</si>
  <si>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</si>
  <si>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</si>
  <si>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</si>
  <si>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</si>
  <si>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</si>
  <si>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</si>
  <si>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</si>
  <si>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</si>
  <si>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</si>
  <si>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</si>
  <si>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</si>
  <si>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</si>
  <si>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</si>
  <si>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</si>
  <si>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</si>
  <si>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</si>
  <si>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</si>
  <si>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</si>
  <si>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</si>
  <si>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</si>
  <si>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</si>
  <si>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</si>
  <si>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</si>
  <si>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</si>
  <si>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</si>
  <si>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</si>
  <si>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</si>
  <si>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</si>
  <si>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</si>
  <si>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</si>
  <si>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</si>
  <si>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</si>
  <si>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</si>
  <si>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</si>
  <si>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</si>
  <si>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</si>
  <si>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</si>
  <si>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</si>
  <si>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</si>
  <si>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</si>
  <si>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</si>
  <si>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</si>
  <si>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</si>
  <si>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</si>
  <si>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</si>
  <si>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</si>
  <si>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</si>
  <si>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</si>
  <si>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</si>
  <si>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</si>
  <si>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</si>
  <si>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</si>
  <si>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</si>
  <si>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</si>
  <si>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Ras Al Kaminah</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</si>
  <si>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</si>
  <si>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</si>
  <si>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</si>
  <si>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</si>
  <si>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</si>
  <si>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</si>
  <si>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</si>
  <si>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</si>
  <si>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</si>
  <si>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</si>
  <si>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</si>
  <si>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</si>
  <si>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</si>
  <si>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</si>
  <si>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</si>
  <si>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</si>
  <si>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</si>
  <si>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</si>
  <si>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</si>
  <si>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</si>
  <si>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</si>
  <si>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</si>
  <si>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</si>
  <si>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</si>
  <si>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Turks and Caicos</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</si>
  <si>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</si>
  <si>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</si>
  <si>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</si>
  <si>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</si>
  <si>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</si>
  <si>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</si>
  <si>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</si>
  <si>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</si>
  <si>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</si>
  <si>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</si>
  <si>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</si>
  <si>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</si>
  <si>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</si>
  <si>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</si>
  <si>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</si>
  <si>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</si>
  <si>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</si>
  <si>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</si>
  <si>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</si>
  <si>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</si>
  <si>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</si>
  <si>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</si>
  <si>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</si>
  <si>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</si>
  <si>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</si>
  <si>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</si>
  <si>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</si>
  <si>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</si>
  <si>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</si>
  <si>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</si>
  <si>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</si>
  <si>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</si>
  <si>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</si>
  <si>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</si>
  <si>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</si>
  <si>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</si>
  <si>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</si>
  <si>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</si>
  <si>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</si>
  <si>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</si>
  <si>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</si>
  <si>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</si>
  <si>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</si>
  <si>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Kazakhastan</t>
  </si>
  <si>
    <t>Laos</t>
  </si>
  <si>
    <t>Palestine</t>
  </si>
  <si>
    <t>UAE</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</si>
  <si>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</si>
  <si>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</si>
  <si>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</si>
  <si>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</si>
  <si>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</si>
  <si>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</si>
  <si>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</si>
  <si>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</si>
  <si>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</si>
  <si>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</si>
  <si>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</si>
  <si>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</si>
  <si>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</si>
  <si>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</si>
  <si>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</si>
  <si>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DATE</t>
  </si>
  <si>
    <t>VALUE</t>
  </si>
  <si>
    <t>Index:</t>
  </si>
  <si>
    <t>FRED (Federal Reserve St. Louis Datasets)</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</si>
  <si>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</si>
  <si>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</si>
  <si>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</si>
  <si>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</si>
  <si>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</si>
  <si>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</si>
  <si>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</si>
  <si>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</si>
  <si>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</si>
  <si>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</si>
  <si>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</si>
  <si>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You can see the relative ratios for individual countries in the worksheet "Equity vs Govt Bond" in this spreadsheet. Set cell E5 in the ERP worksheet to that number.</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</si>
  <si>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BAML Emerging Public Bond index standard deviation</t>
    </r>
  </si>
  <si>
    <t>Frontier Markets (no sovereign ratings)</t>
  </si>
  <si>
    <t>PRS Composite Risk Score</t>
  </si>
  <si>
    <t>CRP</t>
  </si>
  <si>
    <t>http://www.data.worldbank.org/data-catalog/GDP-ranking-table</t>
  </si>
  <si>
    <t>CDS</t>
  </si>
  <si>
    <t>Sovereign CDS, net of US</t>
  </si>
  <si>
    <t>Std deviation in Equities (weekly)</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</si>
  <si>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</si>
  <si>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</si>
  <si>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</si>
  <si>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</si>
  <si>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</si>
  <si>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</si>
  <si>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</si>
  <si>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</si>
  <si>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</si>
  <si>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</si>
  <si>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</si>
  <si>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</si>
  <si>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</si>
  <si>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</si>
  <si>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</si>
  <si>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</si>
  <si>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</si>
  <si>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</si>
  <si>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</si>
  <si>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</si>
  <si>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</si>
  <si>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</si>
  <si>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</si>
  <si>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</si>
  <si>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</si>
  <si>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</si>
  <si>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</si>
  <si>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</si>
  <si>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</si>
  <si>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</si>
  <si>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</si>
  <si>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</si>
  <si>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</si>
  <si>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</si>
  <si>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</si>
  <si>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</si>
  <si>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</si>
  <si>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</si>
  <si>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</si>
  <si>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</si>
  <si>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</si>
  <si>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</si>
  <si>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</si>
  <si>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</si>
  <si>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</si>
  <si>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</si>
  <si>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</si>
  <si>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</si>
  <si>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</si>
  <si>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</si>
  <si>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</si>
  <si>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</si>
  <si>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</si>
  <si>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</si>
  <si>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</si>
  <si>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Global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</si>
  <si>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</si>
  <si>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</si>
  <si>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</si>
  <si>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</si>
  <si>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</si>
  <si>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</si>
  <si>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</si>
  <si>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</si>
  <si>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</si>
  <si>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</si>
  <si>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</si>
  <si>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</si>
  <si>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</si>
  <si>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</si>
  <si>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</si>
  <si>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</si>
  <si>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</si>
  <si>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</si>
  <si>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</si>
  <si>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</si>
  <si>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</si>
  <si>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</si>
  <si>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</si>
  <si>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South America average</t>
  </si>
  <si>
    <t>Guatamela</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</si>
  <si>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</si>
  <si>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</si>
  <si>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</si>
  <si>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</si>
  <si>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</si>
  <si>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</si>
  <si>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</si>
  <si>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</si>
  <si>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</si>
  <si>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</si>
  <si>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</si>
  <si>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</si>
  <si>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</si>
  <si>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</si>
  <si>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China, Peoples' Rep.</t>
  </si>
  <si>
    <t xml:space="preserve">Serbia </t>
  </si>
  <si>
    <t>Congo, Republic</t>
  </si>
  <si>
    <t>Congo, Dem. Republic</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</si>
  <si>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</si>
  <si>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</si>
  <si>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</si>
  <si>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</si>
  <si>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</si>
  <si>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</si>
  <si>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</si>
  <si>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</si>
  <si>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</si>
  <si>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</si>
  <si>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</si>
  <si>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</si>
  <si>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</si>
  <si>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</si>
  <si>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</si>
  <si>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</si>
  <si>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</si>
  <si>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</si>
  <si>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</si>
  <si>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</si>
  <si>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</si>
  <si>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</si>
  <si>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</si>
  <si>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</si>
  <si>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</si>
  <si>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</si>
  <si>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B+ </t>
  </si>
  <si>
    <t>N/A</t>
  </si>
  <si>
    <t>European Union</t>
  </si>
  <si>
    <t>SD </t>
  </si>
  <si>
    <t>BBB </t>
  </si>
  <si>
    <t>D</t>
  </si>
  <si>
    <t>A- </t>
  </si>
  <si>
    <t>D </t>
  </si>
  <si>
    <t>Singapore </t>
  </si>
  <si>
    <t>South Korea</t>
  </si>
  <si>
    <t>St Vincent and the Grenadines</t>
  </si>
  <si>
    <t>Turkey </t>
  </si>
  <si>
    <r>
      <t>s</t>
    </r>
    <r>
      <rPr>
        <i/>
        <vertAlign val="subscript"/>
        <sz val="12"/>
        <color rgb="FF000000"/>
        <rFont val="Calibri"/>
        <family val="2"/>
      </rPr>
      <t>Bond</t>
    </r>
  </si>
  <si>
    <r>
      <t>s</t>
    </r>
    <r>
      <rPr>
        <i/>
        <vertAlign val="subscript"/>
        <sz val="12"/>
        <color rgb="FF000000"/>
        <rFont val="Calibri"/>
        <family val="2"/>
      </rPr>
      <t xml:space="preserve">Equity/ </t>
    </r>
    <r>
      <rPr>
        <i/>
        <sz val="12"/>
        <color rgb="FF000000"/>
        <rFont val="Symbol"/>
        <charset val="2"/>
      </rPr>
      <t>s</t>
    </r>
    <r>
      <rPr>
        <i/>
        <vertAlign val="subscript"/>
        <sz val="12"/>
        <color rgb="FF000000"/>
        <rFont val="Calibri"/>
        <family val="2"/>
      </rPr>
      <t>Bond</t>
    </r>
  </si>
  <si>
    <r>
      <t>s</t>
    </r>
    <r>
      <rPr>
        <i/>
        <sz val="12"/>
        <color rgb="FF000000"/>
        <rFont val="Calibri"/>
        <family val="2"/>
      </rPr>
      <t xml:space="preserve"> (CDS)</t>
    </r>
  </si>
  <si>
    <r>
      <t>s</t>
    </r>
    <r>
      <rPr>
        <i/>
        <vertAlign val="subscript"/>
        <sz val="12"/>
        <color rgb="FF000000"/>
        <rFont val="Symbol"/>
        <charset val="2"/>
      </rPr>
      <t>E</t>
    </r>
    <r>
      <rPr>
        <i/>
        <vertAlign val="subscript"/>
        <sz val="12"/>
        <color rgb="FF000000"/>
        <rFont val="Calibri"/>
        <family val="2"/>
      </rPr>
      <t>quity/</t>
    </r>
    <r>
      <rPr>
        <i/>
        <vertAlign val="subscript"/>
        <sz val="12"/>
        <color rgb="FF000000"/>
        <rFont val="Symbol"/>
        <charset val="2"/>
      </rPr>
      <t xml:space="preserve"> </t>
    </r>
    <r>
      <rPr>
        <i/>
        <sz val="12"/>
        <color rgb="FF000000"/>
        <rFont val="Symbol"/>
        <charset val="2"/>
      </rPr>
      <t>s</t>
    </r>
    <r>
      <rPr>
        <i/>
        <vertAlign val="subscript"/>
        <sz val="12"/>
        <color rgb="FF000000"/>
        <rFont val="Calibri"/>
        <family val="2"/>
      </rPr>
      <t>CDS</t>
    </r>
  </si>
  <si>
    <t>Guatemela</t>
  </si>
  <si>
    <t>Average Tax Rate</t>
  </si>
  <si>
    <t>CCC+ </t>
  </si>
  <si>
    <t>BBB- </t>
  </si>
  <si>
    <t>CCC </t>
  </si>
  <si>
    <t>A+ </t>
  </si>
  <si>
    <t>Peru </t>
  </si>
  <si>
    <t>Bahamas, The</t>
  </si>
  <si>
    <t>Cabo Verde</t>
  </si>
  <si>
    <t>Congo, Dem. Rep.</t>
  </si>
  <si>
    <t>Congo, Rep.</t>
  </si>
  <si>
    <t>Curaçao</t>
  </si>
  <si>
    <t>Egypt, Arab Rep.</t>
  </si>
  <si>
    <t>Korea, Rep.</t>
  </si>
  <si>
    <t>Lao PDR</t>
  </si>
  <si>
    <t>Nauru</t>
  </si>
  <si>
    <t>Russian Federation</t>
  </si>
  <si>
    <t>São Tomé and Principe</t>
  </si>
  <si>
    <t>Slovak Republic</t>
  </si>
  <si>
    <t>GDP (in billions)</t>
  </si>
  <si>
    <t>CDS Spread (7/1/22)</t>
  </si>
  <si>
    <t>CDS Spread 1/1/22</t>
  </si>
  <si>
    <t xml:space="preserve"> Default Spread 1/1/22)</t>
  </si>
  <si>
    <t>Economy</t>
  </si>
  <si>
    <t>US dollars)</t>
  </si>
  <si>
    <t>Türkiye</t>
  </si>
  <si>
    <t>New Caledonia</t>
  </si>
  <si>
    <t>French Polynesia</t>
  </si>
  <si>
    <t>WR</t>
  </si>
  <si>
    <t>Cayman Islands </t>
  </si>
  <si>
    <t>BB- </t>
  </si>
  <si>
    <t>SD</t>
  </si>
  <si>
    <t>Looked up for 2021</t>
  </si>
  <si>
    <t>ICE BofA Public Sector Issuers Emerg Mkts Index Option-Adjusted Spread</t>
  </si>
  <si>
    <t>https://papers.ssrn.com/sol3/papers.cfm?abstract_id=4066060</t>
  </si>
  <si>
    <t>Country+[DebtaspercentofgDP.xls]Sheet1!$A:$BR</t>
  </si>
  <si>
    <t>https://papers.ssrn.com/sol3/papers.cfm?abstract_id=4161010</t>
  </si>
  <si>
    <t>Updated Default Spread (12/31/22)</t>
  </si>
  <si>
    <t>GDP (in millions) in 2021</t>
  </si>
  <si>
    <t>-</t>
  </si>
  <si>
    <t>Turkiye</t>
  </si>
  <si>
    <t>AA- </t>
  </si>
  <si>
    <t>AA </t>
  </si>
  <si>
    <t>B </t>
  </si>
  <si>
    <t>PRS</t>
  </si>
  <si>
    <t>Std Dev (BMI)</t>
  </si>
  <si>
    <t>CV (Spread)</t>
  </si>
  <si>
    <t>REL VOL</t>
  </si>
  <si>
    <r>
      <rPr>
        <b/>
        <sz val="9"/>
        <rFont val="Geneva"/>
        <family val="2"/>
      </rPr>
      <t>Estimation note</t>
    </r>
    <r>
      <rPr>
        <sz val="9"/>
        <rFont val="Geneva"/>
        <family val="2"/>
      </rPr>
      <t>: There were wild swings in the relative volatility numbers in 2020 and 2021. Rather than compute one ratio for the entire five-year period. I have broken down the relative volatilties by year and used the average across the five years. You can see why many analysts ignore the relative volatility number entirely in computing country risk premiums.</t>
    </r>
  </si>
  <si>
    <t>https://fred.stlouisfed.org/series/BAMLEMPBPUBSICRPIEY</t>
  </si>
  <si>
    <t>Average Relative Volatility</t>
  </si>
  <si>
    <t>https://www.spglobal.com/spdji/en/indices/equity/sp-emerging-bmi/#overview</t>
  </si>
  <si>
    <t>Five years</t>
  </si>
  <si>
    <t>(Jan 1, 2018 - Dec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</si>
</sst>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409]mmmm\ d\,\ yyyy;@"/>
    <numFmt numFmtId="165" formatCode="0.0"/>
    <numFmt numFmtId="166" formatCode="0.000"/>
    <numFmt numFmtId="167" formatCode="yyyy\-mm\-dd"/>
    <numFmt numFmtId="168" formatCode="[$-409]d\-mmm\-yy;@"/>
    <numFmt numFmtId="169" formatCode="_(* #,##0_);_(* \(#,##0\);_(* &quot;-&quot;??_);_(@_)"/>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b/>
      <i/>
      <sz val="9"/>
      <name val="Geneva"/>
      <family val="2"/>
    </font>
    <font>
      <sz val="9"/>
      <name val="Geneva"/>
      <family val="2"/>
    </font>
    <font>
      <b/>
      <sz val="12"/>
      <name val="Times"/>
      <family val="1"/>
    </font>
    <font>
      <sz val="12"/>
      <name val="Times"/>
      <family val="1"/>
    </font>
    <font>
      <u/>
      <sz val="9"/>
      <color indexed="12"/>
      <name val="Geneva"/>
      <family val="2"/>
    </font>
    <font>
      <sz val="8"/>
      <name val="Geneva"/>
      <family val="2"/>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font>
    <font>
      <sz val="12"/>
      <name val="Geneva"/>
      <family val="2"/>
    </font>
    <font>
      <sz val="12"/>
      <name val="Times New Roman"/>
      <family val="1"/>
    </font>
    <font>
      <sz val="12"/>
      <name val="Calibri"/>
      <family val="2"/>
    </font>
    <font>
      <sz val="10"/>
      <name val="Geneva"/>
      <family val="2"/>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font>
    <font>
      <sz val="10"/>
      <name val="Geogrotesque Rg"/>
    </font>
    <font>
      <b/>
      <sz val="14"/>
      <name val="Geneva"/>
      <family val="2"/>
    </font>
    <font>
      <b/>
      <sz val="11"/>
      <color indexed="9"/>
      <name val="Calibri"/>
      <family val="2"/>
    </font>
    <font>
      <sz val="12"/>
      <color theme="1"/>
      <name val="Calibri"/>
      <family val="2"/>
      <scheme val="minor"/>
    </font>
    <font>
      <b/>
      <sz val="12"/>
      <color theme="1"/>
      <name val="Calibri"/>
      <family val="2"/>
      <scheme val="minor"/>
    </font>
    <font>
      <sz val="12"/>
      <color rgb="FFFF0000"/>
      <name val="Calibri"/>
      <family val="2"/>
      <scheme val="minor"/>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font>
    <font>
      <i/>
      <sz val="12"/>
      <name val="Calibri"/>
      <family val="2"/>
      <scheme val="minor"/>
    </font>
    <font>
      <b/>
      <sz val="14"/>
      <name val="Calibri"/>
      <family val="2"/>
      <scheme val="minor"/>
    </font>
    <font>
      <b/>
      <i/>
      <sz val="12"/>
      <name val="Calibri"/>
      <family val="2"/>
      <scheme val="minor"/>
    </font>
    <font>
      <u/>
      <sz val="12"/>
      <color indexed="12"/>
      <name val="Calibri"/>
      <family val="2"/>
      <scheme val="minor"/>
    </font>
    <font>
      <sz val="10"/>
      <color rgb="FFFF0000"/>
      <name val="Geneva"/>
      <family val="2"/>
    </font>
    <font>
      <sz val="10"/>
      <color theme="1"/>
      <name val="Arial"/>
      <family val="2"/>
    </font>
    <font>
      <sz val="9"/>
      <color theme="1"/>
      <name val="Geneva"/>
      <family val="2"/>
    </font>
    <font>
      <sz val="12"/>
      <name val="Calibri"/>
      <family val="2"/>
      <scheme val="minor"/>
    </font>
    <font>
      <sz val="12"/>
      <name val="Calibri"/>
      <family val="2"/>
    </font>
    <font>
      <b/>
      <sz val="10"/>
      <color rgb="FF000000"/>
      <name val="Calibri"/>
      <family val="2"/>
    </font>
    <font>
      <sz val="10"/>
      <color rgb="FF000000"/>
      <name val="Calibri"/>
      <family val="2"/>
    </font>
    <font>
      <sz val="12"/>
      <color rgb="FF00B050"/>
      <name val="Calibri"/>
      <family val="2"/>
      <scheme val="minor"/>
    </font>
    <font>
      <i/>
      <sz val="12"/>
      <color rgb="FF000000"/>
      <name val="Symbol"/>
      <charset val="2"/>
    </font>
    <font>
      <i/>
      <vertAlign val="subscript"/>
      <sz val="12"/>
      <color rgb="FF000000"/>
      <name val="Symbol"/>
      <charset val="2"/>
    </font>
    <font>
      <sz val="14"/>
      <color theme="1"/>
      <name val="Calibri"/>
      <family val="2"/>
      <scheme val="minor"/>
    </font>
    <font>
      <b/>
      <sz val="9"/>
      <name val="Geneva"/>
      <family val="2"/>
    </font>
    <font>
      <sz val="14"/>
      <name val="Geneva"/>
      <family val="2"/>
    </font>
    <font>
      <sz val="10"/>
      <color rgb="FFFF0000"/>
      <name val="Arial"/>
      <family val="2"/>
    </font>
    <font>
      <sz val="10"/>
      <color rgb="FF000000"/>
      <name val="Calibri"/>
      <family val="2"/>
      <scheme val="minor"/>
    </font>
    <font>
      <sz val="10"/>
      <color theme="1"/>
      <name val="Calibri"/>
      <family val="2"/>
      <scheme val="minor"/>
    </font>
    <font>
      <sz val="10"/>
      <color rgb="FF46A7F1"/>
      <name val="Calibri"/>
      <family val="2"/>
      <scheme val="minor"/>
    </font>
    <font>
      <b/>
      <sz val="14"/>
      <color rgb="FF333333"/>
      <name val="Helvetica Neue"/>
      <family val="2"/>
    </font>
    <font>
      <i/>
      <sz val="12"/>
      <color rgb="FF000000"/>
      <name val="Calibri"/>
      <family val="2"/>
    </font>
    <font>
      <i/>
      <vertAlign val="subscript"/>
      <sz val="12"/>
      <color rgb="FF000000"/>
      <name val="Calibri"/>
      <family val="2"/>
    </font>
    <font>
      <sz val="12"/>
      <color rgb="FF000000"/>
      <name val="Calibri"/>
      <family val="2"/>
    </font>
    <font>
      <b/>
      <sz val="12"/>
      <color rgb="FF000000"/>
      <name val="Calibri"/>
      <family val="2"/>
    </font>
    <font>
      <i/>
      <sz val="8"/>
      <name val="Arial"/>
      <family val="2"/>
    </font>
    <font>
      <sz val="8"/>
      <name val="Arial"/>
      <family val="2"/>
    </font>
    <font>
      <sz val="10"/>
      <color rgb="FF333333"/>
      <name val="Lucida Sans"/>
      <family val="2"/>
    </font>
    <font>
      <u/>
      <sz val="12"/>
      <color indexed="12"/>
      <name val="Geneva"/>
      <family val="2"/>
    </font>
    <font>
      <sz val="15"/>
      <color rgb="FF333333"/>
      <name val="Helvetica Neue"/>
      <family val="2"/>
    </font>
    <font>
      <sz val="15"/>
      <color rgb="FF8B0000"/>
      <name val="Helvetica Neue"/>
      <family val="2"/>
    </font>
    <font>
      <sz val="15"/>
      <color rgb="FF006400"/>
      <name val="Helvetica Neue"/>
      <family val="2"/>
    </font>
    <font>
      <sz val="12"/>
      <color rgb="FFFF0000"/>
      <name val="Calibri"/>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9">
    <xf numFmtId="0" fontId="0" fillId="0" borderId="0"/>
    <xf numFmtId="0" fontId="31" fillId="4" borderId="0"/>
    <xf numFmtId="0" fontId="11" fillId="0" borderId="0" applyNumberFormat="0" applyFill="0" applyBorder="0" applyAlignment="0" applyProtection="0">
      <alignment vertical="top"/>
      <protection locked="0"/>
    </xf>
    <xf numFmtId="0" fontId="15" fillId="0" borderId="0"/>
    <xf numFmtId="9" fontId="8" fillId="0" borderId="0" applyFont="0" applyFill="0" applyBorder="0" applyAlignment="0" applyProtection="0"/>
    <xf numFmtId="44" fontId="8" fillId="0" borderId="0" applyFont="0" applyFill="0" applyBorder="0" applyAlignment="0" applyProtection="0"/>
    <xf numFmtId="0" fontId="15" fillId="0" borderId="0"/>
    <xf numFmtId="43" fontId="15" fillId="0" borderId="0" applyFont="0" applyFill="0" applyBorder="0" applyAlignment="0" applyProtection="0"/>
    <xf numFmtId="0" fontId="15" fillId="0" borderId="0"/>
  </cellStyleXfs>
  <cellXfs count="260">
    <xf numFmtId="0" fontId="0" fillId="0" borderId="0" xfId="0"/>
    <xf numFmtId="0" fontId="6" fillId="0" borderId="0" xfId="0" applyFont="1"/>
    <xf numFmtId="0" fontId="7" fillId="0" borderId="0" xfId="0" applyFont="1"/>
    <xf numFmtId="0" fontId="9" fillId="0" borderId="0" xfId="0" applyFont="1" applyAlignment="1">
      <alignment horizontal="center"/>
    </xf>
    <xf numFmtId="0" fontId="0" fillId="0" borderId="1" xfId="0" applyBorder="1" applyAlignment="1">
      <alignment horizontal="center"/>
    </xf>
    <xf numFmtId="0" fontId="10" fillId="0" borderId="0" xfId="0" applyFont="1" applyAlignment="1">
      <alignment horizontal="left"/>
    </xf>
    <xf numFmtId="0" fontId="9" fillId="0" borderId="0" xfId="0" applyFont="1" applyAlignment="1">
      <alignment horizontal="centerContinuous"/>
    </xf>
    <xf numFmtId="0" fontId="13" fillId="0" borderId="1" xfId="0" applyFont="1" applyBorder="1"/>
    <xf numFmtId="0" fontId="10" fillId="0" borderId="1" xfId="0" applyFont="1" applyBorder="1"/>
    <xf numFmtId="0" fontId="10" fillId="0" borderId="1" xfId="0" applyFont="1" applyBorder="1" applyAlignment="1">
      <alignment horizontal="center"/>
    </xf>
    <xf numFmtId="10" fontId="10" fillId="0" borderId="1" xfId="4" applyNumberFormat="1" applyFont="1" applyBorder="1"/>
    <xf numFmtId="10" fontId="10"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10" fillId="0" borderId="2" xfId="0" applyNumberFormat="1" applyFont="1" applyBorder="1" applyAlignment="1">
      <alignment horizontal="center"/>
    </xf>
    <xf numFmtId="0" fontId="0" fillId="0" borderId="1" xfId="0" applyBorder="1"/>
    <xf numFmtId="0" fontId="18" fillId="0" borderId="0" xfId="0" applyFont="1"/>
    <xf numFmtId="0" fontId="6"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9" fillId="0" borderId="0" xfId="0" applyFont="1"/>
    <xf numFmtId="10" fontId="10" fillId="0" borderId="1" xfId="4" applyNumberFormat="1" applyFont="1" applyBorder="1" applyAlignment="1">
      <alignment horizontal="center"/>
    </xf>
    <xf numFmtId="0" fontId="0" fillId="0" borderId="0" xfId="0" pivotButton="1"/>
    <xf numFmtId="10" fontId="0" fillId="0" borderId="0" xfId="0" applyNumberFormat="1"/>
    <xf numFmtId="10" fontId="35" fillId="0" borderId="1" xfId="0" applyNumberFormat="1" applyFont="1" applyBorder="1" applyAlignment="1">
      <alignment horizontal="center"/>
    </xf>
    <xf numFmtId="0" fontId="0" fillId="0" borderId="0" xfId="0" applyAlignment="1">
      <alignment horizontal="center"/>
    </xf>
    <xf numFmtId="10" fontId="10" fillId="0" borderId="0" xfId="4" applyNumberFormat="1" applyFont="1" applyBorder="1"/>
    <xf numFmtId="10" fontId="10" fillId="0" borderId="0" xfId="0" applyNumberFormat="1" applyFont="1" applyAlignment="1">
      <alignment horizontal="center"/>
    </xf>
    <xf numFmtId="0" fontId="36" fillId="0" borderId="1" xfId="0" applyFont="1" applyBorder="1"/>
    <xf numFmtId="0" fontId="37" fillId="0" borderId="1" xfId="0" applyFont="1" applyBorder="1"/>
    <xf numFmtId="0" fontId="38" fillId="0" borderId="1" xfId="0" applyFont="1" applyBorder="1"/>
    <xf numFmtId="0" fontId="22" fillId="0" borderId="0" xfId="0" applyFont="1"/>
    <xf numFmtId="0" fontId="39" fillId="0" borderId="0" xfId="0" applyFont="1"/>
    <xf numFmtId="0" fontId="35" fillId="0" borderId="1" xfId="3" applyFont="1" applyBorder="1"/>
    <xf numFmtId="0" fontId="35" fillId="0" borderId="1" xfId="3" applyFont="1" applyBorder="1" applyAlignment="1">
      <alignment horizontal="left"/>
    </xf>
    <xf numFmtId="0" fontId="40" fillId="0" borderId="0" xfId="0" applyFont="1"/>
    <xf numFmtId="0" fontId="20" fillId="0" borderId="1" xfId="3" applyFont="1" applyBorder="1" applyAlignment="1">
      <alignment horizontal="left"/>
    </xf>
    <xf numFmtId="0" fontId="42" fillId="0" borderId="0" xfId="0" applyFont="1"/>
    <xf numFmtId="0" fontId="35" fillId="0" borderId="0" xfId="0" applyFont="1"/>
    <xf numFmtId="0" fontId="35" fillId="6" borderId="1" xfId="0" applyFont="1" applyFill="1" applyBorder="1"/>
    <xf numFmtId="0" fontId="35" fillId="0" borderId="0" xfId="0" applyFont="1" applyAlignment="1">
      <alignment horizontal="center"/>
    </xf>
    <xf numFmtId="0" fontId="35" fillId="7" borderId="1" xfId="0" applyFont="1" applyFill="1" applyBorder="1" applyAlignment="1">
      <alignment horizontal="center"/>
    </xf>
    <xf numFmtId="10" fontId="35" fillId="7" borderId="1" xfId="4" applyNumberFormat="1" applyFont="1" applyFill="1" applyBorder="1" applyAlignment="1">
      <alignment horizontal="center"/>
    </xf>
    <xf numFmtId="0" fontId="0" fillId="6" borderId="1" xfId="0" applyFill="1" applyBorder="1"/>
    <xf numFmtId="10" fontId="8" fillId="7" borderId="1" xfId="4" applyNumberFormat="1" applyFont="1" applyFill="1" applyBorder="1"/>
    <xf numFmtId="0" fontId="35" fillId="0" borderId="3" xfId="0" applyFont="1" applyBorder="1"/>
    <xf numFmtId="0" fontId="35" fillId="0" borderId="1" xfId="0" applyFont="1" applyBorder="1"/>
    <xf numFmtId="10" fontId="0" fillId="0" borderId="0" xfId="4" applyNumberFormat="1" applyFont="1"/>
    <xf numFmtId="10" fontId="0" fillId="0" borderId="0" xfId="4" applyNumberFormat="1" applyFont="1" applyAlignment="1">
      <alignment horizontal="center"/>
    </xf>
    <xf numFmtId="0" fontId="23" fillId="8" borderId="0" xfId="0" applyFont="1" applyFill="1" applyAlignment="1">
      <alignment horizontal="left" vertical="center" wrapText="1"/>
    </xf>
    <xf numFmtId="0" fontId="21" fillId="0" borderId="3" xfId="0" applyFont="1" applyBorder="1"/>
    <xf numFmtId="0" fontId="24" fillId="0" borderId="1" xfId="0" applyFont="1" applyBorder="1"/>
    <xf numFmtId="0" fontId="24" fillId="0" borderId="2" xfId="0" applyFont="1" applyBorder="1" applyAlignment="1">
      <alignment horizontal="center"/>
    </xf>
    <xf numFmtId="0" fontId="39" fillId="0" borderId="1" xfId="0" applyFont="1" applyBorder="1" applyAlignment="1">
      <alignment horizontal="center"/>
    </xf>
    <xf numFmtId="10" fontId="39" fillId="0" borderId="1" xfId="4" applyNumberFormat="1" applyFont="1" applyBorder="1" applyAlignment="1">
      <alignment horizontal="center"/>
    </xf>
    <xf numFmtId="10" fontId="39" fillId="0" borderId="2" xfId="0" applyNumberFormat="1" applyFont="1" applyBorder="1" applyAlignment="1">
      <alignment horizontal="center"/>
    </xf>
    <xf numFmtId="0" fontId="35" fillId="0" borderId="1" xfId="0" applyFont="1" applyBorder="1" applyAlignment="1">
      <alignment horizontal="center"/>
    </xf>
    <xf numFmtId="10" fontId="35" fillId="0" borderId="1" xfId="4" applyNumberFormat="1" applyFont="1" applyBorder="1" applyAlignment="1">
      <alignment horizontal="center"/>
    </xf>
    <xf numFmtId="0" fontId="39" fillId="0" borderId="1" xfId="0" applyFont="1" applyBorder="1"/>
    <xf numFmtId="0" fontId="41" fillId="0" borderId="0" xfId="0" applyFont="1"/>
    <xf numFmtId="10" fontId="35" fillId="0" borderId="0" xfId="4" applyNumberFormat="1" applyFont="1"/>
    <xf numFmtId="10" fontId="39" fillId="0" borderId="0" xfId="0" applyNumberFormat="1" applyFont="1"/>
    <xf numFmtId="10" fontId="39" fillId="0" borderId="1" xfId="0" applyNumberFormat="1" applyFont="1" applyBorder="1" applyAlignment="1">
      <alignment horizontal="center"/>
    </xf>
    <xf numFmtId="10" fontId="0" fillId="0" borderId="0" xfId="0" applyNumberFormat="1" applyAlignment="1">
      <alignment horizontal="center"/>
    </xf>
    <xf numFmtId="0" fontId="6" fillId="0" borderId="1" xfId="0" applyFont="1" applyBorder="1"/>
    <xf numFmtId="10" fontId="0" fillId="0" borderId="1" xfId="0" applyNumberFormat="1" applyBorder="1" applyAlignment="1">
      <alignment horizontal="center"/>
    </xf>
    <xf numFmtId="0" fontId="39" fillId="8" borderId="1" xfId="0" applyFont="1" applyFill="1" applyBorder="1" applyAlignment="1">
      <alignment horizontal="left" vertical="center" wrapText="1"/>
    </xf>
    <xf numFmtId="0" fontId="39" fillId="8" borderId="1" xfId="0" applyFont="1" applyFill="1" applyBorder="1" applyAlignment="1">
      <alignment horizontal="center" vertical="center" wrapText="1"/>
    </xf>
    <xf numFmtId="0" fontId="19" fillId="0" borderId="1" xfId="0" applyFont="1" applyBorder="1" applyAlignment="1">
      <alignment horizontal="center"/>
    </xf>
    <xf numFmtId="0" fontId="38" fillId="0" borderId="1" xfId="0" applyFont="1" applyBorder="1" applyAlignment="1">
      <alignment horizontal="center"/>
    </xf>
    <xf numFmtId="0" fontId="43" fillId="0" borderId="0" xfId="0" applyFont="1"/>
    <xf numFmtId="0" fontId="44" fillId="0" borderId="0" xfId="2" applyFont="1" applyAlignment="1" applyProtection="1"/>
    <xf numFmtId="10" fontId="0" fillId="0" borderId="1" xfId="4" applyNumberFormat="1" applyFont="1" applyBorder="1" applyAlignment="1">
      <alignment horizontal="center"/>
    </xf>
    <xf numFmtId="0" fontId="28" fillId="0" borderId="0" xfId="0" applyFont="1"/>
    <xf numFmtId="0" fontId="45" fillId="0" borderId="0" xfId="0" applyFont="1"/>
    <xf numFmtId="165" fontId="27" fillId="0" borderId="0" xfId="0" applyNumberFormat="1" applyFont="1" applyAlignment="1">
      <alignment horizontal="center"/>
    </xf>
    <xf numFmtId="10" fontId="35" fillId="7" borderId="0" xfId="4"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9" fillId="0" borderId="0" xfId="0" applyFont="1"/>
    <xf numFmtId="14" fontId="29" fillId="0" borderId="0" xfId="0" applyNumberFormat="1" applyFont="1" applyAlignment="1">
      <alignment wrapText="1"/>
    </xf>
    <xf numFmtId="0" fontId="29"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5" fillId="0" borderId="0" xfId="0" applyFont="1" applyAlignment="1">
      <alignment horizontal="left"/>
    </xf>
    <xf numFmtId="2" fontId="8" fillId="7" borderId="1" xfId="4" applyNumberFormat="1" applyFont="1" applyFill="1" applyBorder="1" applyAlignment="1">
      <alignment horizontal="center"/>
    </xf>
    <xf numFmtId="10" fontId="8" fillId="7" borderId="1" xfId="4" applyNumberFormat="1" applyFont="1" applyFill="1" applyBorder="1" applyAlignment="1">
      <alignment horizontal="center"/>
    </xf>
    <xf numFmtId="0" fontId="30" fillId="0" borderId="0" xfId="0" applyFont="1"/>
    <xf numFmtId="0" fontId="21" fillId="0" borderId="0" xfId="0" applyFont="1"/>
    <xf numFmtId="0" fontId="10" fillId="0" borderId="5" xfId="0" applyFont="1" applyBorder="1" applyAlignment="1">
      <alignment horizontal="center"/>
    </xf>
    <xf numFmtId="0" fontId="21" fillId="0" borderId="0" xfId="0" applyFont="1" applyAlignment="1">
      <alignment horizontal="left"/>
    </xf>
    <xf numFmtId="10" fontId="10" fillId="0" borderId="6" xfId="0" applyNumberFormat="1" applyFont="1" applyBorder="1" applyAlignment="1">
      <alignment horizontal="center"/>
    </xf>
    <xf numFmtId="10" fontId="32" fillId="0" borderId="1" xfId="4" applyNumberFormat="1" applyFont="1" applyBorder="1" applyAlignment="1">
      <alignment horizontal="center"/>
    </xf>
    <xf numFmtId="10" fontId="0" fillId="0" borderId="1" xfId="4" applyNumberFormat="1" applyFont="1" applyBorder="1"/>
    <xf numFmtId="0" fontId="6" fillId="5" borderId="0" xfId="0" applyFont="1" applyFill="1" applyAlignment="1">
      <alignment horizontal="left"/>
    </xf>
    <xf numFmtId="0" fontId="6" fillId="0" borderId="0" xfId="0" applyFont="1" applyAlignment="1">
      <alignment horizontal="center"/>
    </xf>
    <xf numFmtId="0" fontId="43" fillId="0" borderId="1" xfId="0" applyFont="1" applyBorder="1"/>
    <xf numFmtId="10" fontId="35" fillId="0" borderId="1" xfId="0" applyNumberFormat="1" applyFont="1" applyBorder="1"/>
    <xf numFmtId="166" fontId="0" fillId="0" borderId="1" xfId="0" applyNumberFormat="1" applyBorder="1"/>
    <xf numFmtId="10" fontId="24" fillId="0" borderId="0" xfId="0" applyNumberFormat="1" applyFont="1" applyAlignment="1">
      <alignment horizontal="center"/>
    </xf>
    <xf numFmtId="0" fontId="11" fillId="0" borderId="0" xfId="2" applyAlignment="1" applyProtection="1"/>
    <xf numFmtId="0" fontId="46" fillId="3" borderId="9" xfId="3" applyFont="1" applyFill="1" applyBorder="1" applyAlignment="1">
      <alignment vertical="center"/>
    </xf>
    <xf numFmtId="0" fontId="0" fillId="0" borderId="1" xfId="0" applyBorder="1" applyAlignment="1">
      <alignment horizontal="left"/>
    </xf>
    <xf numFmtId="0" fontId="9" fillId="0" borderId="0" xfId="0" applyFont="1" applyAlignment="1">
      <alignment horizontal="left"/>
    </xf>
    <xf numFmtId="0" fontId="0" fillId="0" borderId="5" xfId="0" applyBorder="1" applyAlignment="1">
      <alignment horizontal="left"/>
    </xf>
    <xf numFmtId="0" fontId="6" fillId="0" borderId="0" xfId="0" applyFont="1" applyAlignment="1">
      <alignment horizontal="left"/>
    </xf>
    <xf numFmtId="165" fontId="21" fillId="0" borderId="6" xfId="0" applyNumberFormat="1" applyFont="1" applyBorder="1" applyAlignment="1">
      <alignment horizontal="left"/>
    </xf>
    <xf numFmtId="0" fontId="10" fillId="0" borderId="7" xfId="0" applyFont="1" applyBorder="1" applyAlignment="1">
      <alignment horizontal="left"/>
    </xf>
    <xf numFmtId="0" fontId="13" fillId="0" borderId="8" xfId="0" applyFont="1" applyBorder="1" applyAlignment="1">
      <alignment horizontal="left"/>
    </xf>
    <xf numFmtId="0" fontId="0" fillId="0" borderId="6" xfId="0" applyBorder="1" applyAlignment="1">
      <alignment horizontal="left"/>
    </xf>
    <xf numFmtId="0" fontId="10" fillId="0" borderId="6" xfId="0" applyFont="1" applyBorder="1" applyAlignment="1">
      <alignment horizontal="center"/>
    </xf>
    <xf numFmtId="0" fontId="13" fillId="0" borderId="6" xfId="0" applyFont="1" applyBorder="1" applyAlignment="1">
      <alignment horizontal="center"/>
    </xf>
    <xf numFmtId="0" fontId="13" fillId="0" borderId="6" xfId="0" applyFont="1" applyBorder="1" applyAlignment="1">
      <alignment horizontal="center" wrapText="1"/>
    </xf>
    <xf numFmtId="0" fontId="13" fillId="0" borderId="10" xfId="0" applyFont="1" applyBorder="1" applyAlignment="1">
      <alignment horizontal="center"/>
    </xf>
    <xf numFmtId="0" fontId="10" fillId="0" borderId="11" xfId="0" applyFont="1" applyBorder="1" applyAlignment="1">
      <alignment horizontal="left"/>
    </xf>
    <xf numFmtId="10" fontId="10" fillId="0" borderId="5" xfId="4" applyNumberFormat="1" applyFont="1" applyBorder="1" applyAlignment="1">
      <alignment horizontal="center"/>
    </xf>
    <xf numFmtId="10" fontId="10" fillId="0" borderId="5" xfId="0" applyNumberFormat="1" applyFont="1" applyBorder="1" applyAlignment="1">
      <alignment horizontal="center"/>
    </xf>
    <xf numFmtId="10" fontId="10" fillId="0" borderId="12" xfId="0" applyNumberFormat="1" applyFont="1" applyBorder="1" applyAlignment="1">
      <alignment horizontal="center"/>
    </xf>
    <xf numFmtId="0" fontId="33" fillId="0" borderId="1" xfId="0" applyFont="1" applyBorder="1"/>
    <xf numFmtId="10" fontId="33" fillId="0" borderId="1" xfId="0" applyNumberFormat="1" applyFont="1" applyBorder="1" applyAlignment="1">
      <alignment horizontal="center"/>
    </xf>
    <xf numFmtId="0" fontId="0" fillId="0" borderId="6" xfId="0" applyBorder="1" applyAlignment="1">
      <alignment horizontal="center"/>
    </xf>
    <xf numFmtId="0" fontId="39" fillId="0" borderId="1" xfId="0" applyFont="1" applyBorder="1" applyAlignment="1">
      <alignment horizontal="center" vertical="center" wrapText="1"/>
    </xf>
    <xf numFmtId="10" fontId="35" fillId="0" borderId="1" xfId="4" applyNumberFormat="1" applyFont="1" applyFill="1" applyBorder="1" applyAlignment="1">
      <alignment horizontal="center"/>
    </xf>
    <xf numFmtId="0" fontId="39" fillId="0" borderId="1" xfId="0" applyFont="1" applyBorder="1" applyAlignment="1">
      <alignment horizontal="center" wrapText="1"/>
    </xf>
    <xf numFmtId="2" fontId="10" fillId="0" borderId="1" xfId="0" applyNumberFormat="1" applyFont="1" applyBorder="1" applyAlignment="1">
      <alignment horizontal="center"/>
    </xf>
    <xf numFmtId="2" fontId="0" fillId="0" borderId="0" xfId="0" applyNumberFormat="1" applyAlignment="1">
      <alignment horizontal="center"/>
    </xf>
    <xf numFmtId="0" fontId="48" fillId="0" borderId="1" xfId="0" applyFont="1" applyBorder="1"/>
    <xf numFmtId="0" fontId="49"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0" fillId="9" borderId="1" xfId="4" applyNumberFormat="1" applyFont="1" applyFill="1" applyBorder="1" applyAlignment="1">
      <alignment horizontal="center"/>
    </xf>
    <xf numFmtId="167" fontId="0" fillId="0" borderId="0" xfId="0" applyNumberFormat="1"/>
    <xf numFmtId="2" fontId="43" fillId="0" borderId="1" xfId="0" applyNumberFormat="1" applyFont="1" applyBorder="1"/>
    <xf numFmtId="2" fontId="35" fillId="0" borderId="1" xfId="0" applyNumberFormat="1" applyFont="1" applyBorder="1" applyAlignment="1">
      <alignment horizontal="center" wrapText="1"/>
    </xf>
    <xf numFmtId="2" fontId="20" fillId="0" borderId="1" xfId="0" applyNumberFormat="1" applyFont="1" applyBorder="1" applyAlignment="1">
      <alignment horizontal="center"/>
    </xf>
    <xf numFmtId="2" fontId="35" fillId="0" borderId="0" xfId="0" applyNumberFormat="1" applyFont="1" applyAlignment="1">
      <alignment horizontal="center"/>
    </xf>
    <xf numFmtId="0" fontId="47" fillId="10" borderId="13" xfId="0" applyFont="1" applyFill="1" applyBorder="1"/>
    <xf numFmtId="0" fontId="47" fillId="10" borderId="14" xfId="0" applyFont="1" applyFill="1" applyBorder="1"/>
    <xf numFmtId="0" fontId="47" fillId="11" borderId="15" xfId="0" applyFont="1" applyFill="1" applyBorder="1" applyAlignment="1">
      <alignment horizontal="left"/>
    </xf>
    <xf numFmtId="10" fontId="47" fillId="11" borderId="15" xfId="0" applyNumberFormat="1" applyFont="1" applyFill="1" applyBorder="1"/>
    <xf numFmtId="0" fontId="52" fillId="0" borderId="1" xfId="0" applyFont="1" applyBorder="1"/>
    <xf numFmtId="0" fontId="5" fillId="0" borderId="1" xfId="0" applyFont="1" applyBorder="1"/>
    <xf numFmtId="14" fontId="39" fillId="0" borderId="1" xfId="4" applyNumberFormat="1" applyFont="1" applyBorder="1" applyAlignment="1">
      <alignment horizontal="center" vertical="center" wrapText="1"/>
    </xf>
    <xf numFmtId="0" fontId="46" fillId="3" borderId="1" xfId="3" applyFont="1" applyFill="1" applyBorder="1" applyAlignment="1">
      <alignment vertical="center"/>
    </xf>
    <xf numFmtId="10" fontId="43" fillId="0" borderId="1" xfId="4" applyNumberFormat="1" applyFont="1" applyBorder="1" applyAlignment="1">
      <alignment horizontal="center"/>
    </xf>
    <xf numFmtId="10" fontId="13" fillId="0" borderId="0" xfId="4" applyNumberFormat="1" applyFont="1" applyFill="1" applyBorder="1" applyAlignment="1">
      <alignment horizontal="center"/>
    </xf>
    <xf numFmtId="0" fontId="7" fillId="0" borderId="1" xfId="0" applyFont="1" applyBorder="1"/>
    <xf numFmtId="0" fontId="0" fillId="12" borderId="0" xfId="0" applyFill="1"/>
    <xf numFmtId="0" fontId="10" fillId="0" borderId="1" xfId="0" applyFont="1" applyBorder="1" applyAlignment="1">
      <alignment horizontal="left"/>
    </xf>
    <xf numFmtId="0" fontId="10" fillId="13" borderId="1" xfId="0" applyFont="1" applyFill="1" applyBorder="1" applyAlignment="1">
      <alignment horizontal="left"/>
    </xf>
    <xf numFmtId="0" fontId="0" fillId="13" borderId="1" xfId="0" applyFill="1" applyBorder="1" applyAlignment="1">
      <alignment horizontal="left"/>
    </xf>
    <xf numFmtId="0" fontId="10" fillId="13" borderId="1" xfId="0" applyFont="1" applyFill="1" applyBorder="1" applyAlignment="1">
      <alignment horizontal="center"/>
    </xf>
    <xf numFmtId="10" fontId="10" fillId="13" borderId="1" xfId="4" applyNumberFormat="1" applyFont="1" applyFill="1" applyBorder="1" applyAlignment="1">
      <alignment horizontal="center"/>
    </xf>
    <xf numFmtId="10" fontId="10" fillId="13" borderId="1" xfId="0" applyNumberFormat="1" applyFont="1" applyFill="1" applyBorder="1" applyAlignment="1">
      <alignment horizontal="center"/>
    </xf>
    <xf numFmtId="2" fontId="39" fillId="0" borderId="1" xfId="0" applyNumberFormat="1" applyFont="1" applyBorder="1" applyAlignment="1">
      <alignment horizontal="center"/>
    </xf>
    <xf numFmtId="0" fontId="4" fillId="0" borderId="1" xfId="0" applyFont="1" applyBorder="1"/>
    <xf numFmtId="0" fontId="21" fillId="0" borderId="3" xfId="0" quotePrefix="1" applyFont="1" applyBorder="1"/>
    <xf numFmtId="0" fontId="38" fillId="0" borderId="17" xfId="0" applyFont="1" applyBorder="1" applyAlignment="1">
      <alignment vertical="center"/>
    </xf>
    <xf numFmtId="10" fontId="0" fillId="0" borderId="18" xfId="4" applyNumberFormat="1" applyFont="1" applyBorder="1"/>
    <xf numFmtId="2" fontId="0" fillId="0" borderId="18" xfId="0" applyNumberFormat="1" applyBorder="1" applyAlignment="1">
      <alignment horizontal="center"/>
    </xf>
    <xf numFmtId="0" fontId="0" fillId="0" borderId="18" xfId="0" applyBorder="1"/>
    <xf numFmtId="10" fontId="55" fillId="0" borderId="18" xfId="4" applyNumberFormat="1" applyFont="1" applyBorder="1" applyAlignment="1">
      <alignment horizontal="center"/>
    </xf>
    <xf numFmtId="2" fontId="0" fillId="0" borderId="19" xfId="0" applyNumberFormat="1" applyBorder="1" applyAlignment="1">
      <alignment horizontal="center"/>
    </xf>
    <xf numFmtId="0" fontId="56" fillId="0" borderId="1" xfId="0" applyFont="1" applyBorder="1" applyAlignment="1">
      <alignment horizontal="left"/>
    </xf>
    <xf numFmtId="17" fontId="56" fillId="0" borderId="1" xfId="0" applyNumberFormat="1" applyFont="1" applyBorder="1"/>
    <xf numFmtId="0" fontId="30" fillId="0" borderId="1" xfId="0" applyFont="1" applyBorder="1" applyAlignment="1">
      <alignment horizontal="left"/>
    </xf>
    <xf numFmtId="17" fontId="30" fillId="0" borderId="1" xfId="0" applyNumberFormat="1" applyFont="1" applyBorder="1"/>
    <xf numFmtId="0" fontId="57" fillId="0" borderId="0" xfId="0" applyFont="1"/>
    <xf numFmtId="0" fontId="10" fillId="0" borderId="16" xfId="0" applyFont="1" applyBorder="1"/>
    <xf numFmtId="0" fontId="46" fillId="3" borderId="1" xfId="3" applyFont="1" applyFill="1" applyBorder="1" applyAlignment="1">
      <alignment horizontal="center" vertical="center"/>
    </xf>
    <xf numFmtId="0" fontId="46" fillId="5" borderId="1" xfId="3" applyFont="1" applyFill="1" applyBorder="1" applyAlignment="1">
      <alignment vertical="center"/>
    </xf>
    <xf numFmtId="0" fontId="46" fillId="3" borderId="1" xfId="3"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47" fillId="0" borderId="0" xfId="0" applyFont="1"/>
    <xf numFmtId="0" fontId="58" fillId="3" borderId="1" xfId="3" applyFont="1" applyFill="1" applyBorder="1" applyAlignment="1">
      <alignment vertical="center"/>
    </xf>
    <xf numFmtId="0" fontId="34" fillId="0" borderId="1" xfId="0" applyFont="1" applyBorder="1"/>
    <xf numFmtId="0" fontId="59" fillId="0" borderId="1" xfId="0" applyFont="1" applyBorder="1" applyAlignment="1">
      <alignment horizontal="center"/>
    </xf>
    <xf numFmtId="0" fontId="22" fillId="0" borderId="1" xfId="0" applyFont="1" applyBorder="1" applyAlignment="1">
      <alignment horizontal="center"/>
    </xf>
    <xf numFmtId="0" fontId="60" fillId="0" borderId="0" xfId="0" applyFont="1" applyAlignment="1">
      <alignment wrapText="1"/>
    </xf>
    <xf numFmtId="44" fontId="60" fillId="0" borderId="0" xfId="5" applyFont="1" applyAlignment="1">
      <alignment wrapText="1"/>
    </xf>
    <xf numFmtId="44" fontId="61" fillId="0" borderId="0" xfId="5" applyFont="1" applyAlignment="1">
      <alignment wrapText="1"/>
    </xf>
    <xf numFmtId="0" fontId="3" fillId="0" borderId="1" xfId="0" applyFont="1" applyBorder="1"/>
    <xf numFmtId="10" fontId="40" fillId="0" borderId="0" xfId="4" applyNumberFormat="1" applyFont="1" applyAlignment="1">
      <alignment horizontal="center"/>
    </xf>
    <xf numFmtId="10" fontId="34" fillId="0" borderId="1" xfId="0" applyNumberFormat="1" applyFont="1" applyBorder="1" applyAlignment="1">
      <alignment horizontal="center"/>
    </xf>
    <xf numFmtId="168" fontId="10" fillId="6" borderId="1" xfId="0" applyNumberFormat="1" applyFont="1" applyFill="1" applyBorder="1" applyAlignment="1">
      <alignment horizontal="center"/>
    </xf>
    <xf numFmtId="0" fontId="62" fillId="0" borderId="0" xfId="0" applyFont="1"/>
    <xf numFmtId="0" fontId="63" fillId="0" borderId="4" xfId="0" applyFont="1" applyBorder="1" applyAlignment="1">
      <alignment horizontal="justify" vertical="center"/>
    </xf>
    <xf numFmtId="10" fontId="63" fillId="12" borderId="21" xfId="4" applyNumberFormat="1" applyFont="1" applyFill="1" applyBorder="1" applyAlignment="1">
      <alignment horizontal="center" vertical="center" wrapText="1"/>
    </xf>
    <xf numFmtId="0" fontId="53" fillId="0" borderId="21" xfId="0" applyFont="1" applyBorder="1" applyAlignment="1">
      <alignment horizontal="center" vertical="center"/>
    </xf>
    <xf numFmtId="0" fontId="63" fillId="12" borderId="21" xfId="0" applyFont="1" applyFill="1" applyBorder="1" applyAlignment="1">
      <alignment horizontal="center" vertical="center"/>
    </xf>
    <xf numFmtId="0" fontId="65" fillId="0" borderId="21" xfId="0" applyFont="1" applyBorder="1" applyAlignment="1">
      <alignment horizontal="justify" vertical="center"/>
    </xf>
    <xf numFmtId="2" fontId="53" fillId="0" borderId="21" xfId="0" applyNumberFormat="1" applyFont="1" applyBorder="1" applyAlignment="1">
      <alignment horizontal="center" vertical="center"/>
    </xf>
    <xf numFmtId="0" fontId="65" fillId="0" borderId="22" xfId="0" applyFont="1" applyBorder="1" applyAlignment="1">
      <alignment horizontal="justify" vertical="center"/>
    </xf>
    <xf numFmtId="10" fontId="65" fillId="12" borderId="23" xfId="4" applyNumberFormat="1" applyFont="1" applyFill="1" applyBorder="1" applyAlignment="1">
      <alignment horizontal="center" vertical="center"/>
    </xf>
    <xf numFmtId="0" fontId="65" fillId="0" borderId="23" xfId="0" applyFont="1" applyBorder="1" applyAlignment="1">
      <alignment horizontal="center" vertical="center"/>
    </xf>
    <xf numFmtId="10" fontId="65" fillId="0" borderId="23" xfId="0" applyNumberFormat="1" applyFont="1" applyBorder="1" applyAlignment="1">
      <alignment horizontal="center" vertical="center"/>
    </xf>
    <xf numFmtId="10" fontId="65" fillId="12" borderId="23" xfId="0" applyNumberFormat="1" applyFont="1" applyFill="1" applyBorder="1" applyAlignment="1">
      <alignment horizontal="center" vertical="center"/>
    </xf>
    <xf numFmtId="2" fontId="65" fillId="0" borderId="23" xfId="0" applyNumberFormat="1" applyFont="1" applyBorder="1" applyAlignment="1">
      <alignment horizontal="center" vertical="center"/>
    </xf>
    <xf numFmtId="2" fontId="65" fillId="12" borderId="23" xfId="0" applyNumberFormat="1" applyFont="1" applyFill="1" applyBorder="1" applyAlignment="1">
      <alignment horizontal="center" vertical="center"/>
    </xf>
    <xf numFmtId="0" fontId="66" fillId="0" borderId="22" xfId="0" applyFont="1" applyBorder="1" applyAlignment="1">
      <alignment horizontal="justify" vertical="center"/>
    </xf>
    <xf numFmtId="10" fontId="65" fillId="12" borderId="23" xfId="4" applyNumberFormat="1" applyFont="1" applyFill="1" applyBorder="1" applyAlignment="1">
      <alignment horizontal="justify" vertical="center"/>
    </xf>
    <xf numFmtId="0" fontId="65" fillId="0" borderId="23" xfId="0" applyFont="1" applyBorder="1" applyAlignment="1">
      <alignment horizontal="justify" vertical="center"/>
    </xf>
    <xf numFmtId="0" fontId="65" fillId="12" borderId="23" xfId="0" applyFont="1" applyFill="1" applyBorder="1" applyAlignment="1">
      <alignment horizontal="justify" vertical="center"/>
    </xf>
    <xf numFmtId="0" fontId="37" fillId="0" borderId="0" xfId="0" applyFont="1"/>
    <xf numFmtId="0" fontId="0" fillId="0" borderId="0" xfId="0" applyAlignment="1">
      <alignment horizontal="center" wrapText="1"/>
    </xf>
    <xf numFmtId="1" fontId="0" fillId="0" borderId="0" xfId="0" applyNumberFormat="1" applyAlignment="1">
      <alignment horizontal="center"/>
    </xf>
    <xf numFmtId="0" fontId="27" fillId="0" borderId="0" xfId="0" applyFont="1"/>
    <xf numFmtId="0" fontId="0" fillId="0" borderId="0" xfId="0" applyAlignment="1">
      <alignment horizontal="right"/>
    </xf>
    <xf numFmtId="0" fontId="67" fillId="3" borderId="24" xfId="6" applyFont="1" applyFill="1" applyBorder="1" applyAlignment="1">
      <alignment vertical="center"/>
    </xf>
    <xf numFmtId="3" fontId="67" fillId="3" borderId="24" xfId="6" applyNumberFormat="1" applyFont="1" applyFill="1" applyBorder="1" applyAlignment="1">
      <alignment horizontal="right" vertical="center"/>
    </xf>
    <xf numFmtId="169" fontId="68" fillId="3" borderId="0" xfId="7" applyNumberFormat="1" applyFont="1" applyFill="1" applyAlignment="1">
      <alignment vertical="center"/>
    </xf>
    <xf numFmtId="0" fontId="68" fillId="3" borderId="0" xfId="8" applyFont="1" applyFill="1" applyAlignment="1">
      <alignment vertical="center"/>
    </xf>
    <xf numFmtId="0" fontId="68" fillId="3" borderId="0" xfId="8" applyFont="1" applyFill="1" applyAlignment="1">
      <alignment horizontal="left" vertical="center"/>
    </xf>
    <xf numFmtId="169" fontId="67" fillId="3" borderId="0" xfId="7" applyNumberFormat="1" applyFont="1" applyFill="1" applyAlignment="1">
      <alignment vertical="center"/>
    </xf>
    <xf numFmtId="0" fontId="23" fillId="8" borderId="0" xfId="0" applyFont="1" applyFill="1" applyAlignment="1">
      <alignment vertical="center" wrapText="1"/>
    </xf>
    <xf numFmtId="169" fontId="21" fillId="0" borderId="3" xfId="0" applyNumberFormat="1" applyFont="1" applyBorder="1"/>
    <xf numFmtId="43" fontId="21" fillId="0" borderId="3" xfId="0" applyNumberFormat="1" applyFont="1" applyBorder="1"/>
    <xf numFmtId="0" fontId="69"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6" xfId="0" applyFill="1" applyBorder="1" applyAlignment="1">
      <alignment horizontal="center"/>
    </xf>
    <xf numFmtId="0" fontId="27" fillId="0" borderId="20" xfId="0" applyFont="1" applyBorder="1" applyAlignment="1">
      <alignment horizontal="center" wrapText="1"/>
    </xf>
    <xf numFmtId="0" fontId="2" fillId="3" borderId="9" xfId="3" applyFont="1" applyFill="1" applyBorder="1" applyAlignment="1">
      <alignment vertical="center"/>
    </xf>
    <xf numFmtId="0" fontId="2" fillId="3" borderId="9" xfId="3" applyFont="1" applyFill="1" applyBorder="1" applyAlignment="1">
      <alignment horizontal="center" vertical="center"/>
    </xf>
    <xf numFmtId="0" fontId="2" fillId="5" borderId="9" xfId="3" applyFont="1" applyFill="1" applyBorder="1" applyAlignment="1">
      <alignment vertical="center"/>
    </xf>
    <xf numFmtId="0" fontId="2" fillId="5" borderId="9" xfId="3" applyFont="1" applyFill="1" applyBorder="1" applyAlignment="1">
      <alignment horizontal="center" vertical="center"/>
    </xf>
    <xf numFmtId="0" fontId="2" fillId="3" borderId="9" xfId="3" applyFont="1" applyFill="1" applyBorder="1" applyAlignment="1">
      <alignment horizontal="left" vertical="center"/>
    </xf>
    <xf numFmtId="0" fontId="71" fillId="0" borderId="0" xfId="0" applyFont="1"/>
    <xf numFmtId="0" fontId="72" fillId="0" borderId="0" xfId="0" applyFont="1"/>
    <xf numFmtId="0" fontId="73"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38" fillId="0" borderId="0" xfId="0" applyFont="1"/>
    <xf numFmtId="2" fontId="2" fillId="0" borderId="1" xfId="4" applyNumberFormat="1" applyFont="1" applyBorder="1" applyAlignment="1">
      <alignment wrapText="1"/>
    </xf>
    <xf numFmtId="10" fontId="2" fillId="0" borderId="0" xfId="4" applyNumberFormat="1" applyFont="1" applyAlignment="1">
      <alignment wrapText="1"/>
    </xf>
    <xf numFmtId="10" fontId="2" fillId="0" borderId="1" xfId="4" applyNumberFormat="1" applyFont="1" applyBorder="1" applyAlignment="1">
      <alignment wrapText="1"/>
    </xf>
    <xf numFmtId="10" fontId="2" fillId="0" borderId="4" xfId="4" applyNumberFormat="1" applyFont="1" applyBorder="1"/>
    <xf numFmtId="10" fontId="0" fillId="0" borderId="0" xfId="4" applyNumberFormat="1" applyFont="1" applyBorder="1" applyAlignment="1">
      <alignment horizontal="center"/>
    </xf>
    <xf numFmtId="10" fontId="0" fillId="12" borderId="1" xfId="0" applyNumberFormat="1" applyFill="1" applyBorder="1" applyAlignment="1">
      <alignment horizontal="center"/>
    </xf>
    <xf numFmtId="0" fontId="1" fillId="14" borderId="1" xfId="0" applyFont="1" applyFill="1" applyBorder="1"/>
    <xf numFmtId="0" fontId="1" fillId="0" borderId="1" xfId="0" applyFont="1" applyBorder="1"/>
    <xf numFmtId="0" fontId="74" fillId="0" borderId="3" xfId="0" applyFont="1" applyBorder="1"/>
    <xf numFmtId="0" fontId="70" fillId="0" borderId="0" xfId="2" applyFont="1" applyAlignment="1" applyProtection="1">
      <alignment horizontal="left" wrapText="1"/>
    </xf>
    <xf numFmtId="0" fontId="44" fillId="0" borderId="0" xfId="2" applyFont="1" applyAlignment="1" applyProtection="1">
      <alignment horizontal="left" wrapText="1"/>
    </xf>
    <xf numFmtId="0" fontId="9" fillId="0" borderId="0" xfId="0" applyFont="1" applyAlignment="1">
      <alignment horizontal="center"/>
    </xf>
    <xf numFmtId="0" fontId="0" fillId="12" borderId="25" xfId="0" applyFill="1" applyBorder="1" applyAlignment="1">
      <alignment horizontal="left" vertical="top" wrapText="1"/>
    </xf>
    <xf numFmtId="0" fontId="0" fillId="12" borderId="26" xfId="0" applyFill="1" applyBorder="1" applyAlignment="1">
      <alignment horizontal="left" vertical="top" wrapText="1"/>
    </xf>
    <xf numFmtId="0" fontId="0" fillId="12" borderId="27" xfId="0" applyFill="1" applyBorder="1" applyAlignment="1">
      <alignment horizontal="left" vertical="top" wrapText="1"/>
    </xf>
    <xf numFmtId="0" fontId="0" fillId="12" borderId="28" xfId="0" applyFill="1" applyBorder="1" applyAlignment="1">
      <alignment horizontal="left" vertical="top" wrapText="1"/>
    </xf>
    <xf numFmtId="0" fontId="0" fillId="12" borderId="0" xfId="0" applyFill="1" applyAlignment="1">
      <alignment horizontal="left" vertical="top" wrapText="1"/>
    </xf>
    <xf numFmtId="0" fontId="0" fillId="12" borderId="29" xfId="0" applyFill="1" applyBorder="1" applyAlignment="1">
      <alignment horizontal="left" vertical="top" wrapText="1"/>
    </xf>
    <xf numFmtId="0" fontId="0" fillId="12" borderId="30" xfId="0" applyFill="1" applyBorder="1" applyAlignment="1">
      <alignment horizontal="left" vertical="top" wrapText="1"/>
    </xf>
    <xf numFmtId="0" fontId="0" fillId="12" borderId="31" xfId="0" applyFill="1" applyBorder="1" applyAlignment="1">
      <alignment horizontal="left" vertical="top" wrapText="1"/>
    </xf>
    <xf numFmtId="0" fontId="0" fillId="12" borderId="23" xfId="0" applyFill="1" applyBorder="1" applyAlignment="1">
      <alignment horizontal="left" vertical="top" wrapText="1"/>
    </xf>
    <xf numFmtId="0" fontId="6" fillId="0" borderId="0" xfId="0" applyFont="1" applyAlignment="1">
      <alignment horizontal="center"/>
    </xf>
    <xf numFmtId="0" fontId="16" fillId="13" borderId="0" xfId="3" applyFont="1" applyFill="1" applyAlignment="1">
      <alignment horizontal="center"/>
    </xf>
    <xf numFmtId="164" fontId="17" fillId="13" borderId="0" xfId="3" applyNumberFormat="1" applyFont="1" applyFill="1" applyAlignment="1">
      <alignment horizontal="left" wrapText="1"/>
    </xf>
    <xf numFmtId="0" fontId="7" fillId="0" borderId="1" xfId="0" applyFont="1" applyBorder="1" applyAlignment="1">
      <alignment horizontal="center"/>
    </xf>
  </cellXfs>
  <cellStyles count="9">
    <cellStyle name="blp_column_header" xfId="1" xr:uid="{00000000-0005-0000-0000-000000000000}"/>
    <cellStyle name="Comma 2 2" xfId="7" xr:uid="{659B33F9-320D-E646-A787-DAFAB548198F}"/>
    <cellStyle name="Currency" xfId="5" builtinId="4"/>
    <cellStyle name="Hyperlink" xfId="2" builtinId="8"/>
    <cellStyle name="Normal" xfId="0" builtinId="0"/>
    <cellStyle name="Normal 2" xfId="6" xr:uid="{9656F158-40B7-C74E-A689-CDFF5DD7E27E}"/>
    <cellStyle name="Normal 2 2" xfId="8" xr:uid="{E41B7A06-A848-8F43-A291-EDBABC3F2265}"/>
    <cellStyle name="Normal_Sovereign Ratings Summary 11-7-06" xfId="3" xr:uid="{00000000-0005-0000-0000-000003000000}"/>
    <cellStyle name="Percent" xfId="4" builtinId="5"/>
  </cellStyles>
  <dxfs count="22">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5"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67.3993275463" createdVersion="6" refreshedVersion="8" minRefreshableVersion="3" recordCount="154" xr:uid="{D6C018A6-382A-9D45-8D8E-6434E302DC8D}">
  <cacheSource type="worksheet">
    <worksheetSource ref="A1:I155" sheet="Regional breakdown"/>
  </cacheSource>
  <cacheFields count="9">
    <cacheField name="Country" numFmtId="0">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Zambia" u="1"/>
        <s v="Vietnam" u="1"/>
        <s v="Venezuela" u="1"/>
      </sharedItems>
    </cacheField>
    <cacheField name="GDP (in millions) in 2021" numFmtId="2">
      <sharedItems containsSemiMixedTypes="0" containsString="0" containsNumber="1" minValue="0.38400000000000001" maxValue="22996100"/>
    </cacheField>
    <cacheField name="Moody's rating" numFmtId="0">
      <sharedItems/>
    </cacheField>
    <cacheField name="Sovereign CDS" numFmtId="10">
      <sharedItems containsMixedTypes="1" containsNumber="1" minValue="1.6999999999999999E-3" maxValue="0.2833"/>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5.9400000000000001E-2" maxValue="0.30625930485826308"/>
    </cacheField>
    <cacheField name="Country Risk Premium" numFmtId="10">
      <sharedItems containsSemiMixedTypes="0" containsString="0" containsNumber="1" minValue="0" maxValue="0.2468593048582631"/>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n v="446000"/>
    <s v="Aa2"/>
    <n v="7.7999999999999996E-3"/>
    <n v="6.0399082568807346E-3"/>
    <n v="6.792004316400721E-2"/>
    <n v="8.5200431640072103E-3"/>
    <n v="0.15"/>
    <x v="0"/>
  </r>
  <r>
    <x v="1"/>
    <n v="18260.043499806801"/>
    <s v="B1"/>
    <s v="NA"/>
    <n v="5.5078211009174309E-2"/>
    <n v="0.13709467932892289"/>
    <n v="7.7694679328922892E-2"/>
    <n v="0.15"/>
    <x v="1"/>
  </r>
  <r>
    <x v="2"/>
    <n v="3.33"/>
    <s v="Baa2"/>
    <s v="NA"/>
    <n v="2.3296788990825688E-2"/>
    <n v="9.2263023632599236E-2"/>
    <n v="3.2863023632599235E-2"/>
    <n v="0.1898"/>
    <x v="2"/>
  </r>
  <r>
    <x v="3"/>
    <n v="72546.98570857069"/>
    <s v="B3"/>
    <n v="6.5500000000000003E-2"/>
    <n v="7.9525458715596339E-2"/>
    <n v="0.17158056832609495"/>
    <n v="0.11218056832609494"/>
    <n v="0.25"/>
    <x v="3"/>
  </r>
  <r>
    <x v="4"/>
    <n v="491492.700657012"/>
    <s v="Ca"/>
    <s v="NA"/>
    <n v="0.14682729357798166"/>
    <n v="0.26651819215360384"/>
    <n v="0.20711819215360386"/>
    <n v="0.35"/>
    <x v="4"/>
  </r>
  <r>
    <x v="5"/>
    <n v="13861.1838735931"/>
    <s v="Ba3"/>
    <s v="NA"/>
    <n v="4.4005045871559637E-2"/>
    <n v="0.12147460019490969"/>
    <n v="6.2074600194909679E-2"/>
    <n v="0.18"/>
    <x v="1"/>
  </r>
  <r>
    <x v="6"/>
    <n v="2496.6480446927399"/>
    <s v="Baa2"/>
    <s v="NA"/>
    <n v="2.3296788990825688E-2"/>
    <n v="9.2263023632599236E-2"/>
    <n v="3.2863023632599235E-2"/>
    <n v="0.25"/>
    <x v="5"/>
  </r>
  <r>
    <x v="7"/>
    <n v="1542659.89999254"/>
    <s v="Aaa"/>
    <n v="3.3999999999999998E-3"/>
    <n v="0"/>
    <n v="5.9400000000000001E-2"/>
    <n v="0"/>
    <n v="0.3"/>
    <x v="6"/>
  </r>
  <r>
    <x v="8"/>
    <n v="477082.46745429497"/>
    <s v="Aa1"/>
    <n v="2.3999999999999998E-3"/>
    <n v="4.8894495412844033E-3"/>
    <n v="6.6297177799434406E-2"/>
    <n v="6.8971777994344076E-3"/>
    <n v="0.24"/>
    <x v="2"/>
  </r>
  <r>
    <x v="9"/>
    <n v="54622.176470588201"/>
    <s v="Ba1"/>
    <s v="NA"/>
    <n v="3.0630963302752296E-2"/>
    <n v="0.10260879033175085"/>
    <n v="4.3208790331750853E-2"/>
    <n v="0.2"/>
    <x v="1"/>
  </r>
  <r>
    <x v="10"/>
    <n v="11.209"/>
    <s v="B1"/>
    <s v="NA"/>
    <n v="5.5078211009174309E-2"/>
    <n v="0.13709467932892289"/>
    <n v="7.7694679328922892E-2"/>
    <n v="0"/>
    <x v="5"/>
  </r>
  <r>
    <x v="11"/>
    <n v="38868.663031914904"/>
    <s v="B2"/>
    <n v="2.7799999999999998E-2"/>
    <n v="6.7301834862385335E-2"/>
    <n v="0.15433762382750893"/>
    <n v="9.4937623827508935E-2"/>
    <n v="0"/>
    <x v="0"/>
  </r>
  <r>
    <x v="12"/>
    <n v="416264.94289332599"/>
    <s v="Ba3"/>
    <s v="NA"/>
    <n v="4.4005045871559637E-2"/>
    <n v="0.12147460019490969"/>
    <n v="6.2074600194909679E-2"/>
    <n v="0.32500000000000001"/>
    <x v="7"/>
  </r>
  <r>
    <x v="13"/>
    <n v="4900.8"/>
    <s v="Caa1"/>
    <s v="NA"/>
    <n v="9.1749082568807344E-2"/>
    <n v="0.18882351282468096"/>
    <n v="0.12942351282468095"/>
    <n v="5.5E-2"/>
    <x v="5"/>
  </r>
  <r>
    <x v="14"/>
    <n v="68218.816484122595"/>
    <s v="Ca"/>
    <s v="NA"/>
    <n v="0.14682729357798166"/>
    <n v="0.26651819215360384"/>
    <n v="0.20711819215360386"/>
    <n v="0.18"/>
    <x v="1"/>
  </r>
  <r>
    <x v="15"/>
    <n v="599879.02537751"/>
    <s v="Aa3"/>
    <n v="3.7000000000000002E-3"/>
    <n v="7.3341743119266058E-3"/>
    <n v="6.9745766699151612E-2"/>
    <n v="1.0345766699151613E-2"/>
    <n v="0.25"/>
    <x v="2"/>
  </r>
  <r>
    <x v="16"/>
    <n v="1789.9232640299999"/>
    <s v="Caa2"/>
    <s v="NA"/>
    <n v="0.11015642201834862"/>
    <n v="0.21478935865784579"/>
    <n v="0.15538935865784578"/>
    <n v="0.27179999999999999"/>
    <x v="4"/>
  </r>
  <r>
    <x v="17"/>
    <n v="17785.640079119097"/>
    <s v="B1"/>
    <s v="NA"/>
    <n v="5.5078211009174309E-2"/>
    <n v="0.13709467932892289"/>
    <n v="7.7694679328922892E-2"/>
    <n v="0.3"/>
    <x v="3"/>
  </r>
  <r>
    <x v="18"/>
    <n v="7080.9"/>
    <s v="A2"/>
    <s v="NA"/>
    <n v="1.0354128440366973E-2"/>
    <n v="7.4005788281155213E-2"/>
    <n v="1.4605788281155217E-2"/>
    <n v="0"/>
    <x v="5"/>
  </r>
  <r>
    <x v="19"/>
    <n v="40408.208523878406"/>
    <s v="B2"/>
    <s v="NA"/>
    <n v="6.7301834862385335E-2"/>
    <n v="0.15433762382750893"/>
    <n v="9.4937623827508935E-2"/>
    <n v="0.25"/>
    <x v="4"/>
  </r>
  <r>
    <x v="20"/>
    <n v="22571.512867281603"/>
    <s v="B3"/>
    <s v="NA"/>
    <n v="7.9525458715596339E-2"/>
    <n v="0.17158056832609495"/>
    <n v="0.11218056832609494"/>
    <n v="0.1"/>
    <x v="1"/>
  </r>
  <r>
    <x v="21"/>
    <n v="17613.846472991601"/>
    <s v="A3"/>
    <s v="NA"/>
    <n v="1.4668348623853212E-2"/>
    <n v="8.009153339830323E-2"/>
    <n v="2.0691533398303225E-2"/>
    <n v="0.22"/>
    <x v="3"/>
  </r>
  <r>
    <x v="22"/>
    <n v="1608981.2208121999"/>
    <s v="Ba2"/>
    <n v="3.5200000000000002E-2"/>
    <n v="3.6814678899082569E-2"/>
    <n v="0.11133169166632967"/>
    <n v="5.193169166632966E-2"/>
    <n v="0.34"/>
    <x v="4"/>
  </r>
  <r>
    <x v="23"/>
    <n v="80271.119426107602"/>
    <s v="Baa1"/>
    <n v="1.4999999999999999E-2"/>
    <n v="1.9557798165137613E-2"/>
    <n v="8.6988711197737628E-2"/>
    <n v="2.758871119773763E-2"/>
    <n v="0.1"/>
    <x v="1"/>
  </r>
  <r>
    <x v="24"/>
    <n v="19737.615114366101"/>
    <s v="Caa1"/>
    <s v="NA"/>
    <n v="9.1749082568807344E-2"/>
    <n v="0.18882351282468096"/>
    <n v="0.12942351282468095"/>
    <n v="0.28000000000000003"/>
    <x v="3"/>
  </r>
  <r>
    <x v="25"/>
    <n v="26961.061119795701"/>
    <s v="B2"/>
    <s v="NA"/>
    <n v="6.7301834862385335E-2"/>
    <n v="0.15433762382750893"/>
    <n v="9.4937623827508935E-2"/>
    <n v="0.2"/>
    <x v="7"/>
  </r>
  <r>
    <x v="26"/>
    <n v="45238.613479830805"/>
    <s v="B2"/>
    <n v="6.6799999999999998E-2"/>
    <n v="6.7301834862385335E-2"/>
    <n v="0.15433762382750893"/>
    <n v="9.4937623827508935E-2"/>
    <n v="0.33"/>
    <x v="3"/>
  </r>
  <r>
    <x v="27"/>
    <n v="1990761.6096652299"/>
    <s v="Aaa"/>
    <n v="3.5999999999999999E-3"/>
    <n v="0"/>
    <n v="5.9400000000000001E-2"/>
    <n v="0"/>
    <n v="0.25"/>
    <x v="8"/>
  </r>
  <r>
    <x v="28"/>
    <n v="1.7"/>
    <s v="B3"/>
    <s v="NA"/>
    <n v="7.9525458715596339E-2"/>
    <n v="0.17158056832609495"/>
    <n v="0.11218056832609494"/>
    <n v="0"/>
    <x v="3"/>
  </r>
  <r>
    <x v="29"/>
    <n v="5608.9891955291996"/>
    <s v="Aa3"/>
    <s v="NA"/>
    <n v="7.3341743119266058E-3"/>
    <n v="6.9745766699151612E-2"/>
    <n v="1.0345766699151613E-2"/>
    <n v="0"/>
    <x v="5"/>
  </r>
  <r>
    <x v="30"/>
    <n v="317058.50865176"/>
    <s v="A2"/>
    <n v="1.7600000000000001E-2"/>
    <n v="1.0354128440366973E-2"/>
    <n v="7.4005788281155213E-2"/>
    <n v="1.4605788281155217E-2"/>
    <n v="0.27"/>
    <x v="4"/>
  </r>
  <r>
    <x v="31"/>
    <n v="17734062.6453714"/>
    <s v="A1"/>
    <n v="1.11E-2"/>
    <n v="8.6284403669724778E-3"/>
    <n v="7.1571490234296015E-2"/>
    <n v="1.2171490234296015E-2"/>
    <n v="0.25"/>
    <x v="7"/>
  </r>
  <r>
    <x v="32"/>
    <n v="314322.45322829497"/>
    <s v="Baa2"/>
    <n v="3.6499999999999998E-2"/>
    <n v="2.3296788990825688E-2"/>
    <n v="9.2263023632599236E-2"/>
    <n v="3.2863023632599235E-2"/>
    <n v="0.35"/>
    <x v="4"/>
  </r>
  <r>
    <x v="33"/>
    <n v="53958.573693051301"/>
    <s v="B3"/>
    <s v="NA"/>
    <n v="7.9525458715596339E-2"/>
    <n v="0.17158056832609495"/>
    <n v="0.11218056832609494"/>
    <n v="0.3"/>
    <x v="3"/>
  </r>
  <r>
    <x v="34"/>
    <n v="12523.9616772966"/>
    <s v="Caa2"/>
    <s v="NA"/>
    <n v="0.11015642201834862"/>
    <n v="0.21478935865784579"/>
    <n v="0.15538935865784578"/>
    <n v="0.28000000000000003"/>
    <x v="3"/>
  </r>
  <r>
    <x v="35"/>
    <n v="0.38400000000000001"/>
    <s v="B1"/>
    <s v="NA"/>
    <n v="5.5078211009174309E-2"/>
    <n v="0.13709467932892289"/>
    <n v="7.7694679328922892E-2"/>
    <n v="0.2843"/>
    <x v="6"/>
  </r>
  <r>
    <x v="36"/>
    <n v="64282.438666738999"/>
    <s v="B2"/>
    <n v="4.3499999999999997E-2"/>
    <n v="6.7301834862385335E-2"/>
    <n v="0.15433762382750893"/>
    <n v="9.4937623827508935E-2"/>
    <n v="0.3"/>
    <x v="4"/>
  </r>
  <r>
    <x v="37"/>
    <n v="69764.827467442301"/>
    <s v="Ba3"/>
    <s v="NA"/>
    <n v="4.4005045871559637E-2"/>
    <n v="0.12147460019490969"/>
    <n v="6.2074600194909679E-2"/>
    <n v="0.25"/>
    <x v="3"/>
  </r>
  <r>
    <x v="38"/>
    <n v="67837.788543585193"/>
    <s v="Baa2"/>
    <n v="1.34E-2"/>
    <n v="2.3296788990825688E-2"/>
    <n v="9.2263023632599236E-2"/>
    <n v="3.2863023632599235E-2"/>
    <n v="0.18"/>
    <x v="1"/>
  </r>
  <r>
    <x v="39"/>
    <n v="107352"/>
    <s v="Ca"/>
    <s v="NA"/>
    <n v="0.14682729357798166"/>
    <n v="0.26651819215360384"/>
    <n v="0.20711819215360386"/>
    <n v="0.27179999999999999"/>
    <x v="5"/>
  </r>
  <r>
    <x v="40"/>
    <n v="3.1"/>
    <s v="Baa2"/>
    <s v="NA"/>
    <n v="2.3296788990825688E-2"/>
    <n v="9.2263023632599236E-2"/>
    <n v="3.2863023632599235E-2"/>
    <n v="0.22"/>
    <x v="5"/>
  </r>
  <r>
    <x v="41"/>
    <n v="27719.3376700177"/>
    <s v="Ba1"/>
    <n v="1.3299999999999999E-2"/>
    <n v="3.0630963302752296E-2"/>
    <n v="0.10260879033175085"/>
    <n v="4.3208790331750853E-2"/>
    <n v="0.125"/>
    <x v="2"/>
  </r>
  <r>
    <x v="42"/>
    <n v="282340.84985661402"/>
    <s v="Aa3"/>
    <n v="6.1999999999999998E-3"/>
    <n v="7.3341743119266058E-3"/>
    <n v="6.9745766699151612E-2"/>
    <n v="1.0345766699151613E-2"/>
    <n v="0.19"/>
    <x v="1"/>
  </r>
  <r>
    <x v="43"/>
    <n v="397104.34347830102"/>
    <s v="Aaa"/>
    <n v="2.3E-3"/>
    <n v="0"/>
    <n v="5.9400000000000001E-2"/>
    <n v="0"/>
    <n v="0.22"/>
    <x v="2"/>
  </r>
  <r>
    <x v="44"/>
    <n v="94243.453937446204"/>
    <s v="Ba3"/>
    <s v="NA"/>
    <n v="4.4005045871559637E-2"/>
    <n v="0.12147460019490969"/>
    <n v="6.2074600194909679E-2"/>
    <n v="0.27"/>
    <x v="5"/>
  </r>
  <r>
    <x v="45"/>
    <n v="106165.86599999999"/>
    <s v="Caa3"/>
    <n v="0.16930000000000001"/>
    <n v="0.12238004587155965"/>
    <n v="0.23203230315643184"/>
    <n v="0.17263230315643183"/>
    <n v="0.25"/>
    <x v="4"/>
  </r>
  <r>
    <x v="46"/>
    <n v="404142.76609305298"/>
    <s v="B2"/>
    <n v="8.0100000000000005E-2"/>
    <n v="6.7301834862385335E-2"/>
    <n v="0.15433762382750893"/>
    <n v="9.4937623827508935E-2"/>
    <n v="0.22500000000000001"/>
    <x v="3"/>
  </r>
  <r>
    <x v="47"/>
    <n v="28736.94"/>
    <s v="Caa3"/>
    <n v="0.27460000000000001"/>
    <n v="0.12238004587155965"/>
    <n v="0.23203230315643184"/>
    <n v="0.17263230315643183"/>
    <n v="0.3"/>
    <x v="4"/>
  </r>
  <r>
    <x v="48"/>
    <n v="36262.924353604103"/>
    <s v="A1"/>
    <n v="1.7600000000000001E-2"/>
    <n v="8.6284403669724778E-3"/>
    <n v="7.1571490234296015E-2"/>
    <n v="1.2171490234296015E-2"/>
    <n v="0.2"/>
    <x v="1"/>
  </r>
  <r>
    <x v="49"/>
    <n v="111271.112329975"/>
    <s v="Caa2"/>
    <n v="0.2833"/>
    <n v="0.11015642201834862"/>
    <n v="0.21478935865784579"/>
    <n v="0.15538935865784578"/>
    <n v="0.3"/>
    <x v="3"/>
  </r>
  <r>
    <x v="50"/>
    <n v="4592.1187095527894"/>
    <s v="B1"/>
    <s v="NA"/>
    <n v="5.5078211009174309E-2"/>
    <n v="0.13709467932892289"/>
    <n v="7.7694679328922892E-2"/>
    <n v="0.2"/>
    <x v="7"/>
  </r>
  <r>
    <x v="51"/>
    <n v="299155.23758914205"/>
    <s v="Aa1"/>
    <n v="3.3999999999999998E-3"/>
    <n v="4.8894495412844033E-3"/>
    <n v="6.6297177799434406E-2"/>
    <n v="6.8971777994344076E-3"/>
    <n v="0.2"/>
    <x v="2"/>
  </r>
  <r>
    <x v="52"/>
    <n v="2937472.7579534398"/>
    <s v="Aa2"/>
    <n v="4.1999999999999997E-3"/>
    <n v="6.0399082568807346E-3"/>
    <n v="6.792004316400721E-2"/>
    <n v="8.5200431640072103E-3"/>
    <n v="0.25"/>
    <x v="2"/>
  </r>
  <r>
    <x v="53"/>
    <n v="18269.350433799198"/>
    <s v="Caa1"/>
    <s v="NA"/>
    <n v="9.1749082568807344E-2"/>
    <n v="0.18882351282468096"/>
    <n v="0.12942351282468095"/>
    <n v="0.3"/>
    <x v="3"/>
  </r>
  <r>
    <x v="54"/>
    <n v="18700.241392157503"/>
    <s v="Ba2"/>
    <s v="NA"/>
    <n v="3.6814678899082569E-2"/>
    <n v="0.11133169166632967"/>
    <n v="5.193169166632966E-2"/>
    <n v="0.15"/>
    <x v="1"/>
  </r>
  <r>
    <x v="55"/>
    <n v="4223116.2059689201"/>
    <s v="Aaa"/>
    <n v="2.8E-3"/>
    <n v="0"/>
    <n v="5.9400000000000001E-2"/>
    <n v="0"/>
    <n v="0.3"/>
    <x v="2"/>
  </r>
  <r>
    <x v="56"/>
    <n v="77594.279054879502"/>
    <s v="Ca"/>
    <s v="NA"/>
    <n v="0.14682729357798166"/>
    <n v="0.26651819215360384"/>
    <n v="0.20711819215360386"/>
    <n v="0.25"/>
    <x v="3"/>
  </r>
  <r>
    <x v="57"/>
    <n v="216240.589485256"/>
    <s v="Ba3"/>
    <n v="1.9699999999999999E-2"/>
    <n v="4.4005045871559637E-2"/>
    <n v="0.12147460019490969"/>
    <n v="6.2074600194909679E-2"/>
    <n v="0.22"/>
    <x v="2"/>
  </r>
  <r>
    <x v="58"/>
    <n v="85986.321551238798"/>
    <s v="Ba1"/>
    <s v="NA"/>
    <n v="3.0630963302752296E-2"/>
    <n v="0.10260879033175085"/>
    <n v="4.3208790331750853E-2"/>
    <n v="0.25"/>
    <x v="4"/>
  </r>
  <r>
    <x v="59"/>
    <n v="3180"/>
    <s v="Aaa"/>
    <s v="NA"/>
    <n v="0"/>
    <n v="5.9400000000000001E-2"/>
    <n v="0"/>
    <n v="0"/>
    <x v="2"/>
  </r>
  <r>
    <x v="60"/>
    <n v="28488.6683016401"/>
    <s v="B1"/>
    <s v="NA"/>
    <n v="5.5078211009174309E-2"/>
    <n v="0.13709467932892289"/>
    <n v="7.7694679328922892E-2"/>
    <n v="0.25"/>
    <x v="4"/>
  </r>
  <r>
    <x v="61"/>
    <n v="346600"/>
    <s v="Aa3"/>
    <n v="7.1000000000000004E-3"/>
    <n v="7.3341743119266058E-3"/>
    <n v="6.9745766699151612E-2"/>
    <n v="1.0345766699151613E-2"/>
    <n v="0.16500000000000001"/>
    <x v="7"/>
  </r>
  <r>
    <x v="62"/>
    <n v="182280.51758121201"/>
    <s v="Baa2"/>
    <n v="2.4299999999999999E-2"/>
    <n v="2.3296788990825688E-2"/>
    <n v="9.2263023632599236E-2"/>
    <n v="3.2863023632599235E-2"/>
    <n v="0.09"/>
    <x v="1"/>
  </r>
  <r>
    <x v="63"/>
    <n v="25458.9339158742"/>
    <s v="A2"/>
    <n v="7.3000000000000001E-3"/>
    <n v="1.0354128440366973E-2"/>
    <n v="7.4005788281155213E-2"/>
    <n v="1.4605788281155217E-2"/>
    <n v="0.2"/>
    <x v="2"/>
  </r>
  <r>
    <x v="64"/>
    <n v="3173397.5908169104"/>
    <s v="Baa3"/>
    <n v="1.67E-2"/>
    <n v="2.6891972477064225E-2"/>
    <n v="9.733447789688926E-2"/>
    <n v="3.7934477896889252E-2"/>
    <n v="0.3"/>
    <x v="7"/>
  </r>
  <r>
    <x v="65"/>
    <n v="1186092.9913200401"/>
    <s v="Baa2"/>
    <n v="1.7500000000000002E-2"/>
    <n v="2.3296788990825688E-2"/>
    <n v="9.2263023632599236E-2"/>
    <n v="3.2863023632599235E-2"/>
    <n v="0.15"/>
    <x v="7"/>
  </r>
  <r>
    <x v="66"/>
    <n v="207889.33372413801"/>
    <s v="Caa1"/>
    <n v="4.6899999999999997E-2"/>
    <n v="9.1749082568807344E-2"/>
    <n v="0.18882351282468096"/>
    <n v="0.12942351282468095"/>
    <n v="0.15"/>
    <x v="0"/>
  </r>
  <r>
    <x v="67"/>
    <n v="498559.57671472098"/>
    <s v="A1"/>
    <n v="4.3E-3"/>
    <n v="8.6284403669724778E-3"/>
    <n v="7.1571490234296015E-2"/>
    <n v="1.2171490234296015E-2"/>
    <n v="0.125"/>
    <x v="2"/>
  </r>
  <r>
    <x v="68"/>
    <n v="7315.3880520806706"/>
    <s v="Aa3"/>
    <s v="NA"/>
    <n v="7.3341743119266058E-3"/>
    <n v="6.9745766699151612E-2"/>
    <n v="1.0345766699151613E-2"/>
    <n v="0"/>
    <x v="2"/>
  </r>
  <r>
    <x v="69"/>
    <n v="481591.26613340899"/>
    <s v="A1"/>
    <n v="6.7000000000000002E-3"/>
    <n v="8.6284403669724778E-3"/>
    <n v="7.1571490234296015E-2"/>
    <n v="1.2171490234296015E-2"/>
    <n v="0.23"/>
    <x v="0"/>
  </r>
  <r>
    <x v="70"/>
    <n v="2099880.1982588801"/>
    <s v="Baa3"/>
    <n v="1.84E-2"/>
    <n v="2.6891972477064225E-2"/>
    <n v="9.733447789688926E-2"/>
    <n v="3.7934477896889252E-2"/>
    <n v="0.24"/>
    <x v="2"/>
  </r>
  <r>
    <x v="71"/>
    <n v="13638.230995679001"/>
    <s v="B2"/>
    <s v="NA"/>
    <n v="6.7301834862385335E-2"/>
    <n v="0.15433762382750893"/>
    <n v="9.4937623827508935E-2"/>
    <n v="0.25"/>
    <x v="5"/>
  </r>
  <r>
    <x v="72"/>
    <n v="4937421.8804615494"/>
    <s v="A1"/>
    <n v="3.0999999999999999E-3"/>
    <n v="8.6284403669724778E-3"/>
    <n v="7.1571490234296015E-2"/>
    <n v="1.2171490234296015E-2"/>
    <n v="0.23200000000000001"/>
    <x v="7"/>
  </r>
  <r>
    <x v="73"/>
    <n v="4890"/>
    <s v="Aaa"/>
    <s v="NA"/>
    <n v="0"/>
    <n v="5.9400000000000001E-2"/>
    <n v="0"/>
    <n v="0"/>
    <x v="2"/>
  </r>
  <r>
    <x v="74"/>
    <n v="45243.661971831003"/>
    <s v="B1"/>
    <s v="NA"/>
    <n v="5.5078211009174309E-2"/>
    <n v="0.13709467932892289"/>
    <n v="7.7694679328922892E-2"/>
    <n v="0.2"/>
    <x v="0"/>
  </r>
  <r>
    <x v="75"/>
    <n v="190814.27422621101"/>
    <s v="Baa2"/>
    <n v="2.7E-2"/>
    <n v="2.3296788990825688E-2"/>
    <n v="9.2263023632599236E-2"/>
    <n v="3.2863023632599235E-2"/>
    <n v="0.2"/>
    <x v="1"/>
  </r>
  <r>
    <x v="76"/>
    <n v="110347.079517356"/>
    <s v="B2"/>
    <n v="7.5999999999999998E-2"/>
    <n v="6.7301834862385335E-2"/>
    <n v="0.15433762382750893"/>
    <n v="9.4937623827508935E-2"/>
    <n v="0.3"/>
    <x v="3"/>
  </r>
  <r>
    <x v="77"/>
    <n v="1630.53"/>
    <s v="Aa2"/>
    <n v="6.7999999999999996E-3"/>
    <n v="6.0399082568807346E-3"/>
    <n v="6.792004316400721E-2"/>
    <n v="8.5200431640072103E-3"/>
    <n v="0.25"/>
    <x v="7"/>
  </r>
  <r>
    <x v="78"/>
    <n v="105960.225688145"/>
    <s v="A1"/>
    <n v="7.9000000000000008E-3"/>
    <n v="8.6284403669724778E-3"/>
    <n v="7.1571490234296015E-2"/>
    <n v="1.2171490234296015E-2"/>
    <n v="0.15"/>
    <x v="0"/>
  </r>
  <r>
    <x v="79"/>
    <n v="8543.4235026133993"/>
    <s v="B3"/>
    <s v="NA"/>
    <n v="7.9525458715596339E-2"/>
    <n v="0.17158056832609495"/>
    <n v="0.11218056832609494"/>
    <n v="0.1"/>
    <x v="1"/>
  </r>
  <r>
    <x v="80"/>
    <n v="18827.1485300151"/>
    <s v="Caa3"/>
    <s v="NA"/>
    <n v="0.12238004587155965"/>
    <n v="0.23203230315643184"/>
    <n v="0.17263230315643183"/>
    <n v="0.2281"/>
    <x v="7"/>
  </r>
  <r>
    <x v="81"/>
    <n v="38872.546228565297"/>
    <s v="A3"/>
    <n v="1.37E-2"/>
    <n v="1.4668348623853212E-2"/>
    <n v="8.009153339830323E-2"/>
    <n v="2.0691533398303225E-2"/>
    <n v="0.2"/>
    <x v="1"/>
  </r>
  <r>
    <x v="82"/>
    <n v="18076.6248401841"/>
    <s v="C"/>
    <s v="NA"/>
    <n v="0.17499999999999999"/>
    <n v="0.30625930485826308"/>
    <n v="0.2468593048582631"/>
    <n v="0.17"/>
    <x v="0"/>
  </r>
  <r>
    <x v="83"/>
    <n v="6427.24894344939"/>
    <s v="Aaa"/>
    <s v="NA"/>
    <n v="0"/>
    <n v="5.9400000000000001E-2"/>
    <n v="0"/>
    <n v="0.125"/>
    <x v="2"/>
  </r>
  <r>
    <x v="84"/>
    <n v="65503.849704599699"/>
    <s v="A2"/>
    <n v="1.4500000000000001E-2"/>
    <n v="1.0354128440366973E-2"/>
    <n v="7.4005788281155213E-2"/>
    <n v="1.4605788281155217E-2"/>
    <n v="0.15"/>
    <x v="1"/>
  </r>
  <r>
    <x v="85"/>
    <n v="86710.803337099394"/>
    <s v="Aaa"/>
    <s v="NA"/>
    <n v="0"/>
    <n v="5.9400000000000001E-2"/>
    <n v="0"/>
    <n v="0.24940000000000001"/>
    <x v="2"/>
  </r>
  <r>
    <x v="86"/>
    <n v="29905.190181750098"/>
    <s v="Aa3"/>
    <s v="NA"/>
    <n v="7.3341743119266058E-3"/>
    <n v="6.9745766699151612E-2"/>
    <n v="1.0345766699151613E-2"/>
    <n v="0.2281"/>
    <x v="7"/>
  </r>
  <r>
    <x v="87"/>
    <n v="13879.2691515718"/>
    <s v="Ba3"/>
    <s v="NA"/>
    <n v="4.4005045871559637E-2"/>
    <n v="0.12147460019490969"/>
    <n v="6.2074600194909679E-2"/>
    <n v="0.1"/>
    <x v="1"/>
  </r>
  <r>
    <x v="88"/>
    <n v="372701.35882026399"/>
    <s v="A3"/>
    <n v="1.24E-2"/>
    <n v="1.4668348623853212E-2"/>
    <n v="8.009153339830323E-2"/>
    <n v="2.0691533398303225E-2"/>
    <n v="0.24"/>
    <x v="7"/>
  </r>
  <r>
    <x v="89"/>
    <n v="4889.6669316385496"/>
    <s v="Caa1"/>
    <s v="NA"/>
    <n v="9.1749082568807344E-2"/>
    <n v="0.18882351282468096"/>
    <n v="0.12942351282468095"/>
    <n v="0.2281"/>
    <x v="7"/>
  </r>
  <r>
    <x v="90"/>
    <n v="19143.741503148201"/>
    <s v="Caa2"/>
    <s v="NA"/>
    <n v="0.11015642201834862"/>
    <n v="0.21478935865784579"/>
    <n v="0.15538935865784578"/>
    <n v="0.2281"/>
    <x v="3"/>
  </r>
  <r>
    <x v="91"/>
    <n v="17189.730469555401"/>
    <s v="A2"/>
    <s v="NA"/>
    <n v="1.0354128440366973E-2"/>
    <n v="7.4005788281155213E-2"/>
    <n v="1.4605788281155217E-2"/>
    <n v="0.35"/>
    <x v="2"/>
  </r>
  <r>
    <x v="92"/>
    <n v="11156.6577696974"/>
    <s v="Baa3"/>
    <s v="NA"/>
    <n v="2.6891972477064225E-2"/>
    <n v="9.733447789688926E-2"/>
    <n v="3.7934477896889252E-2"/>
    <n v="0.15"/>
    <x v="3"/>
  </r>
  <r>
    <x v="93"/>
    <n v="1293037.8663601698"/>
    <s v="Baa2"/>
    <n v="2.1100000000000001E-2"/>
    <n v="2.3296788990825688E-2"/>
    <n v="9.2263023632599236E-2"/>
    <n v="3.2863023632599235E-2"/>
    <n v="0.3"/>
    <x v="4"/>
  </r>
  <r>
    <x v="94"/>
    <n v="13679.2213332052"/>
    <s v="B3"/>
    <s v="NA"/>
    <n v="7.9525458715596339E-2"/>
    <n v="0.17158056832609495"/>
    <n v="0.11218056832609494"/>
    <n v="0.12"/>
    <x v="1"/>
  </r>
  <r>
    <x v="95"/>
    <n v="15098.022828610599"/>
    <s v="B3"/>
    <s v="NA"/>
    <n v="7.9525458715596339E-2"/>
    <n v="0.17158056832609495"/>
    <n v="0.11218056832609494"/>
    <n v="0.25"/>
    <x v="7"/>
  </r>
  <r>
    <x v="96"/>
    <n v="5809.1709617828501"/>
    <s v="B1"/>
    <s v="NA"/>
    <n v="5.5078211009174309E-2"/>
    <n v="0.13709467932892289"/>
    <n v="7.7694679328922892E-2"/>
    <n v="0.15"/>
    <x v="1"/>
  </r>
  <r>
    <x v="97"/>
    <n v="25000"/>
    <s v="Baa3"/>
    <s v="NA"/>
    <n v="2.6891972477064225E-2"/>
    <n v="9.733447789688926E-2"/>
    <n v="3.7934477896889252E-2"/>
    <n v="0.27179999999999999"/>
    <x v="5"/>
  </r>
  <r>
    <x v="98"/>
    <n v="132725.261467431"/>
    <s v="Ba1"/>
    <n v="2.53E-2"/>
    <n v="3.0630963302752296E-2"/>
    <n v="0.10260879033175085"/>
    <n v="4.3208790331750853E-2"/>
    <n v="0.31"/>
    <x v="3"/>
  </r>
  <r>
    <x v="99"/>
    <n v="16095.828896634199"/>
    <s v="Caa2"/>
    <s v="NA"/>
    <n v="0.11015642201834862"/>
    <n v="0.21478935865784579"/>
    <n v="0.15538935865784578"/>
    <n v="0.32"/>
    <x v="3"/>
  </r>
  <r>
    <x v="100"/>
    <n v="12236.250784133601"/>
    <s v="B1"/>
    <s v="NA"/>
    <n v="5.5078211009174309E-2"/>
    <n v="0.13709467932892289"/>
    <n v="7.7694679328922892E-2"/>
    <n v="0.32"/>
    <x v="3"/>
  </r>
  <r>
    <x v="101"/>
    <n v="1018007.0569496"/>
    <s v="Aaa"/>
    <n v="2.5999999999999999E-3"/>
    <n v="0"/>
    <n v="5.9400000000000001E-2"/>
    <n v="0"/>
    <n v="0.25800000000000001"/>
    <x v="2"/>
  </r>
  <r>
    <x v="102"/>
    <n v="249991.512236526"/>
    <s v="Aaa"/>
    <n v="3.8999999999999998E-3"/>
    <n v="0"/>
    <n v="5.9400000000000001E-2"/>
    <n v="0"/>
    <n v="0.28000000000000003"/>
    <x v="6"/>
  </r>
  <r>
    <x v="103"/>
    <n v="14013.022092064501"/>
    <s v="B3"/>
    <n v="6.2700000000000006E-2"/>
    <n v="7.9525458715596339E-2"/>
    <n v="0.17158056832609495"/>
    <n v="0.11218056832609494"/>
    <n v="0.3"/>
    <x v="4"/>
  </r>
  <r>
    <x v="104"/>
    <n v="14950.9498752729"/>
    <s v="B3"/>
    <s v="NA"/>
    <n v="7.9525458715596339E-2"/>
    <n v="0.17158056832609495"/>
    <n v="0.11218056832609494"/>
    <n v="0.2281"/>
    <x v="3"/>
  </r>
  <r>
    <x v="105"/>
    <n v="440776.97153601499"/>
    <s v="B3"/>
    <n v="8.5199999999999998E-2"/>
    <n v="7.9525458715596339E-2"/>
    <n v="0.17158056832609495"/>
    <n v="0.11218056832609494"/>
    <n v="0.3"/>
    <x v="3"/>
  </r>
  <r>
    <x v="106"/>
    <n v="482437.01979045395"/>
    <s v="Aaa"/>
    <n v="2.8E-3"/>
    <n v="0"/>
    <n v="5.9400000000000001E-2"/>
    <n v="0"/>
    <n v="0.22"/>
    <x v="2"/>
  </r>
  <r>
    <x v="107"/>
    <n v="85868.626527958404"/>
    <s v="Ba3"/>
    <n v="2.3699999999999999E-2"/>
    <n v="4.4005045871559637E-2"/>
    <n v="0.12147460019490969"/>
    <n v="6.2074600194909679E-2"/>
    <n v="0.15"/>
    <x v="0"/>
  </r>
  <r>
    <x v="108"/>
    <n v="346343.17048607202"/>
    <s v="Caa1"/>
    <s v="NA"/>
    <n v="9.1749082568807344E-2"/>
    <n v="0.18882351282468096"/>
    <n v="0.12942351282468095"/>
    <n v="0.28999999999999998"/>
    <x v="7"/>
  </r>
  <r>
    <x v="109"/>
    <n v="63605.065799999997"/>
    <s v="Baa2"/>
    <n v="1.7899999999999999E-2"/>
    <n v="2.3296788990825688E-2"/>
    <n v="9.2263023632599236E-2"/>
    <n v="3.2863023632599235E-2"/>
    <n v="0.25"/>
    <x v="4"/>
  </r>
  <r>
    <x v="110"/>
    <n v="26594.277245782003"/>
    <s v="B2"/>
    <s v="NA"/>
    <n v="6.7301834862385335E-2"/>
    <n v="0.15433762382750893"/>
    <n v="9.4937623827508935E-2"/>
    <n v="0.3"/>
    <x v="7"/>
  </r>
  <r>
    <x v="111"/>
    <n v="38986.810989001096"/>
    <s v="Ba1"/>
    <s v="NA"/>
    <n v="3.0630963302752296E-2"/>
    <n v="0.10260879033175085"/>
    <n v="4.3208790331750853E-2"/>
    <n v="0.1"/>
    <x v="4"/>
  </r>
  <r>
    <x v="112"/>
    <n v="223249.49750038699"/>
    <s v="Baa1"/>
    <n v="1.9400000000000001E-2"/>
    <n v="1.9557798165137613E-2"/>
    <n v="8.6988711197737628E-2"/>
    <n v="2.758871119773763E-2"/>
    <n v="0.29499999999999998"/>
    <x v="4"/>
  </r>
  <r>
    <x v="113"/>
    <n v="394086.41934305604"/>
    <s v="Baa2"/>
    <n v="1.6400000000000001E-2"/>
    <n v="2.3296788990825688E-2"/>
    <n v="9.2263023632599236E-2"/>
    <n v="3.2863023632599235E-2"/>
    <n v="0.25"/>
    <x v="7"/>
  </r>
  <r>
    <x v="114"/>
    <n v="674048.26639736898"/>
    <s v="A2"/>
    <n v="1.4500000000000001E-2"/>
    <n v="1.0354128440366973E-2"/>
    <n v="7.4005788281155213E-2"/>
    <n v="1.4605788281155217E-2"/>
    <n v="0.19"/>
    <x v="1"/>
  </r>
  <r>
    <x v="115"/>
    <n v="249886.46435475201"/>
    <s v="Baa2"/>
    <n v="8.0999999999999996E-3"/>
    <n v="2.3296788990825688E-2"/>
    <n v="9.2263023632599236E-2"/>
    <n v="3.2863023632599235E-2"/>
    <n v="0.21"/>
    <x v="2"/>
  </r>
  <r>
    <x v="116"/>
    <n v="179570.78355054901"/>
    <s v="Aa3"/>
    <n v="7.9000000000000008E-3"/>
    <n v="7.3341743119266058E-3"/>
    <n v="6.9745766699151612E-2"/>
    <n v="1.0345766699151613E-2"/>
    <n v="0.1"/>
    <x v="0"/>
  </r>
  <r>
    <x v="117"/>
    <n v="35200"/>
    <s v="A3"/>
    <s v="NA"/>
    <n v="1.4668348623853212E-2"/>
    <n v="8.009153339830323E-2"/>
    <n v="2.0691533398303225E-2"/>
    <n v="0"/>
    <x v="0"/>
  </r>
  <r>
    <x v="118"/>
    <n v="284087.56369579799"/>
    <s v="Baa3"/>
    <n v="3.1699999999999999E-2"/>
    <n v="2.6891972477064225E-2"/>
    <n v="9.733447789688926E-2"/>
    <n v="3.7934477896889252E-2"/>
    <n v="0.16"/>
    <x v="1"/>
  </r>
  <r>
    <x v="119"/>
    <n v="1775799.9193529801"/>
    <s v="Caa1"/>
    <s v="NA"/>
    <n v="9.1749082568807344E-2"/>
    <n v="0.18882351282468096"/>
    <n v="0.12942351282468095"/>
    <n v="0.2"/>
    <x v="1"/>
  </r>
  <r>
    <x v="120"/>
    <n v="11070.3565194804"/>
    <s v="B2"/>
    <n v="5.4199999999999998E-2"/>
    <n v="6.7301834862385335E-2"/>
    <n v="0.15433762382750893"/>
    <n v="9.4937623827508935E-2"/>
    <n v="0.3"/>
    <x v="3"/>
  </r>
  <r>
    <x v="121"/>
    <n v="833541.23656931496"/>
    <s v="A1"/>
    <n v="9.5999999999999992E-3"/>
    <n v="8.6284403669724778E-3"/>
    <n v="7.1571490234296015E-2"/>
    <n v="1.2171490234296015E-2"/>
    <n v="0.2"/>
    <x v="0"/>
  </r>
  <r>
    <x v="122"/>
    <n v="27625.3883521688"/>
    <s v="Ba3"/>
    <n v="5.3900000000000003E-2"/>
    <n v="4.4005045871559637E-2"/>
    <n v="0.12147460019490969"/>
    <n v="6.2074600194909679E-2"/>
    <n v="0.3"/>
    <x v="3"/>
  </r>
  <r>
    <x v="123"/>
    <n v="63068.134601125399"/>
    <s v="Ba2"/>
    <n v="2.93E-2"/>
    <n v="3.6814678899082569E-2"/>
    <n v="0.11133169166632967"/>
    <n v="5.193169166632966E-2"/>
    <n v="0.15"/>
    <x v="1"/>
  </r>
  <r>
    <x v="124"/>
    <n v="24800"/>
    <s v="Ba1"/>
    <s v="NA"/>
    <n v="3.0630963302752296E-2"/>
    <n v="0.10260879033175085"/>
    <n v="4.3208790331750853E-2"/>
    <n v="0"/>
    <x v="0"/>
  </r>
  <r>
    <x v="125"/>
    <n v="396986.89988835104"/>
    <s v="Aaa"/>
    <s v="NA"/>
    <n v="0"/>
    <n v="5.9400000000000001E-2"/>
    <n v="0"/>
    <n v="0.17"/>
    <x v="7"/>
  </r>
  <r>
    <x v="126"/>
    <n v="114870.706410165"/>
    <s v="A2"/>
    <n v="7.4999999999999997E-3"/>
    <n v="1.0354128440366973E-2"/>
    <n v="7.4005788281155213E-2"/>
    <n v="1.4605788281155217E-2"/>
    <n v="0.21"/>
    <x v="1"/>
  </r>
  <r>
    <x v="127"/>
    <n v="61526.331889499001"/>
    <s v="A3"/>
    <n v="0.01"/>
    <n v="1.4668348623853212E-2"/>
    <n v="8.009153339830323E-2"/>
    <n v="2.0691533398303225E-2"/>
    <n v="0.19"/>
    <x v="1"/>
  </r>
  <r>
    <x v="128"/>
    <n v="1645.21388162016"/>
    <s v="Caa1"/>
    <s v="NA"/>
    <n v="9.1749082568807344E-2"/>
    <n v="0.18882351282468096"/>
    <n v="0.12942351282468095"/>
    <n v="0.3"/>
    <x v="7"/>
  </r>
  <r>
    <x v="129"/>
    <n v="419946.42812600802"/>
    <s v="Ba2"/>
    <n v="3.5099999999999999E-2"/>
    <n v="3.6814678899082569E-2"/>
    <n v="0.11133169166632967"/>
    <n v="5.193169166632966E-2"/>
    <n v="0.27"/>
    <x v="3"/>
  </r>
  <r>
    <x v="130"/>
    <n v="1425276.5862829199"/>
    <s v="Baa1"/>
    <n v="8.2000000000000007E-3"/>
    <n v="1.9557798165137613E-2"/>
    <n v="8.6988711197737628E-2"/>
    <n v="2.758871119773763E-2"/>
    <n v="0.25"/>
    <x v="2"/>
  </r>
  <r>
    <x v="131"/>
    <n v="84518.83039261571"/>
    <s v="Ca"/>
    <s v="NA"/>
    <n v="0.14682729357798166"/>
    <n v="0.26651819215360384"/>
    <n v="0.20711819215360386"/>
    <n v="0.24"/>
    <x v="7"/>
  </r>
  <r>
    <x v="132"/>
    <n v="11900"/>
    <s v="Ba2"/>
    <s v="NA"/>
    <n v="3.6814678899082569E-2"/>
    <n v="0.11133169166632967"/>
    <n v="5.193169166632966E-2"/>
    <n v="0.27179999999999999"/>
    <x v="5"/>
  </r>
  <r>
    <x v="133"/>
    <n v="8100"/>
    <s v="B3"/>
    <s v="NA"/>
    <n v="7.9525458715596339E-2"/>
    <n v="0.17158056832609495"/>
    <n v="0.11218056832609494"/>
    <n v="0.27179999999999999"/>
    <x v="5"/>
  </r>
  <r>
    <x v="134"/>
    <n v="2862.1319796954299"/>
    <s v="Caa3"/>
    <s v="NA"/>
    <n v="0.12238004587155965"/>
    <n v="0.23203230315643184"/>
    <n v="0.17263230315643183"/>
    <n v="0.36"/>
    <x v="4"/>
  </r>
  <r>
    <x v="135"/>
    <n v="4941.3731820826097"/>
    <s v="B3"/>
    <s v="NA"/>
    <n v="7.9525458715596339E-2"/>
    <n v="0.17158056832609495"/>
    <n v="0.11218056832609494"/>
    <n v="0.27500000000000002"/>
    <x v="3"/>
  </r>
  <r>
    <x v="136"/>
    <n v="627437.89888729004"/>
    <s v="Aaa"/>
    <n v="2.5999999999999999E-3"/>
    <n v="0"/>
    <n v="5.9400000000000001E-2"/>
    <n v="0"/>
    <n v="0.20600000000000002"/>
    <x v="2"/>
  </r>
  <r>
    <x v="137"/>
    <n v="812866.92886747001"/>
    <s v="Aaa"/>
    <n v="1.6999999999999999E-3"/>
    <n v="0"/>
    <n v="5.9400000000000001E-2"/>
    <n v="0"/>
    <n v="0.18"/>
    <x v="2"/>
  </r>
  <r>
    <x v="138"/>
    <n v="689000"/>
    <s v="Aa3"/>
    <s v="NA"/>
    <n v="7.3341743119266058E-3"/>
    <n v="6.9745766699151612E-2"/>
    <n v="1.0345766699151613E-2"/>
    <n v="0.2"/>
    <x v="7"/>
  </r>
  <r>
    <x v="139"/>
    <n v="8746.2706364014211"/>
    <s v="B3"/>
    <s v="NA"/>
    <n v="7.9525458715596339E-2"/>
    <n v="0.17158056832609495"/>
    <n v="0.11218056832609494"/>
    <n v="0.18"/>
    <x v="1"/>
  </r>
  <r>
    <x v="140"/>
    <n v="67775.101794347807"/>
    <s v="B2"/>
    <s v="NA"/>
    <n v="6.7301834862385335E-2"/>
    <n v="0.15433762382750893"/>
    <n v="9.4937623827508935E-2"/>
    <n v="0.3"/>
    <x v="3"/>
  </r>
  <r>
    <x v="141"/>
    <n v="505981.655622305"/>
    <s v="Baa1"/>
    <n v="8.6999999999999994E-3"/>
    <n v="1.9557798165137613E-2"/>
    <n v="8.6988711197737628E-2"/>
    <n v="2.758871119773763E-2"/>
    <n v="0.2"/>
    <x v="7"/>
  </r>
  <r>
    <x v="142"/>
    <n v="8413.2005676151002"/>
    <s v="B3"/>
    <s v="NA"/>
    <n v="7.9525458715596339E-2"/>
    <n v="0.17158056832609495"/>
    <n v="0.11218056832609494"/>
    <n v="0.2281"/>
    <x v="3"/>
  </r>
  <r>
    <x v="143"/>
    <n v="21391.802311011797"/>
    <s v="Ba2"/>
    <s v="NA"/>
    <n v="3.6814678899082569E-2"/>
    <n v="0.11133169166632967"/>
    <n v="5.193169166632966E-2"/>
    <n v="0.3"/>
    <x v="5"/>
  </r>
  <r>
    <x v="144"/>
    <n v="46840.042941492204"/>
    <s v="Caa1"/>
    <n v="8.6900000000000005E-2"/>
    <n v="9.1749082568807344E-2"/>
    <n v="0.18882351282468096"/>
    <n v="0.12942351282468095"/>
    <n v="0.15"/>
    <x v="3"/>
  </r>
  <r>
    <x v="145"/>
    <n v="815271.75172442303"/>
    <s v="B3"/>
    <n v="5.2999999999999999E-2"/>
    <n v="7.9525458715596339E-2"/>
    <n v="0.17158056832609495"/>
    <n v="0.11218056832609494"/>
    <n v="0.23"/>
    <x v="2"/>
  </r>
  <r>
    <x v="146"/>
    <n v="943.269768"/>
    <s v="Baa1"/>
    <s v="NA"/>
    <n v="1.9557798165137613E-2"/>
    <n v="8.6988711197737628E-2"/>
    <n v="2.758871119773763E-2"/>
    <n v="0"/>
    <x v="5"/>
  </r>
  <r>
    <x v="147"/>
    <n v="40434.701516952795"/>
    <s v="B2"/>
    <s v="NA"/>
    <n v="6.7301834862385335E-2"/>
    <n v="0.15433762382750893"/>
    <n v="9.4937623827508935E-2"/>
    <n v="0.3"/>
    <x v="3"/>
  </r>
  <r>
    <x v="148"/>
    <n v="200085.53774435399"/>
    <s v="Caa3"/>
    <s v="NA"/>
    <n v="0.12238004587155965"/>
    <n v="0.23203230315643184"/>
    <n v="0.17263230315643183"/>
    <n v="0.18"/>
    <x v="1"/>
  </r>
  <r>
    <x v="149"/>
    <n v="358868.76517492399"/>
    <s v="Aa2"/>
    <s v="NA"/>
    <n v="6.0399082568807346E-3"/>
    <n v="6.792004316400721E-2"/>
    <n v="8.5200431640072103E-3"/>
    <n v="0"/>
    <x v="0"/>
  </r>
  <r>
    <x v="150"/>
    <n v="3186859.7391850199"/>
    <s v="Aa3"/>
    <n v="3.5999999999999999E-3"/>
    <n v="7.3341743119266058E-3"/>
    <n v="6.9745766699151612E-2"/>
    <n v="1.0345766699151613E-2"/>
    <n v="0.25"/>
    <x v="2"/>
  </r>
  <r>
    <x v="151"/>
    <n v="22996100"/>
    <s v="Aaa"/>
    <n v="3.2000000000000002E-3"/>
    <n v="0"/>
    <n v="5.9400000000000001E-2"/>
    <n v="0"/>
    <n v="0.25"/>
    <x v="8"/>
  </r>
  <r>
    <x v="152"/>
    <n v="59319.547636087598"/>
    <s v="Baa2"/>
    <n v="1.43E-2"/>
    <n v="2.3296788990825688E-2"/>
    <n v="9.2263023632599236E-2"/>
    <n v="3.2863023632599235E-2"/>
    <n v="0.25"/>
    <x v="4"/>
  </r>
  <r>
    <x v="153"/>
    <n v="69238.903106173791"/>
    <s v="B1"/>
    <s v="NA"/>
    <n v="5.5078211009174309E-2"/>
    <n v="0.13709467932892289"/>
    <n v="7.7694679328922892E-2"/>
    <n v="0.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5AFF5-0FA7-E24C-B6C9-F07997FA4197}" name="PivotTable5" cacheId="24"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1"/>
        <item x="102"/>
        <item x="103"/>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m="1" x="156"/>
        <item m="1" x="155"/>
        <item m="1" x="154"/>
        <item x="90"/>
        <item x="142"/>
        <item x="153"/>
        <item x="104"/>
        <item x="80"/>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
    <format dxfId="0">
      <pivotArea outline="0" collapsedLevelsAreSubtotals="1" fieldPosition="0"/>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60" totalsRowShown="0" headerRowDxfId="21" dataDxfId="19" headerRowBorderDxfId="20" tableBorderDxfId="18" totalsRowBorderDxfId="17">
  <autoFilter ref="A7:I160" xr:uid="{00000000-0009-0000-0100-000001000000}"/>
  <tableColumns count="9">
    <tableColumn id="1" xr3:uid="{00000000-0010-0000-0000-000001000000}" name="Country" dataDxfId="16"/>
    <tableColumn id="2" xr3:uid="{00000000-0010-0000-0000-000002000000}" name="Africa" dataDxfId="15"/>
    <tableColumn id="3" xr3:uid="{00000000-0010-0000-0000-000003000000}" name="Moody's rating" dataDxfId="14"/>
    <tableColumn id="4" xr3:uid="{00000000-0010-0000-0000-000004000000}" name="Rating-based Default Spread" dataDxfId="13" dataCellStyle="Percent"/>
    <tableColumn id="5" xr3:uid="{00000000-0010-0000-0000-000005000000}" name="Total Equity Risk Premium" dataDxfId="12" dataCellStyle="Percent"/>
    <tableColumn id="6" xr3:uid="{00000000-0010-0000-0000-000006000000}" name="Country Risk Premium" dataDxfId="11"/>
    <tableColumn id="7" xr3:uid="{00000000-0010-0000-0000-000007000000}" name="Sovereign CDS, net of US" dataDxfId="10"/>
    <tableColumn id="8" xr3:uid="{00000000-0010-0000-0000-000008000000}" name="Total Equity Risk Premium2" dataDxfId="9"/>
    <tableColumn id="9" xr3:uid="{00000000-0010-0000-0000-000009000000}"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6:E186" totalsRowShown="0" headerRowDxfId="7" tableBorderDxfId="6">
  <autoFilter ref="A166:E186" xr:uid="{00000000-0009-0000-0100-000002000000}"/>
  <tableColumns count="5">
    <tableColumn id="1" xr3:uid="{00000000-0010-0000-0100-000001000000}" name="Country" dataDxfId="5"/>
    <tableColumn id="2" xr3:uid="{00000000-0010-0000-0100-000002000000}" name="PRS Composite Risk Score" dataDxfId="4"/>
    <tableColumn id="3" xr3:uid="{00000000-0010-0000-0100-000003000000}" name="ERP" dataDxfId="3" dataCellStyle="Percent"/>
    <tableColumn id="4" xr3:uid="{00000000-0010-0000-0100-000004000000}" name="CRP" dataDxfId="2" dataCellStyle="Percent"/>
    <tableColumn id="5" xr3:uid="{00000000-0010-0000-0100-000005000000}"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6" Type="http://schemas.openxmlformats.org/officeDocument/2006/relationships/hyperlink" Target="https://papers.ssrn.com/sol3/papers.cfm?abstract_id=4161010" TargetMode="External"/><Relationship Id="rId5" Type="http://schemas.openxmlformats.org/officeDocument/2006/relationships/hyperlink" Target="https://papers.ssrn.com/sol3/papers.cfm?abstract_id=4066060" TargetMode="External"/><Relationship Id="rId4" Type="http://schemas.openxmlformats.org/officeDocument/2006/relationships/hyperlink" Target="http://www.data.worldbank.org/data-catalog/GDP-ranking-tabl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tradingeconomics.com/russia/rating" TargetMode="External"/><Relationship Id="rId21" Type="http://schemas.openxmlformats.org/officeDocument/2006/relationships/hyperlink" Target="https://tradingeconomics.com/botswana/rating" TargetMode="External"/><Relationship Id="rId42" Type="http://schemas.openxmlformats.org/officeDocument/2006/relationships/hyperlink" Target="https://tradingeconomics.com/egypt/rating" TargetMode="External"/><Relationship Id="rId63" Type="http://schemas.openxmlformats.org/officeDocument/2006/relationships/hyperlink" Target="https://tradingeconomics.com/iraq/rating" TargetMode="External"/><Relationship Id="rId84" Type="http://schemas.openxmlformats.org/officeDocument/2006/relationships/hyperlink" Target="https://tradingeconomics.com/macedonia/rating" TargetMode="External"/><Relationship Id="rId138" Type="http://schemas.openxmlformats.org/officeDocument/2006/relationships/hyperlink" Target="https://tradingeconomics.com/tajikistan/rating" TargetMode="External"/><Relationship Id="rId107" Type="http://schemas.openxmlformats.org/officeDocument/2006/relationships/hyperlink" Target="https://tradingeconomics.com/papua-new-guinea/rating" TargetMode="External"/><Relationship Id="rId11" Type="http://schemas.openxmlformats.org/officeDocument/2006/relationships/hyperlink" Target="https://tradingeconomics.com/bahrain/rating" TargetMode="External"/><Relationship Id="rId32" Type="http://schemas.openxmlformats.org/officeDocument/2006/relationships/hyperlink" Target="https://tradingeconomics.com/colombia/rating" TargetMode="External"/><Relationship Id="rId53" Type="http://schemas.openxmlformats.org/officeDocument/2006/relationships/hyperlink" Target="https://tradingeconomics.com/ghana/rating" TargetMode="External"/><Relationship Id="rId74" Type="http://schemas.openxmlformats.org/officeDocument/2006/relationships/hyperlink" Target="https://tradingeconomics.com/kuwait/rating" TargetMode="External"/><Relationship Id="rId128" Type="http://schemas.openxmlformats.org/officeDocument/2006/relationships/hyperlink" Target="https://tradingeconomics.com/south-africa/rating" TargetMode="External"/><Relationship Id="rId149" Type="http://schemas.openxmlformats.org/officeDocument/2006/relationships/hyperlink" Target="https://tradingeconomics.com/united-kingdom/rating" TargetMode="External"/><Relationship Id="rId5" Type="http://schemas.openxmlformats.org/officeDocument/2006/relationships/hyperlink" Target="https://tradingeconomics.com/armenia/rating" TargetMode="External"/><Relationship Id="rId95" Type="http://schemas.openxmlformats.org/officeDocument/2006/relationships/hyperlink" Target="https://tradingeconomics.com/morocco/rating" TargetMode="External"/><Relationship Id="rId22" Type="http://schemas.openxmlformats.org/officeDocument/2006/relationships/hyperlink" Target="https://tradingeconomics.com/brazil/rating" TargetMode="External"/><Relationship Id="rId27" Type="http://schemas.openxmlformats.org/officeDocument/2006/relationships/hyperlink" Target="https://tradingeconomics.com/canada/rating" TargetMode="External"/><Relationship Id="rId43" Type="http://schemas.openxmlformats.org/officeDocument/2006/relationships/hyperlink" Target="https://tradingeconomics.com/el-salvador/rating" TargetMode="External"/><Relationship Id="rId48" Type="http://schemas.openxmlformats.org/officeDocument/2006/relationships/hyperlink" Target="https://tradingeconomics.com/finland/rating" TargetMode="External"/><Relationship Id="rId64" Type="http://schemas.openxmlformats.org/officeDocument/2006/relationships/hyperlink" Target="https://tradingeconomics.com/ireland/rating" TargetMode="External"/><Relationship Id="rId69" Type="http://schemas.openxmlformats.org/officeDocument/2006/relationships/hyperlink" Target="https://tradingeconomics.com/jamaica/rating" TargetMode="External"/><Relationship Id="rId113" Type="http://schemas.openxmlformats.org/officeDocument/2006/relationships/hyperlink" Target="https://tradingeconomics.com/puerto-rico/rating" TargetMode="External"/><Relationship Id="rId118" Type="http://schemas.openxmlformats.org/officeDocument/2006/relationships/hyperlink" Target="https://tradingeconomics.com/rwanda/rating" TargetMode="External"/><Relationship Id="rId134" Type="http://schemas.openxmlformats.org/officeDocument/2006/relationships/hyperlink" Target="https://tradingeconomics.com/swaziland/rating" TargetMode="External"/><Relationship Id="rId139" Type="http://schemas.openxmlformats.org/officeDocument/2006/relationships/hyperlink" Target="https://tradingeconomics.com/tanzania/rating" TargetMode="External"/><Relationship Id="rId80" Type="http://schemas.openxmlformats.org/officeDocument/2006/relationships/hyperlink" Target="https://tradingeconomics.com/liechtenstein/rating" TargetMode="External"/><Relationship Id="rId85" Type="http://schemas.openxmlformats.org/officeDocument/2006/relationships/hyperlink" Target="https://tradingeconomics.com/madagascar/rating" TargetMode="External"/><Relationship Id="rId150" Type="http://schemas.openxmlformats.org/officeDocument/2006/relationships/hyperlink" Target="https://tradingeconomics.com/united-states/rating" TargetMode="External"/><Relationship Id="rId155" Type="http://schemas.openxmlformats.org/officeDocument/2006/relationships/hyperlink" Target="https://tradingeconomics.com/zambia/rating" TargetMode="External"/><Relationship Id="rId12" Type="http://schemas.openxmlformats.org/officeDocument/2006/relationships/hyperlink" Target="https://tradingeconomics.com/bangladesh/rating" TargetMode="External"/><Relationship Id="rId17" Type="http://schemas.openxmlformats.org/officeDocument/2006/relationships/hyperlink" Target="https://tradingeconomics.com/benin/rating" TargetMode="External"/><Relationship Id="rId33" Type="http://schemas.openxmlformats.org/officeDocument/2006/relationships/hyperlink" Target="https://tradingeconomics.com/congo/rating" TargetMode="External"/><Relationship Id="rId38" Type="http://schemas.openxmlformats.org/officeDocument/2006/relationships/hyperlink" Target="https://tradingeconomics.com/czech-republic/rating" TargetMode="External"/><Relationship Id="rId59" Type="http://schemas.openxmlformats.org/officeDocument/2006/relationships/hyperlink" Target="https://tradingeconomics.com/hungary/rating" TargetMode="External"/><Relationship Id="rId103" Type="http://schemas.openxmlformats.org/officeDocument/2006/relationships/hyperlink" Target="https://tradingeconomics.com/norway/rating" TargetMode="External"/><Relationship Id="rId108" Type="http://schemas.openxmlformats.org/officeDocument/2006/relationships/hyperlink" Target="https://tradingeconomics.com/paraguay/rating" TargetMode="External"/><Relationship Id="rId124" Type="http://schemas.openxmlformats.org/officeDocument/2006/relationships/hyperlink" Target="https://tradingeconomics.com/singapore/rating" TargetMode="External"/><Relationship Id="rId129" Type="http://schemas.openxmlformats.org/officeDocument/2006/relationships/hyperlink" Target="https://tradingeconomics.com/south-korea/rating" TargetMode="External"/><Relationship Id="rId54" Type="http://schemas.openxmlformats.org/officeDocument/2006/relationships/hyperlink" Target="https://tradingeconomics.com/greece/rating" TargetMode="External"/><Relationship Id="rId70" Type="http://schemas.openxmlformats.org/officeDocument/2006/relationships/hyperlink" Target="https://tradingeconomics.com/japan/rating" TargetMode="External"/><Relationship Id="rId75" Type="http://schemas.openxmlformats.org/officeDocument/2006/relationships/hyperlink" Target="https://tradingeconomics.com/kyrgyzstan/rating" TargetMode="External"/><Relationship Id="rId91" Type="http://schemas.openxmlformats.org/officeDocument/2006/relationships/hyperlink" Target="https://tradingeconomics.com/mexico/rating" TargetMode="External"/><Relationship Id="rId96" Type="http://schemas.openxmlformats.org/officeDocument/2006/relationships/hyperlink" Target="https://tradingeconomics.com/mozambique/rating" TargetMode="External"/><Relationship Id="rId140" Type="http://schemas.openxmlformats.org/officeDocument/2006/relationships/hyperlink" Target="https://tradingeconomics.com/thailand/rating" TargetMode="External"/><Relationship Id="rId145" Type="http://schemas.openxmlformats.org/officeDocument/2006/relationships/hyperlink" Target="https://tradingeconomics.com/turkmenistan/rating" TargetMode="External"/><Relationship Id="rId1" Type="http://schemas.openxmlformats.org/officeDocument/2006/relationships/hyperlink" Target="https://tradingeconomics.com/albania/rating" TargetMode="External"/><Relationship Id="rId6" Type="http://schemas.openxmlformats.org/officeDocument/2006/relationships/hyperlink" Target="https://tradingeconomics.com/aruba/rating" TargetMode="External"/><Relationship Id="rId23" Type="http://schemas.openxmlformats.org/officeDocument/2006/relationships/hyperlink" Target="https://tradingeconomics.com/bulgaria/rating" TargetMode="External"/><Relationship Id="rId28" Type="http://schemas.openxmlformats.org/officeDocument/2006/relationships/hyperlink" Target="https://tradingeconomics.com/cape-verde/rating" TargetMode="External"/><Relationship Id="rId49" Type="http://schemas.openxmlformats.org/officeDocument/2006/relationships/hyperlink" Target="https://tradingeconomics.com/france/rating" TargetMode="External"/><Relationship Id="rId114" Type="http://schemas.openxmlformats.org/officeDocument/2006/relationships/hyperlink" Target="https://tradingeconomics.com/qatar/rating" TargetMode="External"/><Relationship Id="rId119" Type="http://schemas.openxmlformats.org/officeDocument/2006/relationships/hyperlink" Target="https://tradingeconomics.com/san-marino/rating" TargetMode="External"/><Relationship Id="rId44" Type="http://schemas.openxmlformats.org/officeDocument/2006/relationships/hyperlink" Target="https://tradingeconomics.com/estonia/rating" TargetMode="External"/><Relationship Id="rId60" Type="http://schemas.openxmlformats.org/officeDocument/2006/relationships/hyperlink" Target="https://tradingeconomics.com/iceland/rating" TargetMode="External"/><Relationship Id="rId65" Type="http://schemas.openxmlformats.org/officeDocument/2006/relationships/hyperlink" Target="https://tradingeconomics.com/isle-of-man/rating" TargetMode="External"/><Relationship Id="rId81" Type="http://schemas.openxmlformats.org/officeDocument/2006/relationships/hyperlink" Target="https://tradingeconomics.com/lithuania/rating" TargetMode="External"/><Relationship Id="rId86" Type="http://schemas.openxmlformats.org/officeDocument/2006/relationships/hyperlink" Target="https://tradingeconomics.com/malaysia/rating" TargetMode="External"/><Relationship Id="rId130" Type="http://schemas.openxmlformats.org/officeDocument/2006/relationships/hyperlink" Target="https://tradingeconomics.com/spain/rating" TargetMode="External"/><Relationship Id="rId135" Type="http://schemas.openxmlformats.org/officeDocument/2006/relationships/hyperlink" Target="https://tradingeconomics.com/sweden/rating" TargetMode="External"/><Relationship Id="rId151" Type="http://schemas.openxmlformats.org/officeDocument/2006/relationships/hyperlink" Target="https://tradingeconomics.com/uruguay/rating" TargetMode="External"/><Relationship Id="rId13" Type="http://schemas.openxmlformats.org/officeDocument/2006/relationships/hyperlink" Target="https://tradingeconomics.com/barbados/rating" TargetMode="External"/><Relationship Id="rId18" Type="http://schemas.openxmlformats.org/officeDocument/2006/relationships/hyperlink" Target="https://tradingeconomics.com/bermuda/rating" TargetMode="External"/><Relationship Id="rId39" Type="http://schemas.openxmlformats.org/officeDocument/2006/relationships/hyperlink" Target="https://tradingeconomics.com/denmark/rating" TargetMode="External"/><Relationship Id="rId109" Type="http://schemas.openxmlformats.org/officeDocument/2006/relationships/hyperlink" Target="https://tradingeconomics.com/peru/rating" TargetMode="External"/><Relationship Id="rId34" Type="http://schemas.openxmlformats.org/officeDocument/2006/relationships/hyperlink" Target="https://tradingeconomics.com/costa-rica/rating" TargetMode="External"/><Relationship Id="rId50" Type="http://schemas.openxmlformats.org/officeDocument/2006/relationships/hyperlink" Target="https://tradingeconomics.com/gabon/rating" TargetMode="External"/><Relationship Id="rId55" Type="http://schemas.openxmlformats.org/officeDocument/2006/relationships/hyperlink" Target="https://tradingeconomics.com/grenada/rating" TargetMode="External"/><Relationship Id="rId76" Type="http://schemas.openxmlformats.org/officeDocument/2006/relationships/hyperlink" Target="https://tradingeconomics.com/laos/rating" TargetMode="External"/><Relationship Id="rId97" Type="http://schemas.openxmlformats.org/officeDocument/2006/relationships/hyperlink" Target="https://tradingeconomics.com/namibia/rating" TargetMode="External"/><Relationship Id="rId104" Type="http://schemas.openxmlformats.org/officeDocument/2006/relationships/hyperlink" Target="https://tradingeconomics.com/oman/rating" TargetMode="External"/><Relationship Id="rId120" Type="http://schemas.openxmlformats.org/officeDocument/2006/relationships/hyperlink" Target="https://tradingeconomics.com/saudi-arabia/rating" TargetMode="External"/><Relationship Id="rId125" Type="http://schemas.openxmlformats.org/officeDocument/2006/relationships/hyperlink" Target="https://tradingeconomics.com/slovakia/rating" TargetMode="External"/><Relationship Id="rId141" Type="http://schemas.openxmlformats.org/officeDocument/2006/relationships/hyperlink" Target="https://tradingeconomics.com/togo/rating" TargetMode="External"/><Relationship Id="rId146" Type="http://schemas.openxmlformats.org/officeDocument/2006/relationships/hyperlink" Target="https://tradingeconomics.com/uganda/rating" TargetMode="External"/><Relationship Id="rId7" Type="http://schemas.openxmlformats.org/officeDocument/2006/relationships/hyperlink" Target="https://tradingeconomics.com/australia/rating" TargetMode="External"/><Relationship Id="rId71" Type="http://schemas.openxmlformats.org/officeDocument/2006/relationships/hyperlink" Target="https://tradingeconomics.com/jordan/rating" TargetMode="External"/><Relationship Id="rId92" Type="http://schemas.openxmlformats.org/officeDocument/2006/relationships/hyperlink" Target="https://tradingeconomics.com/moldova/rating" TargetMode="External"/><Relationship Id="rId2" Type="http://schemas.openxmlformats.org/officeDocument/2006/relationships/hyperlink" Target="https://tradingeconomics.com/andorra/rating" TargetMode="External"/><Relationship Id="rId29" Type="http://schemas.openxmlformats.org/officeDocument/2006/relationships/hyperlink" Target="https://tradingeconomics.com/cayman-islands/rating" TargetMode="External"/><Relationship Id="rId24" Type="http://schemas.openxmlformats.org/officeDocument/2006/relationships/hyperlink" Target="https://tradingeconomics.com/burkina-faso/rating" TargetMode="External"/><Relationship Id="rId40" Type="http://schemas.openxmlformats.org/officeDocument/2006/relationships/hyperlink" Target="https://tradingeconomics.com/dominican-republic/rating" TargetMode="External"/><Relationship Id="rId45" Type="http://schemas.openxmlformats.org/officeDocument/2006/relationships/hyperlink" Target="https://tradingeconomics.com/ethiopia/rating" TargetMode="External"/><Relationship Id="rId66" Type="http://schemas.openxmlformats.org/officeDocument/2006/relationships/hyperlink" Target="https://tradingeconomics.com/israel/rating" TargetMode="External"/><Relationship Id="rId87" Type="http://schemas.openxmlformats.org/officeDocument/2006/relationships/hyperlink" Target="https://tradingeconomics.com/maldives/rating" TargetMode="External"/><Relationship Id="rId110" Type="http://schemas.openxmlformats.org/officeDocument/2006/relationships/hyperlink" Target="https://tradingeconomics.com/philippines/rating" TargetMode="External"/><Relationship Id="rId115" Type="http://schemas.openxmlformats.org/officeDocument/2006/relationships/hyperlink" Target="https://tradingeconomics.com/republic-of-the-congo/rating" TargetMode="External"/><Relationship Id="rId131" Type="http://schemas.openxmlformats.org/officeDocument/2006/relationships/hyperlink" Target="https://tradingeconomics.com/sri-lanka/rating" TargetMode="External"/><Relationship Id="rId136" Type="http://schemas.openxmlformats.org/officeDocument/2006/relationships/hyperlink" Target="https://tradingeconomics.com/switzerland/rating" TargetMode="External"/><Relationship Id="rId61" Type="http://schemas.openxmlformats.org/officeDocument/2006/relationships/hyperlink" Target="https://tradingeconomics.com/india/rating" TargetMode="External"/><Relationship Id="rId82" Type="http://schemas.openxmlformats.org/officeDocument/2006/relationships/hyperlink" Target="https://tradingeconomics.com/luxembourg/rating" TargetMode="External"/><Relationship Id="rId152" Type="http://schemas.openxmlformats.org/officeDocument/2006/relationships/hyperlink" Target="https://tradingeconomics.com/uzbekistan/rating" TargetMode="External"/><Relationship Id="rId19" Type="http://schemas.openxmlformats.org/officeDocument/2006/relationships/hyperlink" Target="https://tradingeconomics.com/bolivia/rating" TargetMode="External"/><Relationship Id="rId14" Type="http://schemas.openxmlformats.org/officeDocument/2006/relationships/hyperlink" Target="https://tradingeconomics.com/belarus/rating" TargetMode="External"/><Relationship Id="rId30" Type="http://schemas.openxmlformats.org/officeDocument/2006/relationships/hyperlink" Target="https://tradingeconomics.com/chile/rating" TargetMode="External"/><Relationship Id="rId35" Type="http://schemas.openxmlformats.org/officeDocument/2006/relationships/hyperlink" Target="https://tradingeconomics.com/croatia/rating" TargetMode="External"/><Relationship Id="rId56" Type="http://schemas.openxmlformats.org/officeDocument/2006/relationships/hyperlink" Target="https://tradingeconomics.com/guatemala/rating" TargetMode="External"/><Relationship Id="rId77" Type="http://schemas.openxmlformats.org/officeDocument/2006/relationships/hyperlink" Target="https://tradingeconomics.com/latvia/rating" TargetMode="External"/><Relationship Id="rId100" Type="http://schemas.openxmlformats.org/officeDocument/2006/relationships/hyperlink" Target="https://tradingeconomics.com/nicaragua/rating" TargetMode="External"/><Relationship Id="rId105" Type="http://schemas.openxmlformats.org/officeDocument/2006/relationships/hyperlink" Target="https://tradingeconomics.com/pakistan/rating" TargetMode="External"/><Relationship Id="rId126" Type="http://schemas.openxmlformats.org/officeDocument/2006/relationships/hyperlink" Target="https://tradingeconomics.com/slovenia/rating" TargetMode="External"/><Relationship Id="rId147" Type="http://schemas.openxmlformats.org/officeDocument/2006/relationships/hyperlink" Target="https://tradingeconomics.com/ukraine/rating" TargetMode="External"/><Relationship Id="rId8" Type="http://schemas.openxmlformats.org/officeDocument/2006/relationships/hyperlink" Target="https://tradingeconomics.com/austria/rating" TargetMode="External"/><Relationship Id="rId51" Type="http://schemas.openxmlformats.org/officeDocument/2006/relationships/hyperlink" Target="https://tradingeconomics.com/georgia/rating" TargetMode="External"/><Relationship Id="rId72" Type="http://schemas.openxmlformats.org/officeDocument/2006/relationships/hyperlink" Target="https://tradingeconomics.com/kazakhstan/rating" TargetMode="External"/><Relationship Id="rId93" Type="http://schemas.openxmlformats.org/officeDocument/2006/relationships/hyperlink" Target="https://tradingeconomics.com/mongolia/rating" TargetMode="External"/><Relationship Id="rId98" Type="http://schemas.openxmlformats.org/officeDocument/2006/relationships/hyperlink" Target="https://tradingeconomics.com/netherlands/rating" TargetMode="External"/><Relationship Id="rId121" Type="http://schemas.openxmlformats.org/officeDocument/2006/relationships/hyperlink" Target="https://tradingeconomics.com/senegal/rating" TargetMode="External"/><Relationship Id="rId142" Type="http://schemas.openxmlformats.org/officeDocument/2006/relationships/hyperlink" Target="https://tradingeconomics.com/trinidad-and-tobago/rating" TargetMode="External"/><Relationship Id="rId3" Type="http://schemas.openxmlformats.org/officeDocument/2006/relationships/hyperlink" Target="https://tradingeconomics.com/angola/rating" TargetMode="External"/><Relationship Id="rId25" Type="http://schemas.openxmlformats.org/officeDocument/2006/relationships/hyperlink" Target="https://tradingeconomics.com/cambodia/rating" TargetMode="External"/><Relationship Id="rId46" Type="http://schemas.openxmlformats.org/officeDocument/2006/relationships/hyperlink" Target="https://tradingeconomics.com/european-union/rating" TargetMode="External"/><Relationship Id="rId67" Type="http://schemas.openxmlformats.org/officeDocument/2006/relationships/hyperlink" Target="https://tradingeconomics.com/italy/rating" TargetMode="External"/><Relationship Id="rId116" Type="http://schemas.openxmlformats.org/officeDocument/2006/relationships/hyperlink" Target="https://tradingeconomics.com/romania/rating" TargetMode="External"/><Relationship Id="rId137" Type="http://schemas.openxmlformats.org/officeDocument/2006/relationships/hyperlink" Target="https://tradingeconomics.com/taiwan/rating" TargetMode="External"/><Relationship Id="rId20" Type="http://schemas.openxmlformats.org/officeDocument/2006/relationships/hyperlink" Target="https://tradingeconomics.com/bosnia-and-herzegovina/rating" TargetMode="External"/><Relationship Id="rId41" Type="http://schemas.openxmlformats.org/officeDocument/2006/relationships/hyperlink" Target="https://tradingeconomics.com/ecuador/rating" TargetMode="External"/><Relationship Id="rId62" Type="http://schemas.openxmlformats.org/officeDocument/2006/relationships/hyperlink" Target="https://tradingeconomics.com/indonesia/rating" TargetMode="External"/><Relationship Id="rId83" Type="http://schemas.openxmlformats.org/officeDocument/2006/relationships/hyperlink" Target="https://tradingeconomics.com/macau/rating" TargetMode="External"/><Relationship Id="rId88" Type="http://schemas.openxmlformats.org/officeDocument/2006/relationships/hyperlink" Target="https://tradingeconomics.com/mali/rating" TargetMode="External"/><Relationship Id="rId111" Type="http://schemas.openxmlformats.org/officeDocument/2006/relationships/hyperlink" Target="https://tradingeconomics.com/poland/rating" TargetMode="External"/><Relationship Id="rId132" Type="http://schemas.openxmlformats.org/officeDocument/2006/relationships/hyperlink" Target="https://tradingeconomics.com/st-vincent-and-the-grenadines/rating" TargetMode="External"/><Relationship Id="rId153" Type="http://schemas.openxmlformats.org/officeDocument/2006/relationships/hyperlink" Target="https://tradingeconomics.com/venezuela/rating" TargetMode="External"/><Relationship Id="rId15" Type="http://schemas.openxmlformats.org/officeDocument/2006/relationships/hyperlink" Target="https://tradingeconomics.com/belgium/rating" TargetMode="External"/><Relationship Id="rId36" Type="http://schemas.openxmlformats.org/officeDocument/2006/relationships/hyperlink" Target="https://tradingeconomics.com/cuba/rating" TargetMode="External"/><Relationship Id="rId57" Type="http://schemas.openxmlformats.org/officeDocument/2006/relationships/hyperlink" Target="https://tradingeconomics.com/honduras/rating" TargetMode="External"/><Relationship Id="rId106" Type="http://schemas.openxmlformats.org/officeDocument/2006/relationships/hyperlink" Target="https://tradingeconomics.com/panama/rating" TargetMode="External"/><Relationship Id="rId127" Type="http://schemas.openxmlformats.org/officeDocument/2006/relationships/hyperlink" Target="https://tradingeconomics.com/solomon-islands/rating" TargetMode="External"/><Relationship Id="rId10" Type="http://schemas.openxmlformats.org/officeDocument/2006/relationships/hyperlink" Target="https://tradingeconomics.com/bahamas/rating" TargetMode="External"/><Relationship Id="rId31" Type="http://schemas.openxmlformats.org/officeDocument/2006/relationships/hyperlink" Target="https://tradingeconomics.com/china/rating" TargetMode="External"/><Relationship Id="rId52" Type="http://schemas.openxmlformats.org/officeDocument/2006/relationships/hyperlink" Target="https://tradingeconomics.com/germany/rating" TargetMode="External"/><Relationship Id="rId73" Type="http://schemas.openxmlformats.org/officeDocument/2006/relationships/hyperlink" Target="https://tradingeconomics.com/kenya/rating" TargetMode="External"/><Relationship Id="rId78" Type="http://schemas.openxmlformats.org/officeDocument/2006/relationships/hyperlink" Target="https://tradingeconomics.com/lebanon/rating" TargetMode="External"/><Relationship Id="rId94" Type="http://schemas.openxmlformats.org/officeDocument/2006/relationships/hyperlink" Target="https://tradingeconomics.com/montenegro/rating" TargetMode="External"/><Relationship Id="rId99" Type="http://schemas.openxmlformats.org/officeDocument/2006/relationships/hyperlink" Target="https://tradingeconomics.com/new-zealand/rating" TargetMode="External"/><Relationship Id="rId101" Type="http://schemas.openxmlformats.org/officeDocument/2006/relationships/hyperlink" Target="https://tradingeconomics.com/niger/rating" TargetMode="External"/><Relationship Id="rId122" Type="http://schemas.openxmlformats.org/officeDocument/2006/relationships/hyperlink" Target="https://tradingeconomics.com/serbia/rating" TargetMode="External"/><Relationship Id="rId143" Type="http://schemas.openxmlformats.org/officeDocument/2006/relationships/hyperlink" Target="https://tradingeconomics.com/tunisia/rating" TargetMode="External"/><Relationship Id="rId148" Type="http://schemas.openxmlformats.org/officeDocument/2006/relationships/hyperlink" Target="https://tradingeconomics.com/united-arab-emirates/rating" TargetMode="External"/><Relationship Id="rId4" Type="http://schemas.openxmlformats.org/officeDocument/2006/relationships/hyperlink" Target="https://tradingeconomics.com/argentina/rating" TargetMode="External"/><Relationship Id="rId9" Type="http://schemas.openxmlformats.org/officeDocument/2006/relationships/hyperlink" Target="https://tradingeconomics.com/azerbaijan/rating" TargetMode="External"/><Relationship Id="rId26" Type="http://schemas.openxmlformats.org/officeDocument/2006/relationships/hyperlink" Target="https://tradingeconomics.com/cameroon/rating" TargetMode="External"/><Relationship Id="rId47" Type="http://schemas.openxmlformats.org/officeDocument/2006/relationships/hyperlink" Target="https://tradingeconomics.com/fiji/rating" TargetMode="External"/><Relationship Id="rId68" Type="http://schemas.openxmlformats.org/officeDocument/2006/relationships/hyperlink" Target="https://tradingeconomics.com/ivory-coast/rating" TargetMode="External"/><Relationship Id="rId89" Type="http://schemas.openxmlformats.org/officeDocument/2006/relationships/hyperlink" Target="https://tradingeconomics.com/malta/rating" TargetMode="External"/><Relationship Id="rId112" Type="http://schemas.openxmlformats.org/officeDocument/2006/relationships/hyperlink" Target="https://tradingeconomics.com/portugal/rating" TargetMode="External"/><Relationship Id="rId133" Type="http://schemas.openxmlformats.org/officeDocument/2006/relationships/hyperlink" Target="https://tradingeconomics.com/suriname/rating" TargetMode="External"/><Relationship Id="rId154" Type="http://schemas.openxmlformats.org/officeDocument/2006/relationships/hyperlink" Target="https://tradingeconomics.com/vietnam/rating" TargetMode="External"/><Relationship Id="rId16" Type="http://schemas.openxmlformats.org/officeDocument/2006/relationships/hyperlink" Target="https://tradingeconomics.com/belize/rating" TargetMode="External"/><Relationship Id="rId37" Type="http://schemas.openxmlformats.org/officeDocument/2006/relationships/hyperlink" Target="https://tradingeconomics.com/cyprus/rating" TargetMode="External"/><Relationship Id="rId58" Type="http://schemas.openxmlformats.org/officeDocument/2006/relationships/hyperlink" Target="https://tradingeconomics.com/hong-kong/rating" TargetMode="External"/><Relationship Id="rId79" Type="http://schemas.openxmlformats.org/officeDocument/2006/relationships/hyperlink" Target="https://tradingeconomics.com/lesotho/rating" TargetMode="External"/><Relationship Id="rId102" Type="http://schemas.openxmlformats.org/officeDocument/2006/relationships/hyperlink" Target="https://tradingeconomics.com/nigeria/rating" TargetMode="External"/><Relationship Id="rId123" Type="http://schemas.openxmlformats.org/officeDocument/2006/relationships/hyperlink" Target="https://tradingeconomics.com/seychelles/rating" TargetMode="External"/><Relationship Id="rId144" Type="http://schemas.openxmlformats.org/officeDocument/2006/relationships/hyperlink" Target="https://tradingeconomics.com/turkey/rating" TargetMode="External"/><Relationship Id="rId90" Type="http://schemas.openxmlformats.org/officeDocument/2006/relationships/hyperlink" Target="https://tradingeconomics.com/mauritius/ratin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opLeftCell="A4" workbookViewId="0">
      <selection activeCell="C13" sqref="C13"/>
    </sheetView>
  </sheetViews>
  <sheetFormatPr baseColWidth="10" defaultRowHeight="13"/>
  <cols>
    <col min="1" max="1" width="24.6640625" customWidth="1"/>
  </cols>
  <sheetData>
    <row r="1" spans="1:4" s="38" customFormat="1" ht="16">
      <c r="A1" s="32" t="s">
        <v>150</v>
      </c>
    </row>
    <row r="2" spans="1:4" s="38" customFormat="1" ht="16">
      <c r="A2" s="38" t="s">
        <v>151</v>
      </c>
    </row>
    <row r="3" spans="1:4" s="38" customFormat="1" ht="16">
      <c r="A3" s="38" t="s">
        <v>269</v>
      </c>
    </row>
    <row r="4" spans="1:4" s="38" customFormat="1" ht="16"/>
    <row r="5" spans="1:4" s="59" customFormat="1" ht="16">
      <c r="A5" s="70" t="s">
        <v>152</v>
      </c>
    </row>
    <row r="6" spans="1:4" s="38" customFormat="1" ht="16">
      <c r="A6" s="38" t="s">
        <v>153</v>
      </c>
    </row>
    <row r="7" spans="1:4" s="38" customFormat="1" ht="16">
      <c r="A7" s="38" t="s">
        <v>155</v>
      </c>
      <c r="B7" s="71" t="s">
        <v>154</v>
      </c>
    </row>
    <row r="8" spans="1:4" s="38" customFormat="1" ht="16">
      <c r="A8" s="38" t="s">
        <v>156</v>
      </c>
      <c r="B8" s="71" t="s">
        <v>157</v>
      </c>
    </row>
    <row r="9" spans="1:4" s="38" customFormat="1" ht="16"/>
    <row r="10" spans="1:4" s="59" customFormat="1" ht="16">
      <c r="A10" s="70" t="s">
        <v>158</v>
      </c>
    </row>
    <row r="11" spans="1:4" s="38" customFormat="1" ht="16">
      <c r="A11" s="38" t="s">
        <v>159</v>
      </c>
      <c r="B11" s="71" t="s">
        <v>163</v>
      </c>
      <c r="D11" s="38" t="s">
        <v>164</v>
      </c>
    </row>
    <row r="12" spans="1:4" s="38" customFormat="1" ht="16">
      <c r="A12" s="38" t="s">
        <v>160</v>
      </c>
      <c r="B12" s="38" t="s">
        <v>165</v>
      </c>
    </row>
    <row r="13" spans="1:4" s="38" customFormat="1" ht="16">
      <c r="A13" s="38" t="s">
        <v>161</v>
      </c>
      <c r="B13" s="38" t="s">
        <v>162</v>
      </c>
    </row>
    <row r="14" spans="1:4" s="38" customFormat="1" ht="16">
      <c r="A14" s="73" t="s">
        <v>341</v>
      </c>
    </row>
    <row r="15" spans="1:4" s="38" customFormat="1" ht="16">
      <c r="A15" s="1"/>
    </row>
    <row r="16" spans="1:4" s="59" customFormat="1" ht="16">
      <c r="A16" s="70" t="s">
        <v>166</v>
      </c>
    </row>
    <row r="17" spans="1:9" s="59" customFormat="1" ht="16">
      <c r="A17" s="59" t="s">
        <v>194</v>
      </c>
    </row>
    <row r="18" spans="1:9" s="38" customFormat="1" ht="16">
      <c r="A18" s="38" t="s">
        <v>303</v>
      </c>
    </row>
    <row r="19" spans="1:9" s="38" customFormat="1" ht="16">
      <c r="A19" s="89" t="s">
        <v>377</v>
      </c>
    </row>
    <row r="20" spans="1:9" s="38" customFormat="1" ht="16">
      <c r="A20" s="38" t="s">
        <v>376</v>
      </c>
    </row>
    <row r="21" spans="1:9" s="59" customFormat="1" ht="16">
      <c r="A21" s="59" t="s">
        <v>195</v>
      </c>
    </row>
    <row r="22" spans="1:9" s="38" customFormat="1" ht="16">
      <c r="A22" s="38" t="s">
        <v>304</v>
      </c>
    </row>
    <row r="23" spans="1:9" s="38" customFormat="1" ht="16">
      <c r="A23" s="38" t="s">
        <v>476</v>
      </c>
    </row>
    <row r="24" spans="1:9" s="38" customFormat="1" ht="16">
      <c r="A24" s="89" t="s">
        <v>469</v>
      </c>
    </row>
    <row r="25" spans="1:9" s="38" customFormat="1" ht="16">
      <c r="A25" s="38" t="s">
        <v>251</v>
      </c>
    </row>
    <row r="26" spans="1:9" s="38" customFormat="1" ht="16"/>
    <row r="27" spans="1:9" s="59" customFormat="1" ht="16">
      <c r="A27" s="70" t="s">
        <v>247</v>
      </c>
    </row>
    <row r="28" spans="1:9" s="38" customFormat="1" ht="16">
      <c r="A28" s="38" t="s">
        <v>167</v>
      </c>
    </row>
    <row r="29" spans="1:9" s="38" customFormat="1" ht="16"/>
    <row r="30" spans="1:9" s="70" customFormat="1" ht="16">
      <c r="A30" s="70" t="s">
        <v>248</v>
      </c>
    </row>
    <row r="31" spans="1:9" s="38" customFormat="1" ht="16">
      <c r="A31" s="38" t="s">
        <v>249</v>
      </c>
    </row>
    <row r="32" spans="1:9" s="38" customFormat="1" ht="16">
      <c r="A32" s="38" t="s">
        <v>250</v>
      </c>
      <c r="I32" s="101" t="s">
        <v>381</v>
      </c>
    </row>
    <row r="33" spans="1:12" s="38" customFormat="1" ht="16"/>
    <row r="34" spans="1:12" s="38" customFormat="1" ht="16">
      <c r="A34" s="38" t="s">
        <v>168</v>
      </c>
    </row>
    <row r="35" spans="1:12" s="38" customFormat="1" ht="22" customHeight="1">
      <c r="A35" s="59" t="s">
        <v>169</v>
      </c>
      <c r="E35" s="244" t="s">
        <v>560</v>
      </c>
      <c r="F35" s="245"/>
      <c r="G35" s="245"/>
      <c r="H35" s="245"/>
      <c r="I35" s="245"/>
      <c r="J35" s="245"/>
      <c r="K35" s="245"/>
      <c r="L35" s="245"/>
    </row>
    <row r="36" spans="1:12" s="38" customFormat="1" ht="16">
      <c r="A36" s="59" t="s">
        <v>475</v>
      </c>
      <c r="E36" s="101" t="s">
        <v>562</v>
      </c>
    </row>
    <row r="37" spans="1:12" s="38" customFormat="1" ht="16">
      <c r="A37" s="59" t="s">
        <v>170</v>
      </c>
      <c r="E37" s="71" t="s">
        <v>470</v>
      </c>
    </row>
    <row r="38" spans="1:12" s="38" customFormat="1" ht="16">
      <c r="E38" s="71" t="s">
        <v>471</v>
      </c>
    </row>
  </sheetData>
  <mergeCells count="1">
    <mergeCell ref="E35:L35"/>
  </mergeCells>
  <hyperlinks>
    <hyperlink ref="B7" r:id="rId1" xr:uid="{00000000-0004-0000-0000-000000000000}"/>
    <hyperlink ref="B8" r:id="rId2" xr:uid="{00000000-0004-0000-0000-000001000000}"/>
    <hyperlink ref="B11" r:id="rId3" xr:uid="{00000000-0004-0000-0000-000002000000}"/>
    <hyperlink ref="I32" r:id="rId4" xr:uid="{00000000-0004-0000-0000-000006000000}"/>
    <hyperlink ref="E35" r:id="rId5" xr:uid="{4DF6E990-58EC-4F4F-84A2-3E8D32055C6A}"/>
    <hyperlink ref="E36" r:id="rId6" xr:uid="{AB6A4B4E-0D41-7542-8835-43A10B6402DC}"/>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4"/>
  <sheetViews>
    <sheetView workbookViewId="0">
      <selection activeCell="K51" sqref="K51"/>
    </sheetView>
  </sheetViews>
  <sheetFormatPr baseColWidth="10" defaultRowHeight="13"/>
  <cols>
    <col min="1" max="1" width="11.83203125" bestFit="1" customWidth="1"/>
    <col min="2" max="2" width="16.33203125" style="25" bestFit="1" customWidth="1"/>
    <col min="3" max="3" width="19" style="25" bestFit="1" customWidth="1"/>
    <col min="5" max="5" width="19.6640625" customWidth="1"/>
    <col min="7" max="7" width="10.83203125" style="25"/>
  </cols>
  <sheetData>
    <row r="1" spans="1:12" ht="34">
      <c r="A1" s="17" t="s">
        <v>39</v>
      </c>
      <c r="B1" s="206" t="s">
        <v>548</v>
      </c>
      <c r="C1" s="220" t="s">
        <v>563</v>
      </c>
      <c r="E1" s="66" t="s">
        <v>75</v>
      </c>
      <c r="F1" s="67" t="s">
        <v>271</v>
      </c>
      <c r="G1" s="143" t="s">
        <v>547</v>
      </c>
      <c r="H1" s="143">
        <v>43464</v>
      </c>
      <c r="I1" s="67" t="s">
        <v>443</v>
      </c>
      <c r="K1" s="66" t="s">
        <v>75</v>
      </c>
      <c r="L1" s="143">
        <v>43463</v>
      </c>
    </row>
    <row r="2" spans="1:12" ht="16">
      <c r="A2" s="4" t="s">
        <v>41</v>
      </c>
      <c r="B2" s="207">
        <v>60</v>
      </c>
      <c r="C2" s="221">
        <f t="shared" ref="C2:C21" si="0">B2*(1+$I$84)</f>
        <v>86.284403669724782</v>
      </c>
      <c r="E2" s="46" t="s">
        <v>272</v>
      </c>
      <c r="F2" s="56" t="s">
        <v>45</v>
      </c>
      <c r="G2" s="48">
        <v>7.7000000000000002E-3</v>
      </c>
      <c r="H2" s="48">
        <f t="shared" ref="H2:H49" si="1">L2</f>
        <v>7.7999999999999996E-3</v>
      </c>
      <c r="I2" s="72">
        <f t="shared" ref="I2:I68" si="2">IF(H2="NA","NA",H2/G2-1)</f>
        <v>1.298701298701288E-2</v>
      </c>
      <c r="K2" s="46" t="s">
        <v>272</v>
      </c>
      <c r="L2" s="48">
        <v>7.7999999999999996E-3</v>
      </c>
    </row>
    <row r="3" spans="1:12" ht="16">
      <c r="A3" s="4" t="s">
        <v>42</v>
      </c>
      <c r="B3" s="207">
        <v>72</v>
      </c>
      <c r="C3" s="221">
        <f t="shared" si="0"/>
        <v>103.54128440366974</v>
      </c>
      <c r="E3" s="46" t="s">
        <v>337</v>
      </c>
      <c r="F3" s="56" t="s">
        <v>143</v>
      </c>
      <c r="G3" s="48">
        <v>1.0999999999999999E-2</v>
      </c>
      <c r="H3" s="48">
        <f t="shared" si="1"/>
        <v>1.7299999999999999E-2</v>
      </c>
      <c r="I3" s="72">
        <f t="shared" si="2"/>
        <v>0.57272727272727275</v>
      </c>
      <c r="K3" s="127" t="s">
        <v>337</v>
      </c>
      <c r="L3" s="48">
        <v>1.7299999999999999E-2</v>
      </c>
    </row>
    <row r="4" spans="1:12" ht="16">
      <c r="A4" s="4" t="s">
        <v>43</v>
      </c>
      <c r="B4" s="207">
        <v>102</v>
      </c>
      <c r="C4" s="221">
        <f t="shared" si="0"/>
        <v>146.68348623853211</v>
      </c>
      <c r="E4" s="46" t="s">
        <v>131</v>
      </c>
      <c r="F4" s="56" t="s">
        <v>78</v>
      </c>
      <c r="G4" s="48">
        <v>5.9400000000000001E-2</v>
      </c>
      <c r="H4" s="48">
        <f t="shared" si="1"/>
        <v>6.5500000000000003E-2</v>
      </c>
      <c r="I4" s="72">
        <f t="shared" si="2"/>
        <v>0.10269360269360273</v>
      </c>
      <c r="K4" s="127" t="s">
        <v>131</v>
      </c>
      <c r="L4" s="48">
        <v>6.5500000000000003E-2</v>
      </c>
    </row>
    <row r="5" spans="1:12" ht="16">
      <c r="A5" s="4" t="s">
        <v>44</v>
      </c>
      <c r="B5" s="207">
        <v>34</v>
      </c>
      <c r="C5" s="221">
        <f t="shared" si="0"/>
        <v>48.894495412844037</v>
      </c>
      <c r="E5" s="46" t="s">
        <v>85</v>
      </c>
      <c r="F5" s="56" t="s">
        <v>47</v>
      </c>
      <c r="G5" s="48">
        <v>2.3E-3</v>
      </c>
      <c r="H5" s="48">
        <f t="shared" si="1"/>
        <v>3.3999999999999998E-3</v>
      </c>
      <c r="I5" s="72">
        <f t="shared" si="2"/>
        <v>0.47826086956521729</v>
      </c>
      <c r="K5" s="46" t="s">
        <v>85</v>
      </c>
      <c r="L5" s="48">
        <v>3.3999999999999998E-3</v>
      </c>
    </row>
    <row r="6" spans="1:12" ht="16">
      <c r="A6" s="4" t="s">
        <v>45</v>
      </c>
      <c r="B6" s="207">
        <v>42</v>
      </c>
      <c r="C6" s="221">
        <f t="shared" si="0"/>
        <v>60.399082568807344</v>
      </c>
      <c r="E6" s="46" t="s">
        <v>176</v>
      </c>
      <c r="F6" s="56" t="s">
        <v>44</v>
      </c>
      <c r="G6" s="48">
        <v>1.9E-3</v>
      </c>
      <c r="H6" s="48">
        <f t="shared" si="1"/>
        <v>2.3999999999999998E-3</v>
      </c>
      <c r="I6" s="72">
        <f t="shared" si="2"/>
        <v>0.26315789473684204</v>
      </c>
      <c r="K6" s="46" t="s">
        <v>176</v>
      </c>
      <c r="L6" s="48">
        <v>2.3999999999999998E-3</v>
      </c>
    </row>
    <row r="7" spans="1:12" ht="16">
      <c r="A7" s="4" t="s">
        <v>46</v>
      </c>
      <c r="B7" s="207">
        <v>51</v>
      </c>
      <c r="C7" s="221">
        <f t="shared" si="0"/>
        <v>73.341743119266056</v>
      </c>
      <c r="E7" s="46" t="s">
        <v>87</v>
      </c>
      <c r="F7" s="56" t="s">
        <v>49</v>
      </c>
      <c r="G7" s="48">
        <v>3.4000000000000002E-2</v>
      </c>
      <c r="H7" s="48">
        <f t="shared" si="1"/>
        <v>2.7799999999999998E-2</v>
      </c>
      <c r="I7" s="72">
        <f t="shared" si="2"/>
        <v>-0.18235294117647072</v>
      </c>
      <c r="K7" s="46" t="s">
        <v>87</v>
      </c>
      <c r="L7" s="48">
        <v>2.7799999999999998E-2</v>
      </c>
    </row>
    <row r="8" spans="1:12" ht="16">
      <c r="A8" s="4" t="s">
        <v>47</v>
      </c>
      <c r="B8" s="207">
        <v>0</v>
      </c>
      <c r="C8" s="221">
        <f t="shared" si="0"/>
        <v>0</v>
      </c>
      <c r="E8" s="46" t="s">
        <v>177</v>
      </c>
      <c r="F8" s="56" t="s">
        <v>46</v>
      </c>
      <c r="G8" s="48">
        <v>2.0999999999999999E-3</v>
      </c>
      <c r="H8" s="48">
        <f t="shared" si="1"/>
        <v>3.7000000000000002E-3</v>
      </c>
      <c r="I8" s="72">
        <f t="shared" si="2"/>
        <v>0.76190476190476208</v>
      </c>
      <c r="K8" s="46" t="s">
        <v>177</v>
      </c>
      <c r="L8" s="48">
        <v>3.7000000000000002E-3</v>
      </c>
    </row>
    <row r="9" spans="1:12" ht="16">
      <c r="A9" s="4" t="s">
        <v>48</v>
      </c>
      <c r="B9" s="207">
        <v>383</v>
      </c>
      <c r="C9" s="221">
        <f t="shared" si="0"/>
        <v>550.78211009174311</v>
      </c>
      <c r="E9" s="46" t="s">
        <v>92</v>
      </c>
      <c r="F9" s="56" t="s">
        <v>80</v>
      </c>
      <c r="G9" s="48">
        <v>2.9100000000000001E-2</v>
      </c>
      <c r="H9" s="48">
        <f t="shared" si="1"/>
        <v>3.5200000000000002E-2</v>
      </c>
      <c r="I9" s="72">
        <f t="shared" si="2"/>
        <v>0.20962199312714791</v>
      </c>
      <c r="K9" s="46" t="s">
        <v>92</v>
      </c>
      <c r="L9" s="48">
        <v>3.5200000000000002E-2</v>
      </c>
    </row>
    <row r="10" spans="1:12" ht="16">
      <c r="A10" s="4" t="s">
        <v>49</v>
      </c>
      <c r="B10" s="207">
        <v>468</v>
      </c>
      <c r="C10" s="221">
        <f t="shared" si="0"/>
        <v>673.01834862385329</v>
      </c>
      <c r="E10" s="46" t="s">
        <v>94</v>
      </c>
      <c r="F10" s="56" t="s">
        <v>83</v>
      </c>
      <c r="G10" s="48">
        <v>8.0999999999999996E-3</v>
      </c>
      <c r="H10" s="48">
        <f t="shared" si="1"/>
        <v>1.4999999999999999E-2</v>
      </c>
      <c r="I10" s="72">
        <f t="shared" si="2"/>
        <v>0.85185185185185186</v>
      </c>
      <c r="K10" s="46" t="s">
        <v>94</v>
      </c>
      <c r="L10" s="48">
        <v>1.4999999999999999E-2</v>
      </c>
    </row>
    <row r="11" spans="1:12" ht="16">
      <c r="A11" s="4" t="s">
        <v>78</v>
      </c>
      <c r="B11" s="207">
        <v>553</v>
      </c>
      <c r="C11" s="221">
        <f t="shared" si="0"/>
        <v>795.25458715596335</v>
      </c>
      <c r="E11" s="46" t="s">
        <v>212</v>
      </c>
      <c r="F11" s="56" t="s">
        <v>49</v>
      </c>
      <c r="G11" s="48">
        <v>3.56E-2</v>
      </c>
      <c r="H11" s="48">
        <f t="shared" si="1"/>
        <v>6.6799999999999998E-2</v>
      </c>
      <c r="I11" s="72">
        <f t="shared" si="2"/>
        <v>0.87640449438202239</v>
      </c>
      <c r="K11" s="127" t="s">
        <v>212</v>
      </c>
      <c r="L11" s="48">
        <v>6.6799999999999998E-2</v>
      </c>
    </row>
    <row r="12" spans="1:12" ht="16">
      <c r="A12" s="4" t="s">
        <v>79</v>
      </c>
      <c r="B12" s="207">
        <v>213</v>
      </c>
      <c r="C12" s="221">
        <f t="shared" si="0"/>
        <v>306.30963302752298</v>
      </c>
      <c r="E12" s="46" t="s">
        <v>95</v>
      </c>
      <c r="F12" s="56" t="s">
        <v>47</v>
      </c>
      <c r="G12" s="48">
        <v>2.8E-3</v>
      </c>
      <c r="H12" s="48">
        <f t="shared" si="1"/>
        <v>3.5999999999999999E-3</v>
      </c>
      <c r="I12" s="72">
        <f t="shared" si="2"/>
        <v>0.28571428571428559</v>
      </c>
      <c r="K12" s="127" t="s">
        <v>95</v>
      </c>
      <c r="L12" s="48">
        <v>3.5999999999999999E-3</v>
      </c>
    </row>
    <row r="13" spans="1:12" ht="16">
      <c r="A13" s="4" t="s">
        <v>80</v>
      </c>
      <c r="B13" s="207">
        <v>256</v>
      </c>
      <c r="C13" s="221">
        <f t="shared" si="0"/>
        <v>368.14678899082571</v>
      </c>
      <c r="E13" s="46" t="s">
        <v>96</v>
      </c>
      <c r="F13" s="56" t="s">
        <v>41</v>
      </c>
      <c r="G13" s="48">
        <v>1.2500000000000001E-2</v>
      </c>
      <c r="H13" s="48">
        <f t="shared" si="1"/>
        <v>1.7600000000000001E-2</v>
      </c>
      <c r="I13" s="72">
        <f t="shared" si="2"/>
        <v>0.40799999999999992</v>
      </c>
      <c r="K13" s="46" t="s">
        <v>96</v>
      </c>
      <c r="L13" s="48">
        <v>1.7600000000000001E-2</v>
      </c>
    </row>
    <row r="14" spans="1:12" ht="16">
      <c r="A14" s="4" t="s">
        <v>81</v>
      </c>
      <c r="B14" s="207">
        <v>306</v>
      </c>
      <c r="C14" s="221">
        <f t="shared" si="0"/>
        <v>440.05045871559633</v>
      </c>
      <c r="E14" s="46" t="s">
        <v>97</v>
      </c>
      <c r="F14" s="56" t="s">
        <v>41</v>
      </c>
      <c r="G14" s="48">
        <v>7.4000000000000003E-3</v>
      </c>
      <c r="H14" s="48">
        <f t="shared" si="1"/>
        <v>1.11E-2</v>
      </c>
      <c r="I14" s="72">
        <f t="shared" si="2"/>
        <v>0.5</v>
      </c>
      <c r="K14" s="46" t="s">
        <v>97</v>
      </c>
      <c r="L14" s="48">
        <v>1.11E-2</v>
      </c>
    </row>
    <row r="15" spans="1:12" ht="16">
      <c r="A15" s="4" t="s">
        <v>82</v>
      </c>
      <c r="B15" s="207">
        <v>136</v>
      </c>
      <c r="C15" s="221">
        <f t="shared" si="0"/>
        <v>195.57798165137615</v>
      </c>
      <c r="E15" s="46" t="s">
        <v>50</v>
      </c>
      <c r="F15" s="56" t="s">
        <v>83</v>
      </c>
      <c r="G15" s="48">
        <v>2.7699999999999999E-2</v>
      </c>
      <c r="H15" s="48">
        <f t="shared" si="1"/>
        <v>3.6499999999999998E-2</v>
      </c>
      <c r="I15" s="72">
        <f t="shared" si="2"/>
        <v>0.31768953068592065</v>
      </c>
      <c r="K15" s="46" t="s">
        <v>50</v>
      </c>
      <c r="L15" s="48">
        <v>3.6499999999999998E-2</v>
      </c>
    </row>
    <row r="16" spans="1:12" ht="16">
      <c r="A16" s="4" t="s">
        <v>83</v>
      </c>
      <c r="B16" s="207">
        <v>162</v>
      </c>
      <c r="C16" s="221">
        <f t="shared" si="0"/>
        <v>232.96788990825689</v>
      </c>
      <c r="E16" s="46" t="s">
        <v>56</v>
      </c>
      <c r="F16" s="56" t="s">
        <v>48</v>
      </c>
      <c r="G16" s="48">
        <v>3.9199999999999999E-2</v>
      </c>
      <c r="H16" s="48">
        <f t="shared" si="1"/>
        <v>4.3499999999999997E-2</v>
      </c>
      <c r="I16" s="72">
        <f t="shared" si="2"/>
        <v>0.10969387755102034</v>
      </c>
      <c r="K16" s="46" t="s">
        <v>56</v>
      </c>
      <c r="L16" s="48">
        <v>4.3499999999999997E-2</v>
      </c>
    </row>
    <row r="17" spans="1:12" ht="16">
      <c r="A17" s="4" t="s">
        <v>124</v>
      </c>
      <c r="B17" s="207">
        <v>187</v>
      </c>
      <c r="C17" s="221">
        <f t="shared" si="0"/>
        <v>268.91972477064223</v>
      </c>
      <c r="E17" s="46" t="s">
        <v>98</v>
      </c>
      <c r="F17" s="56" t="s">
        <v>80</v>
      </c>
      <c r="G17" s="48">
        <v>1.11E-2</v>
      </c>
      <c r="H17" s="48">
        <f t="shared" si="1"/>
        <v>1.34E-2</v>
      </c>
      <c r="I17" s="72">
        <f t="shared" si="2"/>
        <v>0.20720720720720709</v>
      </c>
      <c r="K17" s="46" t="s">
        <v>98</v>
      </c>
      <c r="L17" s="48">
        <v>1.34E-2</v>
      </c>
    </row>
    <row r="18" spans="1:12" ht="16">
      <c r="A18" s="4" t="s">
        <v>346</v>
      </c>
      <c r="B18" s="207">
        <v>1021</v>
      </c>
      <c r="C18" s="221">
        <f t="shared" si="0"/>
        <v>1468.2729357798166</v>
      </c>
      <c r="E18" s="46" t="s">
        <v>178</v>
      </c>
      <c r="F18" s="56" t="s">
        <v>80</v>
      </c>
      <c r="G18" s="48">
        <v>7.4000000000000003E-3</v>
      </c>
      <c r="H18" s="48">
        <f t="shared" si="1"/>
        <v>1.3299999999999999E-2</v>
      </c>
      <c r="I18" s="72">
        <f t="shared" si="2"/>
        <v>0.79729729729729715</v>
      </c>
      <c r="K18" s="46" t="s">
        <v>178</v>
      </c>
      <c r="L18" s="48">
        <v>1.3299999999999999E-2</v>
      </c>
    </row>
    <row r="19" spans="1:12" ht="16">
      <c r="A19" s="4" t="s">
        <v>100</v>
      </c>
      <c r="B19" s="207">
        <v>638</v>
      </c>
      <c r="C19" s="221">
        <f t="shared" si="0"/>
        <v>917.49082568807341</v>
      </c>
      <c r="E19" s="46" t="s">
        <v>101</v>
      </c>
      <c r="F19" s="56" t="s">
        <v>41</v>
      </c>
      <c r="G19" s="48">
        <v>4.7000000000000002E-3</v>
      </c>
      <c r="H19" s="48">
        <f t="shared" si="1"/>
        <v>6.1999999999999998E-3</v>
      </c>
      <c r="I19" s="72">
        <f t="shared" si="2"/>
        <v>0.31914893617021267</v>
      </c>
      <c r="K19" s="46" t="s">
        <v>101</v>
      </c>
      <c r="L19" s="48">
        <v>6.1999999999999998E-3</v>
      </c>
    </row>
    <row r="20" spans="1:12" ht="16">
      <c r="A20" s="4" t="s">
        <v>58</v>
      </c>
      <c r="B20" s="207">
        <v>766</v>
      </c>
      <c r="C20" s="221">
        <f t="shared" si="0"/>
        <v>1101.5642201834862</v>
      </c>
      <c r="E20" s="46" t="s">
        <v>102</v>
      </c>
      <c r="F20" s="56" t="s">
        <v>47</v>
      </c>
      <c r="G20" s="48">
        <v>1.5E-3</v>
      </c>
      <c r="H20" s="48">
        <f t="shared" si="1"/>
        <v>2.3E-3</v>
      </c>
      <c r="I20" s="72">
        <f t="shared" si="2"/>
        <v>0.53333333333333321</v>
      </c>
      <c r="K20" s="46" t="s">
        <v>102</v>
      </c>
      <c r="L20" s="48">
        <v>2.3E-3</v>
      </c>
    </row>
    <row r="21" spans="1:12" ht="16">
      <c r="A21" s="4" t="s">
        <v>62</v>
      </c>
      <c r="B21" s="207">
        <v>851</v>
      </c>
      <c r="C21" s="221">
        <f t="shared" si="0"/>
        <v>1223.8004587155965</v>
      </c>
      <c r="E21" s="46" t="s">
        <v>454</v>
      </c>
      <c r="F21" s="56" t="s">
        <v>45</v>
      </c>
      <c r="G21" s="48">
        <v>1.3299999999999999E-2</v>
      </c>
      <c r="H21" s="48">
        <f t="shared" si="1"/>
        <v>1.26E-2</v>
      </c>
      <c r="I21" s="72">
        <f t="shared" si="2"/>
        <v>-5.2631578947368363E-2</v>
      </c>
      <c r="K21" s="46" t="s">
        <v>454</v>
      </c>
      <c r="L21" s="48">
        <v>1.26E-2</v>
      </c>
    </row>
    <row r="22" spans="1:12" ht="16">
      <c r="A22" s="121" t="s">
        <v>277</v>
      </c>
      <c r="B22" s="25" t="s">
        <v>143</v>
      </c>
      <c r="C22" s="222" t="s">
        <v>143</v>
      </c>
      <c r="E22" s="46" t="s">
        <v>104</v>
      </c>
      <c r="F22" s="56" t="s">
        <v>62</v>
      </c>
      <c r="G22" s="48">
        <v>7.5700000000000003E-2</v>
      </c>
      <c r="H22" s="48">
        <f t="shared" si="1"/>
        <v>0.16930000000000001</v>
      </c>
      <c r="I22" s="72">
        <f t="shared" si="2"/>
        <v>1.2364597093791283</v>
      </c>
      <c r="K22" s="177" t="s">
        <v>104</v>
      </c>
      <c r="L22" s="184">
        <v>0.16930000000000001</v>
      </c>
    </row>
    <row r="23" spans="1:12" ht="16">
      <c r="E23" s="46" t="s">
        <v>105</v>
      </c>
      <c r="F23" s="56" t="s">
        <v>49</v>
      </c>
      <c r="G23" s="48">
        <v>5.74E-2</v>
      </c>
      <c r="H23" s="48">
        <f t="shared" si="1"/>
        <v>8.0100000000000005E-2</v>
      </c>
      <c r="I23" s="72">
        <f t="shared" si="2"/>
        <v>0.39547038327526152</v>
      </c>
      <c r="K23" s="183" t="s">
        <v>105</v>
      </c>
      <c r="L23" s="48">
        <v>8.0100000000000005E-2</v>
      </c>
    </row>
    <row r="24" spans="1:12" ht="16">
      <c r="E24" s="46" t="s">
        <v>31</v>
      </c>
      <c r="F24" s="56" t="s">
        <v>78</v>
      </c>
      <c r="G24" s="48">
        <v>0.18329999999999999</v>
      </c>
      <c r="H24" s="48">
        <f t="shared" si="1"/>
        <v>0.27460000000000001</v>
      </c>
      <c r="I24" s="72">
        <f t="shared" si="2"/>
        <v>0.49809056192034928</v>
      </c>
      <c r="K24" s="127" t="s">
        <v>31</v>
      </c>
      <c r="L24" s="48">
        <v>0.27460000000000001</v>
      </c>
    </row>
    <row r="25" spans="1:12" ht="16">
      <c r="E25" s="46" t="s">
        <v>106</v>
      </c>
      <c r="F25" s="56" t="s">
        <v>41</v>
      </c>
      <c r="G25" s="48">
        <v>8.5000000000000006E-3</v>
      </c>
      <c r="H25" s="48">
        <f t="shared" si="1"/>
        <v>1.7600000000000001E-2</v>
      </c>
      <c r="I25" s="72">
        <f t="shared" si="2"/>
        <v>1.0705882352941178</v>
      </c>
      <c r="K25" s="46" t="s">
        <v>106</v>
      </c>
      <c r="L25" s="48">
        <v>1.7600000000000001E-2</v>
      </c>
    </row>
    <row r="26" spans="1:12" ht="16">
      <c r="E26" s="46" t="s">
        <v>179</v>
      </c>
      <c r="F26" s="56" t="s">
        <v>44</v>
      </c>
      <c r="G26" s="48">
        <v>2E-3</v>
      </c>
      <c r="H26" s="48">
        <f t="shared" si="1"/>
        <v>3.3999999999999998E-3</v>
      </c>
      <c r="I26" s="72">
        <f t="shared" si="2"/>
        <v>0.7</v>
      </c>
      <c r="K26" s="46" t="s">
        <v>179</v>
      </c>
      <c r="L26" s="48">
        <v>3.3999999999999998E-3</v>
      </c>
    </row>
    <row r="27" spans="1:12" ht="16">
      <c r="E27" s="46" t="s">
        <v>180</v>
      </c>
      <c r="F27" s="56" t="s">
        <v>45</v>
      </c>
      <c r="G27" s="48">
        <v>3.3999999999999998E-3</v>
      </c>
      <c r="H27" s="48">
        <f t="shared" si="1"/>
        <v>4.1999999999999997E-3</v>
      </c>
      <c r="I27" s="72">
        <f t="shared" si="2"/>
        <v>0.23529411764705888</v>
      </c>
      <c r="K27" s="46" t="s">
        <v>180</v>
      </c>
      <c r="L27" s="48">
        <v>4.1999999999999997E-3</v>
      </c>
    </row>
    <row r="28" spans="1:12" ht="16">
      <c r="E28" s="46" t="s">
        <v>181</v>
      </c>
      <c r="F28" s="56" t="s">
        <v>47</v>
      </c>
      <c r="G28" s="48">
        <v>1.8E-3</v>
      </c>
      <c r="H28" s="48">
        <f t="shared" si="1"/>
        <v>2.8E-3</v>
      </c>
      <c r="I28" s="72">
        <f t="shared" si="2"/>
        <v>0.55555555555555558</v>
      </c>
      <c r="K28" s="46" t="s">
        <v>181</v>
      </c>
      <c r="L28" s="48">
        <v>2.8E-3</v>
      </c>
    </row>
    <row r="29" spans="1:12" ht="16">
      <c r="E29" s="46" t="s">
        <v>182</v>
      </c>
      <c r="F29" s="56" t="s">
        <v>48</v>
      </c>
      <c r="G29" s="48">
        <v>1.6899999999999998E-2</v>
      </c>
      <c r="H29" s="48">
        <f t="shared" si="1"/>
        <v>1.9699999999999999E-2</v>
      </c>
      <c r="I29" s="72">
        <f t="shared" si="2"/>
        <v>0.16568047337278102</v>
      </c>
      <c r="K29" s="46" t="s">
        <v>182</v>
      </c>
      <c r="L29" s="48">
        <v>1.9699999999999999E-2</v>
      </c>
    </row>
    <row r="30" spans="1:12" ht="16">
      <c r="E30" s="46" t="s">
        <v>107</v>
      </c>
      <c r="F30" s="56" t="s">
        <v>79</v>
      </c>
      <c r="G30" s="48">
        <v>2.06E-2</v>
      </c>
      <c r="H30" s="48">
        <f t="shared" si="1"/>
        <v>2.2800000000000001E-2</v>
      </c>
      <c r="I30" s="72">
        <f t="shared" si="2"/>
        <v>0.10679611650485432</v>
      </c>
      <c r="K30" s="127" t="s">
        <v>465</v>
      </c>
      <c r="L30" s="48">
        <v>2.2800000000000001E-2</v>
      </c>
    </row>
    <row r="31" spans="1:12" ht="16">
      <c r="E31" s="46" t="s">
        <v>59</v>
      </c>
      <c r="F31" s="56" t="s">
        <v>45</v>
      </c>
      <c r="G31" s="48">
        <v>4.1000000000000003E-3</v>
      </c>
      <c r="H31" s="48">
        <f t="shared" si="1"/>
        <v>7.1000000000000004E-3</v>
      </c>
      <c r="I31" s="72">
        <f t="shared" si="2"/>
        <v>0.73170731707317072</v>
      </c>
      <c r="K31" s="46" t="s">
        <v>59</v>
      </c>
      <c r="L31" s="48">
        <v>7.1000000000000004E-3</v>
      </c>
    </row>
    <row r="32" spans="1:12" ht="16">
      <c r="E32" s="46" t="s">
        <v>109</v>
      </c>
      <c r="F32" s="56" t="s">
        <v>124</v>
      </c>
      <c r="G32" s="48">
        <v>6.8999999999999999E-3</v>
      </c>
      <c r="H32" s="48">
        <f t="shared" si="1"/>
        <v>2.4299999999999999E-2</v>
      </c>
      <c r="I32" s="72">
        <f t="shared" si="2"/>
        <v>2.5217391304347823</v>
      </c>
      <c r="K32" s="46" t="s">
        <v>109</v>
      </c>
      <c r="L32" s="48">
        <v>2.4299999999999999E-2</v>
      </c>
    </row>
    <row r="33" spans="5:12" ht="16">
      <c r="E33" s="46" t="s">
        <v>110</v>
      </c>
      <c r="F33" s="56" t="s">
        <v>43</v>
      </c>
      <c r="G33" s="48">
        <v>7.3000000000000001E-3</v>
      </c>
      <c r="H33" s="48">
        <f t="shared" si="1"/>
        <v>7.3000000000000001E-3</v>
      </c>
      <c r="I33" s="72">
        <f t="shared" si="2"/>
        <v>0</v>
      </c>
      <c r="K33" s="46" t="s">
        <v>110</v>
      </c>
      <c r="L33" s="48">
        <v>7.3000000000000001E-3</v>
      </c>
    </row>
    <row r="34" spans="5:12" ht="16">
      <c r="E34" s="46" t="s">
        <v>111</v>
      </c>
      <c r="F34" s="56" t="s">
        <v>83</v>
      </c>
      <c r="G34" s="48">
        <v>1.44E-2</v>
      </c>
      <c r="H34" s="48">
        <f t="shared" si="1"/>
        <v>1.67E-2</v>
      </c>
      <c r="I34" s="72">
        <f t="shared" si="2"/>
        <v>0.15972222222222232</v>
      </c>
      <c r="K34" s="46" t="s">
        <v>111</v>
      </c>
      <c r="L34" s="48">
        <v>1.67E-2</v>
      </c>
    </row>
    <row r="35" spans="5:12" ht="16">
      <c r="E35" s="46" t="s">
        <v>112</v>
      </c>
      <c r="F35" s="56" t="s">
        <v>83</v>
      </c>
      <c r="G35" s="48">
        <v>1.3599999999999999E-2</v>
      </c>
      <c r="H35" s="48">
        <f t="shared" si="1"/>
        <v>1.7500000000000002E-2</v>
      </c>
      <c r="I35" s="72">
        <f t="shared" si="2"/>
        <v>0.28676470588235303</v>
      </c>
      <c r="K35" s="46" t="s">
        <v>112</v>
      </c>
      <c r="L35" s="48">
        <v>1.7500000000000002E-2</v>
      </c>
    </row>
    <row r="36" spans="5:12" ht="16">
      <c r="E36" s="46" t="s">
        <v>331</v>
      </c>
      <c r="F36" s="56" t="s">
        <v>100</v>
      </c>
      <c r="G36" s="48">
        <v>5.6300000000000003E-2</v>
      </c>
      <c r="H36" s="48">
        <f t="shared" si="1"/>
        <v>4.6899999999999997E-2</v>
      </c>
      <c r="I36" s="72">
        <f t="shared" si="2"/>
        <v>-0.16696269982238021</v>
      </c>
      <c r="K36" s="127" t="s">
        <v>331</v>
      </c>
      <c r="L36" s="48">
        <v>4.6899999999999997E-2</v>
      </c>
    </row>
    <row r="37" spans="5:12" ht="16">
      <c r="E37" s="46" t="s">
        <v>183</v>
      </c>
      <c r="F37" s="56" t="s">
        <v>42</v>
      </c>
      <c r="G37" s="48">
        <v>2.7000000000000001E-3</v>
      </c>
      <c r="H37" s="48">
        <f t="shared" si="1"/>
        <v>4.3E-3</v>
      </c>
      <c r="I37" s="72">
        <f t="shared" si="2"/>
        <v>0.59259259259259256</v>
      </c>
      <c r="K37" s="46" t="s">
        <v>183</v>
      </c>
      <c r="L37" s="48">
        <v>4.3E-3</v>
      </c>
    </row>
    <row r="38" spans="5:12" ht="16">
      <c r="E38" s="46" t="s">
        <v>114</v>
      </c>
      <c r="F38" s="56" t="s">
        <v>41</v>
      </c>
      <c r="G38" s="48">
        <v>7.1999999999999998E-3</v>
      </c>
      <c r="H38" s="48">
        <f t="shared" si="1"/>
        <v>6.7000000000000002E-3</v>
      </c>
      <c r="I38" s="72">
        <f t="shared" si="2"/>
        <v>-6.944444444444442E-2</v>
      </c>
      <c r="K38" s="46" t="s">
        <v>114</v>
      </c>
      <c r="L38" s="48">
        <v>6.7000000000000002E-3</v>
      </c>
    </row>
    <row r="39" spans="5:12" ht="16">
      <c r="E39" s="46" t="s">
        <v>145</v>
      </c>
      <c r="F39" s="56" t="s">
        <v>124</v>
      </c>
      <c r="G39" s="48">
        <v>1.41E-2</v>
      </c>
      <c r="H39" s="48">
        <f t="shared" si="1"/>
        <v>1.84E-2</v>
      </c>
      <c r="I39" s="72">
        <f t="shared" si="2"/>
        <v>0.30496453900709231</v>
      </c>
      <c r="K39" s="46" t="s">
        <v>145</v>
      </c>
      <c r="L39" s="48">
        <v>1.84E-2</v>
      </c>
    </row>
    <row r="40" spans="5:12" ht="16">
      <c r="E40" s="46" t="s">
        <v>116</v>
      </c>
      <c r="F40" s="56" t="s">
        <v>41</v>
      </c>
      <c r="G40" s="48">
        <v>3.3E-3</v>
      </c>
      <c r="H40" s="48">
        <f t="shared" si="1"/>
        <v>3.0999999999999999E-3</v>
      </c>
      <c r="I40" s="72">
        <f t="shared" si="2"/>
        <v>-6.0606060606060663E-2</v>
      </c>
      <c r="K40" s="46" t="s">
        <v>116</v>
      </c>
      <c r="L40" s="48">
        <v>3.0999999999999999E-3</v>
      </c>
    </row>
    <row r="41" spans="5:12" ht="16">
      <c r="E41" s="46" t="s">
        <v>118</v>
      </c>
      <c r="F41" s="56" t="s">
        <v>124</v>
      </c>
      <c r="G41" s="48">
        <v>9.9000000000000008E-3</v>
      </c>
      <c r="H41" s="48">
        <f t="shared" si="1"/>
        <v>2.7E-2</v>
      </c>
      <c r="I41" s="72">
        <f t="shared" si="2"/>
        <v>1.7272727272727271</v>
      </c>
      <c r="K41" s="46" t="s">
        <v>118</v>
      </c>
      <c r="L41" s="48">
        <v>2.7E-2</v>
      </c>
    </row>
    <row r="42" spans="5:12" ht="16">
      <c r="E42" s="46" t="s">
        <v>184</v>
      </c>
      <c r="F42" s="56" t="s">
        <v>49</v>
      </c>
      <c r="G42" s="48">
        <v>4.4400000000000002E-2</v>
      </c>
      <c r="H42" s="48">
        <f t="shared" si="1"/>
        <v>7.5999999999999998E-2</v>
      </c>
      <c r="I42" s="72">
        <f t="shared" si="2"/>
        <v>0.71171171171171155</v>
      </c>
      <c r="K42" s="127" t="s">
        <v>184</v>
      </c>
      <c r="L42" s="48">
        <v>7.5999999999999998E-2</v>
      </c>
    </row>
    <row r="43" spans="5:12" ht="16">
      <c r="E43" s="46" t="s">
        <v>119</v>
      </c>
      <c r="F43" s="56" t="s">
        <v>45</v>
      </c>
      <c r="G43" s="48">
        <v>3.5000000000000001E-3</v>
      </c>
      <c r="H43" s="48">
        <f t="shared" si="1"/>
        <v>6.7999999999999996E-3</v>
      </c>
      <c r="I43" s="72">
        <f t="shared" si="2"/>
        <v>0.94285714285714262</v>
      </c>
      <c r="K43" s="46" t="s">
        <v>119</v>
      </c>
      <c r="L43" s="48">
        <v>6.7999999999999996E-3</v>
      </c>
    </row>
    <row r="44" spans="5:12" ht="16">
      <c r="E44" s="46" t="s">
        <v>120</v>
      </c>
      <c r="F44" s="56" t="s">
        <v>45</v>
      </c>
      <c r="G44" s="48">
        <v>8.6E-3</v>
      </c>
      <c r="H44" s="48">
        <f t="shared" si="1"/>
        <v>7.9000000000000008E-3</v>
      </c>
      <c r="I44" s="72">
        <f t="shared" si="2"/>
        <v>-8.1395348837209225E-2</v>
      </c>
      <c r="K44" s="46" t="s">
        <v>120</v>
      </c>
      <c r="L44" s="48">
        <v>7.9000000000000008E-3</v>
      </c>
    </row>
    <row r="45" spans="5:12" ht="16">
      <c r="E45" s="46" t="s">
        <v>121</v>
      </c>
      <c r="F45" s="56" t="s">
        <v>43</v>
      </c>
      <c r="G45" s="48">
        <v>7.4000000000000003E-3</v>
      </c>
      <c r="H45" s="48">
        <f t="shared" si="1"/>
        <v>1.37E-2</v>
      </c>
      <c r="I45" s="72">
        <f t="shared" si="2"/>
        <v>0.85135135135135132</v>
      </c>
      <c r="K45" s="46" t="s">
        <v>121</v>
      </c>
      <c r="L45" s="48">
        <v>1.37E-2</v>
      </c>
    </row>
    <row r="46" spans="5:12" ht="16">
      <c r="E46" s="46" t="s">
        <v>13</v>
      </c>
      <c r="F46" s="56" t="s">
        <v>43</v>
      </c>
      <c r="G46" s="48">
        <v>7.9000000000000008E-3</v>
      </c>
      <c r="H46" s="48">
        <f t="shared" si="1"/>
        <v>1.4500000000000001E-2</v>
      </c>
      <c r="I46" s="72">
        <f t="shared" si="2"/>
        <v>0.83544303797468356</v>
      </c>
      <c r="K46" s="46" t="s">
        <v>13</v>
      </c>
      <c r="L46" s="48">
        <v>1.4500000000000001E-2</v>
      </c>
    </row>
    <row r="47" spans="5:12" ht="16">
      <c r="E47" s="46" t="s">
        <v>14</v>
      </c>
      <c r="F47" s="56" t="s">
        <v>43</v>
      </c>
      <c r="G47" s="48">
        <v>8.0999999999999996E-3</v>
      </c>
      <c r="H47" s="48">
        <f t="shared" si="1"/>
        <v>1.24E-2</v>
      </c>
      <c r="I47" s="72">
        <f t="shared" si="2"/>
        <v>0.53086419753086433</v>
      </c>
      <c r="K47" s="46" t="s">
        <v>14</v>
      </c>
      <c r="L47" s="48">
        <v>1.24E-2</v>
      </c>
    </row>
    <row r="48" spans="5:12" ht="16">
      <c r="E48" s="46" t="s">
        <v>16</v>
      </c>
      <c r="F48" s="56" t="s">
        <v>43</v>
      </c>
      <c r="G48" s="48">
        <v>1.5800000000000002E-2</v>
      </c>
      <c r="H48" s="48">
        <f t="shared" si="1"/>
        <v>2.1100000000000001E-2</v>
      </c>
      <c r="I48" s="72">
        <f t="shared" si="2"/>
        <v>0.33544303797468356</v>
      </c>
      <c r="K48" s="46" t="s">
        <v>16</v>
      </c>
      <c r="L48" s="48">
        <v>2.1100000000000001E-2</v>
      </c>
    </row>
    <row r="49" spans="5:12" ht="16">
      <c r="E49" s="46" t="s">
        <v>18</v>
      </c>
      <c r="F49" s="56" t="s">
        <v>79</v>
      </c>
      <c r="G49" s="48">
        <v>1.32E-2</v>
      </c>
      <c r="H49" s="48">
        <f t="shared" si="1"/>
        <v>2.53E-2</v>
      </c>
      <c r="I49" s="72">
        <f t="shared" si="2"/>
        <v>0.91666666666666674</v>
      </c>
      <c r="K49" s="46" t="s">
        <v>18</v>
      </c>
      <c r="L49" s="48">
        <v>2.53E-2</v>
      </c>
    </row>
    <row r="50" spans="5:12" ht="16">
      <c r="E50" s="46" t="s">
        <v>136</v>
      </c>
      <c r="F50" s="56" t="s">
        <v>48</v>
      </c>
      <c r="G50" s="48" t="s">
        <v>143</v>
      </c>
      <c r="H50" s="48">
        <v>3.8399999999999997E-2</v>
      </c>
      <c r="I50" s="72" t="str">
        <f>IF(H50="NA","NA",IF(G50="NA","NA",H50/G50-1))</f>
        <v>NA</v>
      </c>
      <c r="K50" s="46" t="s">
        <v>136</v>
      </c>
      <c r="L50" s="48">
        <v>3.8399999999999997E-2</v>
      </c>
    </row>
    <row r="51" spans="5:12" ht="16">
      <c r="E51" s="46" t="s">
        <v>187</v>
      </c>
      <c r="F51" s="56" t="s">
        <v>47</v>
      </c>
      <c r="G51" s="48">
        <v>1.9E-3</v>
      </c>
      <c r="H51" s="48">
        <f t="shared" ref="H51:H64" si="3">L51</f>
        <v>2.5999999999999999E-3</v>
      </c>
      <c r="I51" s="72">
        <f t="shared" si="2"/>
        <v>0.36842105263157898</v>
      </c>
      <c r="K51" s="46" t="s">
        <v>187</v>
      </c>
      <c r="L51" s="48">
        <v>2.5999999999999999E-3</v>
      </c>
    </row>
    <row r="52" spans="5:12" ht="16">
      <c r="E52" s="46" t="s">
        <v>21</v>
      </c>
      <c r="F52" s="56" t="s">
        <v>47</v>
      </c>
      <c r="G52" s="48">
        <v>2.0999999999999999E-3</v>
      </c>
      <c r="H52" s="48">
        <f t="shared" si="3"/>
        <v>3.8999999999999998E-3</v>
      </c>
      <c r="I52" s="72">
        <f t="shared" si="2"/>
        <v>0.85714285714285721</v>
      </c>
      <c r="K52" s="46" t="s">
        <v>21</v>
      </c>
      <c r="L52" s="48">
        <v>3.8999999999999998E-3</v>
      </c>
    </row>
    <row r="53" spans="5:12" ht="16">
      <c r="E53" s="46" t="s">
        <v>22</v>
      </c>
      <c r="F53" s="56" t="s">
        <v>78</v>
      </c>
      <c r="G53" s="184">
        <v>4.36E-2</v>
      </c>
      <c r="H53" s="48">
        <f t="shared" si="3"/>
        <v>6.2700000000000006E-2</v>
      </c>
      <c r="I53" s="72">
        <f t="shared" si="2"/>
        <v>0.43807339449541294</v>
      </c>
      <c r="K53" s="177" t="s">
        <v>22</v>
      </c>
      <c r="L53" s="184">
        <v>6.2700000000000006E-2</v>
      </c>
    </row>
    <row r="54" spans="5:12" ht="16">
      <c r="E54" s="46" t="s">
        <v>188</v>
      </c>
      <c r="F54" s="56" t="s">
        <v>49</v>
      </c>
      <c r="G54" s="48">
        <v>5.5300000000000002E-2</v>
      </c>
      <c r="H54" s="48">
        <f t="shared" si="3"/>
        <v>8.5199999999999998E-2</v>
      </c>
      <c r="I54" s="72">
        <f t="shared" si="2"/>
        <v>0.54068716094032543</v>
      </c>
      <c r="K54" s="46" t="s">
        <v>188</v>
      </c>
      <c r="L54" s="48">
        <v>8.5199999999999998E-2</v>
      </c>
    </row>
    <row r="55" spans="5:12" ht="16">
      <c r="E55" s="46" t="s">
        <v>23</v>
      </c>
      <c r="F55" s="56" t="s">
        <v>47</v>
      </c>
      <c r="G55" s="48">
        <v>1.9E-3</v>
      </c>
      <c r="H55" s="48">
        <f t="shared" si="3"/>
        <v>2.8E-3</v>
      </c>
      <c r="I55" s="72">
        <f t="shared" si="2"/>
        <v>0.47368421052631571</v>
      </c>
      <c r="K55" s="46" t="s">
        <v>23</v>
      </c>
      <c r="L55" s="48">
        <v>2.8E-3</v>
      </c>
    </row>
    <row r="56" spans="5:12" ht="16">
      <c r="E56" s="46" t="s">
        <v>24</v>
      </c>
      <c r="F56" s="56" t="s">
        <v>79</v>
      </c>
      <c r="G56" s="48">
        <v>3.1899999999999998E-2</v>
      </c>
      <c r="H56" s="48">
        <f t="shared" si="3"/>
        <v>2.3699999999999999E-2</v>
      </c>
      <c r="I56" s="72">
        <f t="shared" si="2"/>
        <v>-0.25705329153605017</v>
      </c>
      <c r="K56" s="127" t="s">
        <v>24</v>
      </c>
      <c r="L56" s="48">
        <v>2.3699999999999999E-2</v>
      </c>
    </row>
    <row r="57" spans="5:12" ht="16">
      <c r="E57" s="46" t="s">
        <v>25</v>
      </c>
      <c r="F57" s="56" t="s">
        <v>78</v>
      </c>
      <c r="G57" s="48">
        <v>3.6700000000000003E-2</v>
      </c>
      <c r="H57" s="48" t="str">
        <f t="shared" si="3"/>
        <v>NA</v>
      </c>
      <c r="I57" s="72" t="str">
        <f t="shared" si="2"/>
        <v>NA</v>
      </c>
      <c r="K57" s="46" t="s">
        <v>25</v>
      </c>
      <c r="L57" s="48" t="s">
        <v>143</v>
      </c>
    </row>
    <row r="58" spans="5:12" ht="16">
      <c r="E58" s="46" t="s">
        <v>26</v>
      </c>
      <c r="F58" s="56" t="s">
        <v>82</v>
      </c>
      <c r="G58" s="48">
        <v>1.26E-2</v>
      </c>
      <c r="H58" s="48">
        <f t="shared" si="3"/>
        <v>1.7899999999999999E-2</v>
      </c>
      <c r="I58" s="72">
        <f t="shared" si="2"/>
        <v>0.42063492063492047</v>
      </c>
      <c r="K58" s="46" t="s">
        <v>26</v>
      </c>
      <c r="L58" s="48">
        <v>1.7899999999999999E-2</v>
      </c>
    </row>
    <row r="59" spans="5:12" ht="16">
      <c r="E59" s="46" t="s">
        <v>28</v>
      </c>
      <c r="F59" s="56" t="s">
        <v>43</v>
      </c>
      <c r="G59" s="48">
        <v>1.3100000000000001E-2</v>
      </c>
      <c r="H59" s="48">
        <f t="shared" si="3"/>
        <v>1.9400000000000001E-2</v>
      </c>
      <c r="I59" s="72">
        <f t="shared" si="2"/>
        <v>0.48091603053435117</v>
      </c>
      <c r="K59" s="46" t="s">
        <v>28</v>
      </c>
      <c r="L59" s="48">
        <v>1.9400000000000001E-2</v>
      </c>
    </row>
    <row r="60" spans="5:12" ht="16">
      <c r="E60" s="46" t="s">
        <v>29</v>
      </c>
      <c r="F60" s="56" t="s">
        <v>83</v>
      </c>
      <c r="G60" s="48">
        <v>9.1999999999999998E-3</v>
      </c>
      <c r="H60" s="48">
        <f t="shared" si="3"/>
        <v>1.6400000000000001E-2</v>
      </c>
      <c r="I60" s="72">
        <f t="shared" si="2"/>
        <v>0.78260869565217406</v>
      </c>
      <c r="K60" s="46" t="s">
        <v>29</v>
      </c>
      <c r="L60" s="48">
        <v>1.6400000000000001E-2</v>
      </c>
    </row>
    <row r="61" spans="5:12" ht="16">
      <c r="E61" s="46" t="s">
        <v>30</v>
      </c>
      <c r="F61" s="56" t="s">
        <v>42</v>
      </c>
      <c r="G61" s="48">
        <v>6.7999999999999996E-3</v>
      </c>
      <c r="H61" s="48">
        <f t="shared" si="3"/>
        <v>1.4500000000000001E-2</v>
      </c>
      <c r="I61" s="72">
        <f t="shared" si="2"/>
        <v>1.132352941176471</v>
      </c>
      <c r="K61" s="46" t="s">
        <v>30</v>
      </c>
      <c r="L61" s="48">
        <v>1.4500000000000001E-2</v>
      </c>
    </row>
    <row r="62" spans="5:12" ht="16">
      <c r="E62" s="46" t="s">
        <v>189</v>
      </c>
      <c r="F62" s="56" t="s">
        <v>124</v>
      </c>
      <c r="G62" s="48">
        <v>5.5999999999999999E-3</v>
      </c>
      <c r="H62" s="48">
        <f t="shared" si="3"/>
        <v>8.0999999999999996E-3</v>
      </c>
      <c r="I62" s="72">
        <f t="shared" si="2"/>
        <v>0.4464285714285714</v>
      </c>
      <c r="K62" s="46" t="s">
        <v>189</v>
      </c>
      <c r="L62" s="48">
        <v>8.0999999999999996E-3</v>
      </c>
    </row>
    <row r="63" spans="5:12" ht="16">
      <c r="E63" s="46" t="s">
        <v>74</v>
      </c>
      <c r="F63" s="56" t="s">
        <v>46</v>
      </c>
      <c r="G63" s="48">
        <v>7.4000000000000003E-3</v>
      </c>
      <c r="H63" s="48">
        <f t="shared" si="3"/>
        <v>7.9000000000000008E-3</v>
      </c>
      <c r="I63" s="72">
        <f t="shared" si="2"/>
        <v>6.7567567567567544E-2</v>
      </c>
      <c r="K63" s="46" t="s">
        <v>74</v>
      </c>
      <c r="L63" s="48">
        <v>7.9000000000000008E-3</v>
      </c>
    </row>
    <row r="64" spans="5:12" ht="16">
      <c r="E64" s="46" t="s">
        <v>0</v>
      </c>
      <c r="F64" s="56" t="s">
        <v>124</v>
      </c>
      <c r="G64" s="48">
        <v>1.24E-2</v>
      </c>
      <c r="H64" s="48">
        <f t="shared" si="3"/>
        <v>3.1699999999999999E-2</v>
      </c>
      <c r="I64" s="72">
        <f t="shared" si="2"/>
        <v>1.556451612903226</v>
      </c>
      <c r="K64" s="46" t="s">
        <v>0</v>
      </c>
      <c r="L64" s="48">
        <v>3.1699999999999999E-2</v>
      </c>
    </row>
    <row r="65" spans="5:12" ht="16">
      <c r="E65" s="46" t="s">
        <v>1</v>
      </c>
      <c r="F65" s="56" t="s">
        <v>124</v>
      </c>
      <c r="G65" s="48">
        <v>1.7000000000000001E-2</v>
      </c>
      <c r="H65" s="48">
        <v>6.2100000000000002E-2</v>
      </c>
      <c r="I65" s="72">
        <f t="shared" si="2"/>
        <v>2.6529411764705881</v>
      </c>
      <c r="K65" s="46" t="s">
        <v>1</v>
      </c>
      <c r="L65" s="48" t="s">
        <v>143</v>
      </c>
    </row>
    <row r="66" spans="5:12" ht="16">
      <c r="E66" s="46" t="s">
        <v>227</v>
      </c>
      <c r="F66" s="56" t="s">
        <v>49</v>
      </c>
      <c r="G66" s="48">
        <v>3.3599999999999998E-2</v>
      </c>
      <c r="H66" s="48">
        <f t="shared" ref="H66:H82" si="4">L66</f>
        <v>5.4199999999999998E-2</v>
      </c>
      <c r="I66" s="72">
        <f t="shared" si="2"/>
        <v>0.61309523809523814</v>
      </c>
      <c r="K66" s="127" t="s">
        <v>227</v>
      </c>
      <c r="L66" s="48">
        <v>5.4199999999999998E-2</v>
      </c>
    </row>
    <row r="67" spans="5:12" ht="16">
      <c r="E67" s="46" t="s">
        <v>2</v>
      </c>
      <c r="F67" s="56" t="s">
        <v>41</v>
      </c>
      <c r="G67" s="48">
        <v>8.8000000000000005E-3</v>
      </c>
      <c r="H67" s="48">
        <f t="shared" si="4"/>
        <v>9.5999999999999992E-3</v>
      </c>
      <c r="I67" s="72">
        <f t="shared" si="2"/>
        <v>9.0909090909090828E-2</v>
      </c>
      <c r="K67" s="46" t="s">
        <v>2</v>
      </c>
      <c r="L67" s="48">
        <v>9.5999999999999992E-3</v>
      </c>
    </row>
    <row r="68" spans="5:12" ht="16">
      <c r="E68" s="46" t="s">
        <v>135</v>
      </c>
      <c r="F68" s="56" t="s">
        <v>81</v>
      </c>
      <c r="G68" s="48">
        <v>2.6599999999999999E-2</v>
      </c>
      <c r="H68" s="48">
        <f t="shared" si="4"/>
        <v>5.3900000000000003E-2</v>
      </c>
      <c r="I68" s="72">
        <f t="shared" si="2"/>
        <v>1.0263157894736845</v>
      </c>
      <c r="K68" s="127" t="s">
        <v>135</v>
      </c>
      <c r="L68" s="48">
        <v>5.3900000000000003E-2</v>
      </c>
    </row>
    <row r="69" spans="5:12" ht="16">
      <c r="E69" s="46" t="s">
        <v>147</v>
      </c>
      <c r="F69" s="56" t="s">
        <v>81</v>
      </c>
      <c r="G69" s="48">
        <v>1.37E-2</v>
      </c>
      <c r="H69" s="48">
        <f t="shared" si="4"/>
        <v>2.93E-2</v>
      </c>
      <c r="I69" s="72">
        <f t="shared" ref="I69:I82" si="5">IF(H69="NA","NA",H69/G69-1)</f>
        <v>1.1386861313868613</v>
      </c>
      <c r="K69" s="127" t="s">
        <v>147</v>
      </c>
      <c r="L69" s="48">
        <v>2.93E-2</v>
      </c>
    </row>
    <row r="70" spans="5:12" ht="16">
      <c r="E70" s="46" t="s">
        <v>61</v>
      </c>
      <c r="F70" s="56" t="s">
        <v>42</v>
      </c>
      <c r="G70" s="48">
        <v>6.3E-3</v>
      </c>
      <c r="H70" s="48">
        <f t="shared" si="4"/>
        <v>7.4999999999999997E-3</v>
      </c>
      <c r="I70" s="72">
        <f t="shared" si="5"/>
        <v>0.19047619047619047</v>
      </c>
      <c r="K70" s="46" t="s">
        <v>61</v>
      </c>
      <c r="L70" s="48">
        <v>7.4999999999999997E-3</v>
      </c>
    </row>
    <row r="71" spans="5:12" ht="16">
      <c r="E71" s="46" t="s">
        <v>190</v>
      </c>
      <c r="F71" s="56" t="s">
        <v>82</v>
      </c>
      <c r="G71" s="48">
        <v>8.6999999999999994E-3</v>
      </c>
      <c r="H71" s="48">
        <f t="shared" si="4"/>
        <v>0.01</v>
      </c>
      <c r="I71" s="72">
        <f t="shared" si="5"/>
        <v>0.14942528735632199</v>
      </c>
      <c r="K71" s="46" t="s">
        <v>190</v>
      </c>
      <c r="L71" s="48">
        <v>0.01</v>
      </c>
    </row>
    <row r="72" spans="5:12" ht="16">
      <c r="E72" s="46" t="s">
        <v>76</v>
      </c>
      <c r="F72" s="56" t="s">
        <v>124</v>
      </c>
      <c r="G72" s="48">
        <v>2.8500000000000001E-2</v>
      </c>
      <c r="H72" s="48">
        <f t="shared" si="4"/>
        <v>3.5099999999999999E-2</v>
      </c>
      <c r="I72" s="72">
        <f t="shared" si="5"/>
        <v>0.23157894736842088</v>
      </c>
      <c r="K72" s="46" t="s">
        <v>76</v>
      </c>
      <c r="L72" s="48">
        <v>3.5099999999999999E-2</v>
      </c>
    </row>
    <row r="73" spans="5:12" ht="16">
      <c r="E73" s="46" t="s">
        <v>138</v>
      </c>
      <c r="F73" s="56" t="s">
        <v>82</v>
      </c>
      <c r="G73" s="48">
        <v>6.0000000000000001E-3</v>
      </c>
      <c r="H73" s="48">
        <f t="shared" si="4"/>
        <v>8.2000000000000007E-3</v>
      </c>
      <c r="I73" s="72">
        <f t="shared" si="5"/>
        <v>0.3666666666666667</v>
      </c>
      <c r="K73" s="46" t="s">
        <v>138</v>
      </c>
      <c r="L73" s="48">
        <v>8.2000000000000007E-3</v>
      </c>
    </row>
    <row r="74" spans="5:12" ht="16">
      <c r="E74" s="46" t="s">
        <v>34</v>
      </c>
      <c r="F74" s="56" t="s">
        <v>47</v>
      </c>
      <c r="G74" s="48">
        <v>1.9E-3</v>
      </c>
      <c r="H74" s="48">
        <f t="shared" si="4"/>
        <v>2.5999999999999999E-3</v>
      </c>
      <c r="I74" s="72">
        <f t="shared" si="5"/>
        <v>0.36842105263157898</v>
      </c>
      <c r="K74" s="46" t="s">
        <v>34</v>
      </c>
      <c r="L74" s="48">
        <v>2.5999999999999999E-3</v>
      </c>
    </row>
    <row r="75" spans="5:12" ht="16">
      <c r="E75" s="46" t="s">
        <v>35</v>
      </c>
      <c r="F75" s="56" t="s">
        <v>47</v>
      </c>
      <c r="G75" s="48">
        <v>1.1000000000000001E-3</v>
      </c>
      <c r="H75" s="48">
        <f t="shared" si="4"/>
        <v>1.6999999999999999E-3</v>
      </c>
      <c r="I75" s="72">
        <f t="shared" si="5"/>
        <v>0.54545454545454519</v>
      </c>
      <c r="K75" s="46" t="s">
        <v>35</v>
      </c>
      <c r="L75" s="48">
        <v>1.6999999999999999E-3</v>
      </c>
    </row>
    <row r="76" spans="5:12" ht="16">
      <c r="E76" s="46" t="s">
        <v>65</v>
      </c>
      <c r="F76" s="56" t="s">
        <v>82</v>
      </c>
      <c r="G76" s="48">
        <v>5.1999999999999998E-3</v>
      </c>
      <c r="H76" s="48">
        <f t="shared" si="4"/>
        <v>8.6999999999999994E-3</v>
      </c>
      <c r="I76" s="72">
        <f t="shared" si="5"/>
        <v>0.67307692307692313</v>
      </c>
      <c r="K76" s="46" t="s">
        <v>65</v>
      </c>
      <c r="L76" s="48">
        <v>8.6999999999999994E-3</v>
      </c>
    </row>
    <row r="77" spans="5:12" ht="16">
      <c r="E77" s="46" t="s">
        <v>77</v>
      </c>
      <c r="F77" s="56" t="s">
        <v>49</v>
      </c>
      <c r="G77" s="48">
        <v>8.8200000000000001E-2</v>
      </c>
      <c r="H77" s="48">
        <f t="shared" si="4"/>
        <v>8.6900000000000005E-2</v>
      </c>
      <c r="I77" s="72">
        <f t="shared" si="5"/>
        <v>-1.473922902494329E-2</v>
      </c>
      <c r="K77" s="46" t="s">
        <v>77</v>
      </c>
      <c r="L77" s="48">
        <v>8.6900000000000005E-2</v>
      </c>
    </row>
    <row r="78" spans="5:12" ht="16">
      <c r="E78" s="46" t="s">
        <v>66</v>
      </c>
      <c r="F78" s="56" t="s">
        <v>48</v>
      </c>
      <c r="G78" s="48">
        <v>5.5100000000000003E-2</v>
      </c>
      <c r="H78" s="48">
        <f t="shared" si="4"/>
        <v>5.2999999999999999E-2</v>
      </c>
      <c r="I78" s="72">
        <f t="shared" si="5"/>
        <v>-3.8112522686025496E-2</v>
      </c>
      <c r="K78" s="46" t="s">
        <v>66</v>
      </c>
      <c r="L78" s="48">
        <v>5.2999999999999999E-2</v>
      </c>
    </row>
    <row r="79" spans="5:12" ht="16">
      <c r="E79" s="46" t="s">
        <v>57</v>
      </c>
      <c r="F79" s="56" t="s">
        <v>45</v>
      </c>
      <c r="G79" s="48">
        <v>1.8E-3</v>
      </c>
      <c r="H79" s="48">
        <f t="shared" si="4"/>
        <v>3.5999999999999999E-3</v>
      </c>
      <c r="I79" s="72">
        <f t="shared" si="5"/>
        <v>1</v>
      </c>
      <c r="K79" s="46" t="s">
        <v>57</v>
      </c>
      <c r="L79" s="48">
        <v>3.5999999999999999E-3</v>
      </c>
    </row>
    <row r="80" spans="5:12" ht="16">
      <c r="E80" s="46" t="s">
        <v>356</v>
      </c>
      <c r="F80" s="56" t="s">
        <v>47</v>
      </c>
      <c r="G80" s="48">
        <v>1.9E-3</v>
      </c>
      <c r="H80" s="48">
        <f t="shared" si="4"/>
        <v>3.2000000000000002E-3</v>
      </c>
      <c r="I80" s="72">
        <f t="shared" si="5"/>
        <v>0.6842105263157896</v>
      </c>
      <c r="K80" s="46" t="s">
        <v>356</v>
      </c>
      <c r="L80" s="48">
        <v>3.2000000000000002E-3</v>
      </c>
    </row>
    <row r="81" spans="5:12" ht="16">
      <c r="E81" s="46" t="s">
        <v>69</v>
      </c>
      <c r="F81" s="56" t="s">
        <v>83</v>
      </c>
      <c r="G81" s="48">
        <v>1.46E-2</v>
      </c>
      <c r="H81" s="48">
        <f t="shared" si="4"/>
        <v>1.43E-2</v>
      </c>
      <c r="I81" s="72">
        <f t="shared" si="5"/>
        <v>-2.0547945205479423E-2</v>
      </c>
      <c r="K81" s="127" t="s">
        <v>69</v>
      </c>
      <c r="L81" s="48">
        <v>1.43E-2</v>
      </c>
    </row>
    <row r="82" spans="5:12" ht="16">
      <c r="E82" s="46" t="s">
        <v>71</v>
      </c>
      <c r="F82" s="56" t="s">
        <v>81</v>
      </c>
      <c r="G82" s="48">
        <v>1.5599999999999999E-2</v>
      </c>
      <c r="H82" s="48">
        <f t="shared" si="4"/>
        <v>2.07E-2</v>
      </c>
      <c r="I82" s="72">
        <f t="shared" si="5"/>
        <v>0.32692307692307687</v>
      </c>
      <c r="K82" s="46" t="s">
        <v>71</v>
      </c>
      <c r="L82" s="48">
        <v>2.07E-2</v>
      </c>
    </row>
    <row r="83" spans="5:12" ht="16">
      <c r="E83" s="119" t="s">
        <v>148</v>
      </c>
      <c r="F83" s="119"/>
      <c r="G83"/>
      <c r="I83" s="120">
        <f>AVERAGE(I2:I82)</f>
        <v>0.5151902955871962</v>
      </c>
    </row>
    <row r="84" spans="5:12" ht="16">
      <c r="E84" s="119" t="s">
        <v>149</v>
      </c>
      <c r="F84" s="119"/>
      <c r="G84"/>
      <c r="I84" s="120">
        <f>MEDIAN(I2:I82)</f>
        <v>0.43807339449541294</v>
      </c>
    </row>
  </sheetData>
  <pageMargins left="0.75" right="0.75" top="1" bottom="1" header="0.3" footer="0.3"/>
  <pageSetup orientation="landscape"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topLeftCell="A58" workbookViewId="0">
      <selection activeCell="H23" sqref="H23:J110"/>
    </sheetView>
  </sheetViews>
  <sheetFormatPr baseColWidth="10" defaultRowHeight="14"/>
  <cols>
    <col min="1" max="1" width="24.83203125" style="31" bestFit="1" customWidth="1"/>
    <col min="2" max="2" width="19" style="31" customWidth="1"/>
    <col min="3" max="3" width="19.33203125" style="31" customWidth="1"/>
    <col min="4" max="4" width="28.1640625" style="31" customWidth="1"/>
    <col min="8" max="8" width="19.6640625" customWidth="1"/>
    <col min="9" max="9" width="12.1640625" style="47" bestFit="1" customWidth="1"/>
    <col min="10" max="10" width="10.83203125" style="25"/>
  </cols>
  <sheetData>
    <row r="1" spans="1:5" ht="17">
      <c r="A1" s="66" t="s">
        <v>75</v>
      </c>
      <c r="B1" s="67" t="s">
        <v>271</v>
      </c>
      <c r="C1" s="122" t="s">
        <v>546</v>
      </c>
      <c r="D1" s="67" t="s">
        <v>302</v>
      </c>
      <c r="E1" s="74"/>
    </row>
    <row r="2" spans="1:5" ht="16">
      <c r="A2" s="46" t="str">
        <f>'Sovereign Ratings (Moody''s,S&amp;P)'!A2</f>
        <v>Abu Dhabi</v>
      </c>
      <c r="B2" s="56" t="str">
        <f>'Sovereign Ratings (Moody''s,S&amp;P)'!C2</f>
        <v>Aa2</v>
      </c>
      <c r="C2" s="123">
        <f>VLOOKUP(A2,$H$24:$J$111,2,FALSE)</f>
        <v>7.7999999999999996E-3</v>
      </c>
      <c r="D2" s="57">
        <f t="shared" ref="D2:D65" si="0">IF(C2="NA","NA",IF(C2&gt;$C$153,C2-$C$153,0))</f>
        <v>4.5999999999999999E-3</v>
      </c>
    </row>
    <row r="3" spans="1:5" ht="16">
      <c r="A3" s="46" t="str">
        <f>'Sovereign Ratings (Moody''s,S&amp;P)'!A3</f>
        <v>Albania</v>
      </c>
      <c r="B3" s="56" t="str">
        <f>'Sovereign Ratings (Moody''s,S&amp;P)'!C3</f>
        <v>B1</v>
      </c>
      <c r="C3" s="123" t="s">
        <v>143</v>
      </c>
      <c r="D3" s="57" t="str">
        <f t="shared" si="0"/>
        <v>NA</v>
      </c>
    </row>
    <row r="4" spans="1:5" ht="16">
      <c r="A4" s="46" t="str">
        <f>'Sovereign Ratings (Moody''s,S&amp;P)'!A4</f>
        <v>Andorra (Principality of)</v>
      </c>
      <c r="B4" s="56" t="str">
        <f>'Sovereign Ratings (Moody''s,S&amp;P)'!C4</f>
        <v>Baa2</v>
      </c>
      <c r="C4" s="123" t="s">
        <v>143</v>
      </c>
      <c r="D4" s="57" t="str">
        <f t="shared" si="0"/>
        <v>NA</v>
      </c>
    </row>
    <row r="5" spans="1:5" ht="16">
      <c r="A5" s="46" t="str">
        <f>'Sovereign Ratings (Moody''s,S&amp;P)'!A5</f>
        <v>Angola</v>
      </c>
      <c r="B5" s="56" t="str">
        <f>'Sovereign Ratings (Moody''s,S&amp;P)'!C5</f>
        <v>B3</v>
      </c>
      <c r="C5" s="123">
        <f>VLOOKUP(A5,$H$24:$J$111,2,FALSE)</f>
        <v>6.5500000000000003E-2</v>
      </c>
      <c r="D5" s="57">
        <f t="shared" si="0"/>
        <v>6.2300000000000001E-2</v>
      </c>
    </row>
    <row r="6" spans="1:5" ht="16">
      <c r="A6" s="46" t="str">
        <f>'Sovereign Ratings (Moody''s,S&amp;P)'!A6</f>
        <v>Argentina</v>
      </c>
      <c r="B6" s="56" t="str">
        <f>'Sovereign Ratings (Moody''s,S&amp;P)'!C6</f>
        <v>Ca</v>
      </c>
      <c r="C6" s="123" t="s">
        <v>143</v>
      </c>
      <c r="D6" s="57" t="str">
        <f t="shared" si="0"/>
        <v>NA</v>
      </c>
    </row>
    <row r="7" spans="1:5" ht="16">
      <c r="A7" s="46" t="str">
        <f>'Sovereign Ratings (Moody''s,S&amp;P)'!A7</f>
        <v>Armenia</v>
      </c>
      <c r="B7" s="56" t="str">
        <f>'Sovereign Ratings (Moody''s,S&amp;P)'!C7</f>
        <v>Ba3</v>
      </c>
      <c r="C7" s="123" t="s">
        <v>143</v>
      </c>
      <c r="D7" s="57" t="str">
        <f t="shared" si="0"/>
        <v>NA</v>
      </c>
    </row>
    <row r="8" spans="1:5" ht="16">
      <c r="A8" s="46" t="str">
        <f>'Sovereign Ratings (Moody''s,S&amp;P)'!A8</f>
        <v>Aruba</v>
      </c>
      <c r="B8" s="56" t="str">
        <f>'Sovereign Ratings (Moody''s,S&amp;P)'!C8</f>
        <v>Baa2</v>
      </c>
      <c r="C8" s="123" t="s">
        <v>143</v>
      </c>
      <c r="D8" s="57" t="str">
        <f t="shared" si="0"/>
        <v>NA</v>
      </c>
    </row>
    <row r="9" spans="1:5" ht="16">
      <c r="A9" s="46" t="str">
        <f>'Sovereign Ratings (Moody''s,S&amp;P)'!A9</f>
        <v>Australia</v>
      </c>
      <c r="B9" s="56" t="str">
        <f>'Sovereign Ratings (Moody''s,S&amp;P)'!C9</f>
        <v>Aaa</v>
      </c>
      <c r="C9" s="123">
        <f>VLOOKUP(A9,$H$24:$J$111,2,FALSE)</f>
        <v>3.3999999999999998E-3</v>
      </c>
      <c r="D9" s="57">
        <f t="shared" si="0"/>
        <v>1.9999999999999966E-4</v>
      </c>
    </row>
    <row r="10" spans="1:5" ht="16">
      <c r="A10" s="46" t="str">
        <f>'Sovereign Ratings (Moody''s,S&amp;P)'!A10</f>
        <v>Austria</v>
      </c>
      <c r="B10" s="56" t="str">
        <f>'Sovereign Ratings (Moody''s,S&amp;P)'!C10</f>
        <v>Aa1</v>
      </c>
      <c r="C10" s="123">
        <f>VLOOKUP(A10,$H$24:$J$111,2,FALSE)</f>
        <v>2.3999999999999998E-3</v>
      </c>
      <c r="D10" s="57">
        <f t="shared" si="0"/>
        <v>0</v>
      </c>
    </row>
    <row r="11" spans="1:5" ht="16">
      <c r="A11" s="46" t="str">
        <f>'Sovereign Ratings (Moody''s,S&amp;P)'!A11</f>
        <v>Azerbaijan</v>
      </c>
      <c r="B11" s="56" t="str">
        <f>'Sovereign Ratings (Moody''s,S&amp;P)'!C11</f>
        <v>Ba1</v>
      </c>
      <c r="C11" s="123" t="s">
        <v>143</v>
      </c>
      <c r="D11" s="57" t="str">
        <f t="shared" si="0"/>
        <v>NA</v>
      </c>
    </row>
    <row r="12" spans="1:5" ht="16">
      <c r="A12" s="46" t="str">
        <f>'Sovereign Ratings (Moody''s,S&amp;P)'!A12</f>
        <v>Bahamas</v>
      </c>
      <c r="B12" s="56" t="str">
        <f>'Sovereign Ratings (Moody''s,S&amp;P)'!C12</f>
        <v>B1</v>
      </c>
      <c r="C12" s="123" t="s">
        <v>143</v>
      </c>
      <c r="D12" s="57" t="str">
        <f t="shared" si="0"/>
        <v>NA</v>
      </c>
    </row>
    <row r="13" spans="1:5" ht="16">
      <c r="A13" s="46" t="str">
        <f>'Sovereign Ratings (Moody''s,S&amp;P)'!A13</f>
        <v>Bahrain</v>
      </c>
      <c r="B13" s="56" t="str">
        <f>'Sovereign Ratings (Moody''s,S&amp;P)'!C13</f>
        <v>B2</v>
      </c>
      <c r="C13" s="123">
        <f>VLOOKUP(A13,$H$24:$J$111,2,FALSE)</f>
        <v>2.7799999999999998E-2</v>
      </c>
      <c r="D13" s="57">
        <f t="shared" si="0"/>
        <v>2.4599999999999997E-2</v>
      </c>
    </row>
    <row r="14" spans="1:5" ht="16">
      <c r="A14" s="46" t="str">
        <f>'Sovereign Ratings (Moody''s,S&amp;P)'!A14</f>
        <v>Bangladesh</v>
      </c>
      <c r="B14" s="56" t="str">
        <f>'Sovereign Ratings (Moody''s,S&amp;P)'!C14</f>
        <v>Ba3</v>
      </c>
      <c r="C14" s="123" t="s">
        <v>143</v>
      </c>
      <c r="D14" s="57" t="str">
        <f t="shared" si="0"/>
        <v>NA</v>
      </c>
    </row>
    <row r="15" spans="1:5" ht="16">
      <c r="A15" s="46" t="str">
        <f>'Sovereign Ratings (Moody''s,S&amp;P)'!A15</f>
        <v>Barbados</v>
      </c>
      <c r="B15" s="56" t="str">
        <f>'Sovereign Ratings (Moody''s,S&amp;P)'!C15</f>
        <v>Caa1</v>
      </c>
      <c r="C15" s="123" t="s">
        <v>143</v>
      </c>
      <c r="D15" s="57" t="str">
        <f t="shared" si="0"/>
        <v>NA</v>
      </c>
    </row>
    <row r="16" spans="1:5" ht="16">
      <c r="A16" s="46" t="str">
        <f>'Sovereign Ratings (Moody''s,S&amp;P)'!A16</f>
        <v>Belarus</v>
      </c>
      <c r="B16" s="56" t="str">
        <f>'Sovereign Ratings (Moody''s,S&amp;P)'!C16</f>
        <v>Ca</v>
      </c>
      <c r="C16" s="123" t="s">
        <v>143</v>
      </c>
      <c r="D16" s="57" t="str">
        <f t="shared" si="0"/>
        <v>NA</v>
      </c>
    </row>
    <row r="17" spans="1:10" ht="16">
      <c r="A17" s="46" t="str">
        <f>'Sovereign Ratings (Moody''s,S&amp;P)'!A17</f>
        <v>Belgium</v>
      </c>
      <c r="B17" s="56" t="str">
        <f>'Sovereign Ratings (Moody''s,S&amp;P)'!C17</f>
        <v>Aa3</v>
      </c>
      <c r="C17" s="123">
        <f>VLOOKUP(A17,$H$24:$J$111,2,FALSE)</f>
        <v>3.7000000000000002E-3</v>
      </c>
      <c r="D17" s="57">
        <f t="shared" si="0"/>
        <v>5.0000000000000001E-4</v>
      </c>
    </row>
    <row r="18" spans="1:10" ht="16">
      <c r="A18" s="46" t="str">
        <f>'Sovereign Ratings (Moody''s,S&amp;P)'!A18</f>
        <v>Belize</v>
      </c>
      <c r="B18" s="56" t="str">
        <f>'Sovereign Ratings (Moody''s,S&amp;P)'!C18</f>
        <v>Caa2</v>
      </c>
      <c r="C18" s="123" t="s">
        <v>143</v>
      </c>
      <c r="D18" s="57" t="str">
        <f t="shared" si="0"/>
        <v>NA</v>
      </c>
    </row>
    <row r="19" spans="1:10" ht="16">
      <c r="A19" s="46" t="str">
        <f>'Sovereign Ratings (Moody''s,S&amp;P)'!A19</f>
        <v>Benin</v>
      </c>
      <c r="B19" s="56" t="str">
        <f>'Sovereign Ratings (Moody''s,S&amp;P)'!C19</f>
        <v>B1</v>
      </c>
      <c r="C19" s="123" t="s">
        <v>143</v>
      </c>
      <c r="D19" s="57" t="str">
        <f t="shared" si="0"/>
        <v>NA</v>
      </c>
    </row>
    <row r="20" spans="1:10" ht="16">
      <c r="A20" s="46" t="str">
        <f>'Sovereign Ratings (Moody''s,S&amp;P)'!A20</f>
        <v>Bermuda</v>
      </c>
      <c r="B20" s="56" t="str">
        <f>'Sovereign Ratings (Moody''s,S&amp;P)'!C20</f>
        <v>A2</v>
      </c>
      <c r="C20" s="123" t="s">
        <v>143</v>
      </c>
      <c r="D20" s="57" t="str">
        <f t="shared" si="0"/>
        <v>NA</v>
      </c>
    </row>
    <row r="21" spans="1:10" ht="16">
      <c r="A21" s="46" t="str">
        <f>'Sovereign Ratings (Moody''s,S&amp;P)'!A21</f>
        <v>Bolivia</v>
      </c>
      <c r="B21" s="56" t="str">
        <f>'Sovereign Ratings (Moody''s,S&amp;P)'!C21</f>
        <v>B2</v>
      </c>
      <c r="C21" s="123" t="s">
        <v>143</v>
      </c>
      <c r="D21" s="57" t="str">
        <f t="shared" si="0"/>
        <v>NA</v>
      </c>
    </row>
    <row r="22" spans="1:10" ht="16">
      <c r="A22" s="46" t="str">
        <f>'Sovereign Ratings (Moody''s,S&amp;P)'!A22</f>
        <v>Bosnia and Herzegovina</v>
      </c>
      <c r="B22" s="56" t="str">
        <f>'Sovereign Ratings (Moody''s,S&amp;P)'!C22</f>
        <v>B3</v>
      </c>
      <c r="C22" s="123" t="s">
        <v>143</v>
      </c>
      <c r="D22" s="57" t="str">
        <f t="shared" si="0"/>
        <v>NA</v>
      </c>
    </row>
    <row r="23" spans="1:10" ht="19" customHeight="1">
      <c r="A23" s="46" t="str">
        <f>'Sovereign Ratings (Moody''s,S&amp;P)'!A23</f>
        <v>Botswana</v>
      </c>
      <c r="B23" s="56" t="str">
        <f>'Sovereign Ratings (Moody''s,S&amp;P)'!C23</f>
        <v>A3</v>
      </c>
      <c r="C23" s="123" t="s">
        <v>143</v>
      </c>
      <c r="D23" s="57" t="str">
        <f t="shared" si="0"/>
        <v>NA</v>
      </c>
      <c r="H23" s="66" t="s">
        <v>75</v>
      </c>
      <c r="I23" s="143">
        <v>43463</v>
      </c>
      <c r="J23" s="124" t="s">
        <v>455</v>
      </c>
    </row>
    <row r="24" spans="1:10" ht="16">
      <c r="A24" s="46" t="str">
        <f>'Sovereign Ratings (Moody''s,S&amp;P)'!A24</f>
        <v>Brazil</v>
      </c>
      <c r="B24" s="56" t="str">
        <f>'Sovereign Ratings (Moody''s,S&amp;P)'!C24</f>
        <v>Ba2</v>
      </c>
      <c r="C24" s="123">
        <f>VLOOKUP(A24,$H$24:$J$111,2,FALSE)</f>
        <v>3.5200000000000002E-2</v>
      </c>
      <c r="D24" s="57">
        <f t="shared" si="0"/>
        <v>3.2000000000000001E-2</v>
      </c>
      <c r="H24" s="46" t="s">
        <v>272</v>
      </c>
      <c r="I24" s="48">
        <v>7.7999999999999996E-3</v>
      </c>
      <c r="J24" s="24">
        <f t="shared" ref="J24:J69" si="1">IF(I24&lt;$I$107,0,I24-$I$107)</f>
        <v>4.5999999999999999E-3</v>
      </c>
    </row>
    <row r="25" spans="1:10" ht="16">
      <c r="A25" s="46" t="str">
        <f>'Sovereign Ratings (Moody''s,S&amp;P)'!A25</f>
        <v>Bulgaria</v>
      </c>
      <c r="B25" s="56" t="str">
        <f>'Sovereign Ratings (Moody''s,S&amp;P)'!C25</f>
        <v>Baa1</v>
      </c>
      <c r="C25" s="123">
        <f>VLOOKUP(A25,$H$24:$J$111,2,FALSE)</f>
        <v>1.4999999999999999E-2</v>
      </c>
      <c r="D25" s="57">
        <f t="shared" si="0"/>
        <v>1.18E-2</v>
      </c>
      <c r="H25" s="127" t="s">
        <v>337</v>
      </c>
      <c r="I25" s="48">
        <v>1.7299999999999999E-2</v>
      </c>
      <c r="J25" s="24">
        <f t="shared" si="1"/>
        <v>1.41E-2</v>
      </c>
    </row>
    <row r="26" spans="1:10" ht="16">
      <c r="A26" s="46" t="str">
        <f>'Sovereign Ratings (Moody''s,S&amp;P)'!A26</f>
        <v>Burkina Faso</v>
      </c>
      <c r="B26" s="56" t="str">
        <f>'Sovereign Ratings (Moody''s,S&amp;P)'!C26</f>
        <v>Caa1</v>
      </c>
      <c r="C26" s="123" t="s">
        <v>143</v>
      </c>
      <c r="D26" s="57" t="str">
        <f t="shared" si="0"/>
        <v>NA</v>
      </c>
      <c r="H26" s="127" t="s">
        <v>131</v>
      </c>
      <c r="I26" s="48">
        <v>6.5500000000000003E-2</v>
      </c>
      <c r="J26" s="24">
        <f t="shared" si="1"/>
        <v>6.2300000000000001E-2</v>
      </c>
    </row>
    <row r="27" spans="1:10" ht="16">
      <c r="A27" s="46" t="str">
        <f>'Sovereign Ratings (Moody''s,S&amp;P)'!A27</f>
        <v>Cambodia</v>
      </c>
      <c r="B27" s="56" t="str">
        <f>'Sovereign Ratings (Moody''s,S&amp;P)'!C27</f>
        <v>B2</v>
      </c>
      <c r="C27" s="123" t="s">
        <v>143</v>
      </c>
      <c r="D27" s="57" t="str">
        <f t="shared" si="0"/>
        <v>NA</v>
      </c>
      <c r="H27" s="46" t="s">
        <v>84</v>
      </c>
      <c r="I27" s="48" t="s">
        <v>143</v>
      </c>
      <c r="J27" s="24" t="e">
        <f t="shared" si="1"/>
        <v>#VALUE!</v>
      </c>
    </row>
    <row r="28" spans="1:10" ht="16">
      <c r="A28" s="46" t="str">
        <f>'Sovereign Ratings (Moody''s,S&amp;P)'!A28</f>
        <v>Cameroon</v>
      </c>
      <c r="B28" s="56" t="str">
        <f>'Sovereign Ratings (Moody''s,S&amp;P)'!C28</f>
        <v>B2</v>
      </c>
      <c r="C28" s="123">
        <f>VLOOKUP(A28,$H$24:$J$111,2,FALSE)</f>
        <v>6.6799999999999998E-2</v>
      </c>
      <c r="D28" s="57">
        <f t="shared" si="0"/>
        <v>6.3600000000000004E-2</v>
      </c>
      <c r="H28" s="46" t="s">
        <v>85</v>
      </c>
      <c r="I28" s="48">
        <v>3.3999999999999998E-3</v>
      </c>
      <c r="J28" s="24">
        <f t="shared" si="1"/>
        <v>1.9999999999999966E-4</v>
      </c>
    </row>
    <row r="29" spans="1:10" ht="16">
      <c r="A29" s="46" t="str">
        <f>'Sovereign Ratings (Moody''s,S&amp;P)'!A29</f>
        <v>Canada</v>
      </c>
      <c r="B29" s="56" t="str">
        <f>'Sovereign Ratings (Moody''s,S&amp;P)'!C29</f>
        <v>Aaa</v>
      </c>
      <c r="C29" s="123">
        <f>VLOOKUP(A29,$H$24:$J$111,2,FALSE)</f>
        <v>3.5999999999999999E-3</v>
      </c>
      <c r="D29" s="57">
        <f t="shared" si="0"/>
        <v>3.9999999999999975E-4</v>
      </c>
      <c r="H29" s="46" t="s">
        <v>176</v>
      </c>
      <c r="I29" s="48">
        <v>2.3999999999999998E-3</v>
      </c>
      <c r="J29" s="24">
        <f t="shared" si="1"/>
        <v>0</v>
      </c>
    </row>
    <row r="30" spans="1:10" ht="16">
      <c r="A30" s="46" t="str">
        <f>'Sovereign Ratings (Moody''s,S&amp;P)'!A30</f>
        <v>Cape Verde</v>
      </c>
      <c r="B30" s="56" t="str">
        <f>'Sovereign Ratings (Moody''s,S&amp;P)'!C30</f>
        <v>B3</v>
      </c>
      <c r="C30" s="123" t="s">
        <v>143</v>
      </c>
      <c r="D30" s="57" t="str">
        <f t="shared" si="0"/>
        <v>NA</v>
      </c>
      <c r="H30" s="46" t="s">
        <v>87</v>
      </c>
      <c r="I30" s="48">
        <v>2.7799999999999998E-2</v>
      </c>
      <c r="J30" s="24">
        <f t="shared" si="1"/>
        <v>2.4599999999999997E-2</v>
      </c>
    </row>
    <row r="31" spans="1:10" ht="16">
      <c r="A31" s="46" t="str">
        <f>'Sovereign Ratings (Moody''s,S&amp;P)'!A31</f>
        <v>Cayman Islands</v>
      </c>
      <c r="B31" s="56" t="str">
        <f>'Sovereign Ratings (Moody''s,S&amp;P)'!C31</f>
        <v>Aa3</v>
      </c>
      <c r="C31" s="123" t="s">
        <v>143</v>
      </c>
      <c r="D31" s="57" t="str">
        <f t="shared" si="0"/>
        <v>NA</v>
      </c>
      <c r="H31" s="46" t="s">
        <v>177</v>
      </c>
      <c r="I31" s="48">
        <v>3.7000000000000002E-3</v>
      </c>
      <c r="J31" s="24">
        <f t="shared" si="1"/>
        <v>5.0000000000000001E-4</v>
      </c>
    </row>
    <row r="32" spans="1:10" ht="16">
      <c r="A32" s="46" t="str">
        <f>'Sovereign Ratings (Moody''s,S&amp;P)'!A32</f>
        <v>Chile</v>
      </c>
      <c r="B32" s="56" t="str">
        <f>'Sovereign Ratings (Moody''s,S&amp;P)'!C32</f>
        <v>A2</v>
      </c>
      <c r="C32" s="123">
        <f>VLOOKUP(A32,$H$24:$J$111,2,FALSE)</f>
        <v>1.7600000000000001E-2</v>
      </c>
      <c r="D32" s="57">
        <f t="shared" si="0"/>
        <v>1.4400000000000001E-2</v>
      </c>
      <c r="H32" s="46" t="s">
        <v>92</v>
      </c>
      <c r="I32" s="48">
        <v>3.5200000000000002E-2</v>
      </c>
      <c r="J32" s="24">
        <f t="shared" si="1"/>
        <v>3.2000000000000001E-2</v>
      </c>
    </row>
    <row r="33" spans="1:10" ht="16">
      <c r="A33" s="46" t="str">
        <f>'Sovereign Ratings (Moody''s,S&amp;P)'!A33</f>
        <v>China</v>
      </c>
      <c r="B33" s="56" t="str">
        <f>'Sovereign Ratings (Moody''s,S&amp;P)'!C33</f>
        <v>A1</v>
      </c>
      <c r="C33" s="123">
        <f>VLOOKUP(A33,$H$24:$J$111,2,FALSE)</f>
        <v>1.11E-2</v>
      </c>
      <c r="D33" s="57">
        <f t="shared" si="0"/>
        <v>7.9000000000000008E-3</v>
      </c>
      <c r="H33" s="46" t="s">
        <v>94</v>
      </c>
      <c r="I33" s="48">
        <v>1.4999999999999999E-2</v>
      </c>
      <c r="J33" s="24">
        <f t="shared" si="1"/>
        <v>1.18E-2</v>
      </c>
    </row>
    <row r="34" spans="1:10" ht="16">
      <c r="A34" s="46" t="str">
        <f>'Sovereign Ratings (Moody''s,S&amp;P)'!A34</f>
        <v>Colombia</v>
      </c>
      <c r="B34" s="56" t="str">
        <f>'Sovereign Ratings (Moody''s,S&amp;P)'!C34</f>
        <v>Baa2</v>
      </c>
      <c r="C34" s="123">
        <f>VLOOKUP(A34,$H$24:$J$111,2,FALSE)</f>
        <v>3.6499999999999998E-2</v>
      </c>
      <c r="D34" s="57">
        <f t="shared" si="0"/>
        <v>3.3299999999999996E-2</v>
      </c>
      <c r="H34" s="127" t="s">
        <v>212</v>
      </c>
      <c r="I34" s="48">
        <v>6.6799999999999998E-2</v>
      </c>
      <c r="J34" s="24">
        <f t="shared" si="1"/>
        <v>6.3600000000000004E-2</v>
      </c>
    </row>
    <row r="35" spans="1:10" ht="16">
      <c r="A35" s="46" t="str">
        <f>'Sovereign Ratings (Moody''s,S&amp;P)'!A35</f>
        <v>Congo (Democratic Republic of)</v>
      </c>
      <c r="B35" s="56" t="str">
        <f>'Sovereign Ratings (Moody''s,S&amp;P)'!C35</f>
        <v>B3</v>
      </c>
      <c r="C35" s="123" t="s">
        <v>143</v>
      </c>
      <c r="D35" s="57" t="str">
        <f t="shared" si="0"/>
        <v>NA</v>
      </c>
      <c r="H35" s="127" t="s">
        <v>95</v>
      </c>
      <c r="I35" s="48">
        <v>3.5999999999999999E-3</v>
      </c>
      <c r="J35" s="24">
        <f t="shared" si="1"/>
        <v>3.9999999999999975E-4</v>
      </c>
    </row>
    <row r="36" spans="1:10" ht="16">
      <c r="A36" s="46" t="str">
        <f>'Sovereign Ratings (Moody''s,S&amp;P)'!A36</f>
        <v>Congo (Republic of)</v>
      </c>
      <c r="B36" s="56" t="str">
        <f>'Sovereign Ratings (Moody''s,S&amp;P)'!C36</f>
        <v>Caa2</v>
      </c>
      <c r="C36" s="123" t="s">
        <v>143</v>
      </c>
      <c r="D36" s="57" t="str">
        <f t="shared" si="0"/>
        <v>NA</v>
      </c>
      <c r="H36" s="46" t="s">
        <v>96</v>
      </c>
      <c r="I36" s="48">
        <v>1.7600000000000001E-2</v>
      </c>
      <c r="J36" s="24">
        <f t="shared" si="1"/>
        <v>1.4400000000000001E-2</v>
      </c>
    </row>
    <row r="37" spans="1:10" ht="16">
      <c r="A37" s="46" t="str">
        <f>'Sovereign Ratings (Moody''s,S&amp;P)'!A37</f>
        <v>Cook Islands</v>
      </c>
      <c r="B37" s="56" t="str">
        <f>'Sovereign Ratings (Moody''s,S&amp;P)'!C37</f>
        <v>B1</v>
      </c>
      <c r="C37" s="123" t="s">
        <v>143</v>
      </c>
      <c r="D37" s="57" t="str">
        <f t="shared" si="0"/>
        <v>NA</v>
      </c>
      <c r="H37" s="46" t="s">
        <v>97</v>
      </c>
      <c r="I37" s="48">
        <v>1.11E-2</v>
      </c>
      <c r="J37" s="24">
        <f t="shared" si="1"/>
        <v>7.9000000000000008E-3</v>
      </c>
    </row>
    <row r="38" spans="1:10" ht="16">
      <c r="A38" s="46" t="str">
        <f>'Sovereign Ratings (Moody''s,S&amp;P)'!A38</f>
        <v>Costa Rica</v>
      </c>
      <c r="B38" s="56" t="str">
        <f>'Sovereign Ratings (Moody''s,S&amp;P)'!C38</f>
        <v>B2</v>
      </c>
      <c r="C38" s="123">
        <f>VLOOKUP(A38,$H$24:$J$111,2,FALSE)</f>
        <v>4.3499999999999997E-2</v>
      </c>
      <c r="D38" s="57">
        <f t="shared" si="0"/>
        <v>4.0299999999999996E-2</v>
      </c>
      <c r="H38" s="46" t="s">
        <v>50</v>
      </c>
      <c r="I38" s="48">
        <v>3.6499999999999998E-2</v>
      </c>
      <c r="J38" s="24">
        <f t="shared" si="1"/>
        <v>3.3299999999999996E-2</v>
      </c>
    </row>
    <row r="39" spans="1:10" ht="16">
      <c r="A39" s="46" t="str">
        <f>'Sovereign Ratings (Moody''s,S&amp;P)'!A39</f>
        <v>Côte d'Ivoire</v>
      </c>
      <c r="B39" s="56" t="str">
        <f>'Sovereign Ratings (Moody''s,S&amp;P)'!C39</f>
        <v>Ba3</v>
      </c>
      <c r="C39" s="123" t="s">
        <v>143</v>
      </c>
      <c r="D39" s="57" t="str">
        <f t="shared" si="0"/>
        <v>NA</v>
      </c>
      <c r="H39" s="46" t="s">
        <v>56</v>
      </c>
      <c r="I39" s="48">
        <v>4.3499999999999997E-2</v>
      </c>
      <c r="J39" s="24">
        <f t="shared" si="1"/>
        <v>4.0299999999999996E-2</v>
      </c>
    </row>
    <row r="40" spans="1:10" ht="16">
      <c r="A40" s="46" t="str">
        <f>'Sovereign Ratings (Moody''s,S&amp;P)'!A40</f>
        <v>Croatia</v>
      </c>
      <c r="B40" s="56" t="str">
        <f>'Sovereign Ratings (Moody''s,S&amp;P)'!C40</f>
        <v>Baa2</v>
      </c>
      <c r="C40" s="123">
        <f>VLOOKUP(A40,$H$24:$J$111,2,FALSE)</f>
        <v>1.34E-2</v>
      </c>
      <c r="D40" s="57">
        <f t="shared" si="0"/>
        <v>1.0200000000000001E-2</v>
      </c>
      <c r="H40" s="46" t="s">
        <v>98</v>
      </c>
      <c r="I40" s="48">
        <v>1.34E-2</v>
      </c>
      <c r="J40" s="24">
        <f t="shared" si="1"/>
        <v>1.0200000000000001E-2</v>
      </c>
    </row>
    <row r="41" spans="1:10" ht="16">
      <c r="A41" s="46" t="str">
        <f>'Sovereign Ratings (Moody''s,S&amp;P)'!A41</f>
        <v>Cuba</v>
      </c>
      <c r="B41" s="56" t="str">
        <f>'Sovereign Ratings (Moody''s,S&amp;P)'!C41</f>
        <v>Ca</v>
      </c>
      <c r="C41" s="123" t="s">
        <v>143</v>
      </c>
      <c r="D41" s="57" t="str">
        <f t="shared" si="0"/>
        <v>NA</v>
      </c>
      <c r="H41" s="46" t="s">
        <v>178</v>
      </c>
      <c r="I41" s="48">
        <v>1.3299999999999999E-2</v>
      </c>
      <c r="J41" s="24">
        <f t="shared" si="1"/>
        <v>1.01E-2</v>
      </c>
    </row>
    <row r="42" spans="1:10" ht="16">
      <c r="A42" s="46" t="str">
        <f>'Sovereign Ratings (Moody''s,S&amp;P)'!A42</f>
        <v>Curacao</v>
      </c>
      <c r="B42" s="56" t="str">
        <f>'Sovereign Ratings (Moody''s,S&amp;P)'!C42</f>
        <v>Baa2</v>
      </c>
      <c r="C42" s="123" t="s">
        <v>143</v>
      </c>
      <c r="D42" s="57" t="str">
        <f t="shared" si="0"/>
        <v>NA</v>
      </c>
      <c r="H42" s="46" t="s">
        <v>101</v>
      </c>
      <c r="I42" s="48">
        <v>6.1999999999999998E-3</v>
      </c>
      <c r="J42" s="24">
        <f t="shared" si="1"/>
        <v>2.9999999999999996E-3</v>
      </c>
    </row>
    <row r="43" spans="1:10" ht="16">
      <c r="A43" s="46" t="str">
        <f>'Sovereign Ratings (Moody''s,S&amp;P)'!A43</f>
        <v>Cyprus</v>
      </c>
      <c r="B43" s="56" t="str">
        <f>'Sovereign Ratings (Moody''s,S&amp;P)'!C43</f>
        <v>Ba1</v>
      </c>
      <c r="C43" s="123">
        <f>VLOOKUP(A43,$H$24:$J$111,2,FALSE)</f>
        <v>1.3299999999999999E-2</v>
      </c>
      <c r="D43" s="57">
        <f t="shared" si="0"/>
        <v>1.01E-2</v>
      </c>
      <c r="H43" s="46" t="s">
        <v>102</v>
      </c>
      <c r="I43" s="48">
        <v>2.3E-3</v>
      </c>
      <c r="J43" s="24">
        <f t="shared" si="1"/>
        <v>0</v>
      </c>
    </row>
    <row r="44" spans="1:10" ht="16">
      <c r="A44" s="46" t="str">
        <f>'Sovereign Ratings (Moody''s,S&amp;P)'!A44</f>
        <v>Czech Republic</v>
      </c>
      <c r="B44" s="56" t="str">
        <f>'Sovereign Ratings (Moody''s,S&amp;P)'!C44</f>
        <v>Aa3</v>
      </c>
      <c r="C44" s="123">
        <f>VLOOKUP(A44,$H$24:$J$111,2,FALSE)</f>
        <v>6.1999999999999998E-3</v>
      </c>
      <c r="D44" s="57">
        <f t="shared" si="0"/>
        <v>2.9999999999999996E-3</v>
      </c>
      <c r="H44" s="46" t="s">
        <v>454</v>
      </c>
      <c r="I44" s="48">
        <v>1.26E-2</v>
      </c>
      <c r="J44" s="24">
        <f t="shared" si="1"/>
        <v>9.4000000000000004E-3</v>
      </c>
    </row>
    <row r="45" spans="1:10" ht="16">
      <c r="A45" s="46" t="str">
        <f>'Sovereign Ratings (Moody''s,S&amp;P)'!A45</f>
        <v>Denmark</v>
      </c>
      <c r="B45" s="56" t="str">
        <f>'Sovereign Ratings (Moody''s,S&amp;P)'!C45</f>
        <v>Aaa</v>
      </c>
      <c r="C45" s="123">
        <f>VLOOKUP(A45,$H$24:$J$111,2,FALSE)</f>
        <v>2.3E-3</v>
      </c>
      <c r="D45" s="57">
        <f t="shared" si="0"/>
        <v>0</v>
      </c>
      <c r="H45" s="177" t="s">
        <v>104</v>
      </c>
      <c r="I45" s="184">
        <v>0.16930000000000001</v>
      </c>
      <c r="J45" s="185">
        <f t="shared" si="1"/>
        <v>0.1661</v>
      </c>
    </row>
    <row r="46" spans="1:10" ht="16">
      <c r="A46" s="46" t="str">
        <f>'Sovereign Ratings (Moody''s,S&amp;P)'!A46</f>
        <v>Dominican Republic</v>
      </c>
      <c r="B46" s="56" t="str">
        <f>'Sovereign Ratings (Moody''s,S&amp;P)'!C46</f>
        <v>Ba3</v>
      </c>
      <c r="C46" s="123" t="s">
        <v>143</v>
      </c>
      <c r="D46" s="57" t="str">
        <f t="shared" si="0"/>
        <v>NA</v>
      </c>
      <c r="H46" s="183" t="s">
        <v>105</v>
      </c>
      <c r="I46" s="48">
        <v>8.0100000000000005E-2</v>
      </c>
      <c r="J46" s="24">
        <f t="shared" si="1"/>
        <v>7.690000000000001E-2</v>
      </c>
    </row>
    <row r="47" spans="1:10" ht="16">
      <c r="A47" s="46" t="str">
        <f>'Sovereign Ratings (Moody''s,S&amp;P)'!A47</f>
        <v>Ecuador</v>
      </c>
      <c r="B47" s="56" t="str">
        <f>'Sovereign Ratings (Moody''s,S&amp;P)'!C47</f>
        <v>Caa3</v>
      </c>
      <c r="C47" s="123">
        <f>VLOOKUP(A47,$H$24:$J$111,2,FALSE)</f>
        <v>0.16930000000000001</v>
      </c>
      <c r="D47" s="57">
        <f t="shared" si="0"/>
        <v>0.1661</v>
      </c>
      <c r="H47" s="127" t="s">
        <v>31</v>
      </c>
      <c r="I47" s="48">
        <v>0.27460000000000001</v>
      </c>
      <c r="J47" s="24">
        <f t="shared" si="1"/>
        <v>0.27140000000000003</v>
      </c>
    </row>
    <row r="48" spans="1:10" ht="16">
      <c r="A48" s="46" t="str">
        <f>'Sovereign Ratings (Moody''s,S&amp;P)'!A48</f>
        <v>Egypt</v>
      </c>
      <c r="B48" s="56" t="str">
        <f>'Sovereign Ratings (Moody''s,S&amp;P)'!C48</f>
        <v>B2</v>
      </c>
      <c r="C48" s="123">
        <f>VLOOKUP(A48,$H$24:$J$111,2,FALSE)</f>
        <v>8.0100000000000005E-2</v>
      </c>
      <c r="D48" s="57">
        <f t="shared" si="0"/>
        <v>7.690000000000001E-2</v>
      </c>
      <c r="H48" s="46" t="s">
        <v>106</v>
      </c>
      <c r="I48" s="48">
        <v>1.7600000000000001E-2</v>
      </c>
      <c r="J48" s="24">
        <f t="shared" si="1"/>
        <v>1.4400000000000001E-2</v>
      </c>
    </row>
    <row r="49" spans="1:10" ht="16">
      <c r="A49" s="46" t="str">
        <f>'Sovereign Ratings (Moody''s,S&amp;P)'!A49</f>
        <v>El Salvador</v>
      </c>
      <c r="B49" s="56" t="str">
        <f>'Sovereign Ratings (Moody''s,S&amp;P)'!C49</f>
        <v>Caa3</v>
      </c>
      <c r="C49" s="123">
        <f>VLOOKUP(A49,$H$24:$J$111,2,FALSE)</f>
        <v>0.27460000000000001</v>
      </c>
      <c r="D49" s="57">
        <f t="shared" si="0"/>
        <v>0.27140000000000003</v>
      </c>
      <c r="H49" s="46" t="s">
        <v>284</v>
      </c>
      <c r="I49" s="48">
        <v>0.2833</v>
      </c>
      <c r="J49" s="24">
        <f t="shared" si="1"/>
        <v>0.28010000000000002</v>
      </c>
    </row>
    <row r="50" spans="1:10" ht="16">
      <c r="A50" s="46" t="str">
        <f>'Sovereign Ratings (Moody''s,S&amp;P)'!A50</f>
        <v>Estonia</v>
      </c>
      <c r="B50" s="56" t="str">
        <f>'Sovereign Ratings (Moody''s,S&amp;P)'!C50</f>
        <v>A1</v>
      </c>
      <c r="C50" s="123">
        <f>VLOOKUP(A50,$H$24:$J$111,2,FALSE)</f>
        <v>1.7600000000000001E-2</v>
      </c>
      <c r="D50" s="57">
        <f t="shared" si="0"/>
        <v>1.4400000000000001E-2</v>
      </c>
      <c r="H50" s="46" t="s">
        <v>179</v>
      </c>
      <c r="I50" s="48">
        <v>3.3999999999999998E-3</v>
      </c>
      <c r="J50" s="24">
        <f t="shared" si="1"/>
        <v>1.9999999999999966E-4</v>
      </c>
    </row>
    <row r="51" spans="1:10" ht="16">
      <c r="A51" s="46" t="str">
        <f>'Sovereign Ratings (Moody''s,S&amp;P)'!A51</f>
        <v>Ethiopia</v>
      </c>
      <c r="B51" s="56" t="str">
        <f>'Sovereign Ratings (Moody''s,S&amp;P)'!C51</f>
        <v>Caa2</v>
      </c>
      <c r="C51" s="123">
        <f>VLOOKUP(A51,$H$24:$J$111,2,FALSE)</f>
        <v>0.2833</v>
      </c>
      <c r="D51" s="57">
        <f t="shared" si="0"/>
        <v>0.28010000000000002</v>
      </c>
      <c r="H51" s="46" t="s">
        <v>180</v>
      </c>
      <c r="I51" s="48">
        <v>4.1999999999999997E-3</v>
      </c>
      <c r="J51" s="24">
        <f t="shared" si="1"/>
        <v>9.9999999999999959E-4</v>
      </c>
    </row>
    <row r="52" spans="1:10" ht="16">
      <c r="A52" s="46" t="str">
        <f>'Sovereign Ratings (Moody''s,S&amp;P)'!A52</f>
        <v>Fiji</v>
      </c>
      <c r="B52" s="56" t="str">
        <f>'Sovereign Ratings (Moody''s,S&amp;P)'!C52</f>
        <v>B1</v>
      </c>
      <c r="C52" s="123" t="s">
        <v>143</v>
      </c>
      <c r="D52" s="57" t="str">
        <f t="shared" si="0"/>
        <v>NA</v>
      </c>
      <c r="H52" s="46" t="s">
        <v>181</v>
      </c>
      <c r="I52" s="48">
        <v>2.8E-3</v>
      </c>
      <c r="J52" s="24">
        <f t="shared" si="1"/>
        <v>0</v>
      </c>
    </row>
    <row r="53" spans="1:10" ht="16">
      <c r="A53" s="46" t="str">
        <f>'Sovereign Ratings (Moody''s,S&amp;P)'!A53</f>
        <v>Finland</v>
      </c>
      <c r="B53" s="56" t="str">
        <f>'Sovereign Ratings (Moody''s,S&amp;P)'!C53</f>
        <v>Aa1</v>
      </c>
      <c r="C53" s="123">
        <f>VLOOKUP(A53,$H$24:$J$111,2,FALSE)</f>
        <v>3.3999999999999998E-3</v>
      </c>
      <c r="D53" s="57">
        <f t="shared" si="0"/>
        <v>1.9999999999999966E-4</v>
      </c>
      <c r="H53" s="46" t="s">
        <v>182</v>
      </c>
      <c r="I53" s="48">
        <v>1.9699999999999999E-2</v>
      </c>
      <c r="J53" s="24">
        <f t="shared" si="1"/>
        <v>1.6499999999999997E-2</v>
      </c>
    </row>
    <row r="54" spans="1:10" ht="16">
      <c r="A54" s="46" t="str">
        <f>'Sovereign Ratings (Moody''s,S&amp;P)'!A54</f>
        <v>France</v>
      </c>
      <c r="B54" s="56" t="str">
        <f>'Sovereign Ratings (Moody''s,S&amp;P)'!C54</f>
        <v>Aa2</v>
      </c>
      <c r="C54" s="123">
        <f>VLOOKUP(A54,$H$24:$J$111,2,FALSE)</f>
        <v>4.1999999999999997E-3</v>
      </c>
      <c r="D54" s="57">
        <f t="shared" si="0"/>
        <v>9.9999999999999959E-4</v>
      </c>
      <c r="H54" s="127" t="s">
        <v>465</v>
      </c>
      <c r="I54" s="48">
        <v>2.2800000000000001E-2</v>
      </c>
      <c r="J54" s="24">
        <f t="shared" si="1"/>
        <v>1.9599999999999999E-2</v>
      </c>
    </row>
    <row r="55" spans="1:10" ht="16">
      <c r="A55" s="46" t="str">
        <f>'Sovereign Ratings (Moody''s,S&amp;P)'!A55</f>
        <v>Gabon</v>
      </c>
      <c r="B55" s="56" t="str">
        <f>'Sovereign Ratings (Moody''s,S&amp;P)'!C55</f>
        <v>Caa1</v>
      </c>
      <c r="C55" s="123" t="s">
        <v>143</v>
      </c>
      <c r="D55" s="57" t="str">
        <f t="shared" si="0"/>
        <v>NA</v>
      </c>
      <c r="H55" s="46" t="s">
        <v>59</v>
      </c>
      <c r="I55" s="48">
        <v>7.1000000000000004E-3</v>
      </c>
      <c r="J55" s="24">
        <f t="shared" si="1"/>
        <v>3.9000000000000003E-3</v>
      </c>
    </row>
    <row r="56" spans="1:10" ht="16">
      <c r="A56" s="46" t="str">
        <f>'Sovereign Ratings (Moody''s,S&amp;P)'!A56</f>
        <v>Georgia</v>
      </c>
      <c r="B56" s="56" t="str">
        <f>'Sovereign Ratings (Moody''s,S&amp;P)'!C56</f>
        <v>Ba2</v>
      </c>
      <c r="C56" s="123" t="s">
        <v>143</v>
      </c>
      <c r="D56" s="57" t="str">
        <f t="shared" si="0"/>
        <v>NA</v>
      </c>
      <c r="H56" s="46" t="s">
        <v>109</v>
      </c>
      <c r="I56" s="48">
        <v>2.4299999999999999E-2</v>
      </c>
      <c r="J56" s="24">
        <f t="shared" si="1"/>
        <v>2.1099999999999997E-2</v>
      </c>
    </row>
    <row r="57" spans="1:10" ht="16">
      <c r="A57" s="46" t="str">
        <f>'Sovereign Ratings (Moody''s,S&amp;P)'!A57</f>
        <v>Germany</v>
      </c>
      <c r="B57" s="56" t="str">
        <f>'Sovereign Ratings (Moody''s,S&amp;P)'!C57</f>
        <v>Aaa</v>
      </c>
      <c r="C57" s="123">
        <f>VLOOKUP(A57,$H$24:$J$111,2,FALSE)</f>
        <v>2.8E-3</v>
      </c>
      <c r="D57" s="57">
        <f t="shared" si="0"/>
        <v>0</v>
      </c>
      <c r="H57" s="46" t="s">
        <v>110</v>
      </c>
      <c r="I57" s="48">
        <v>7.3000000000000001E-3</v>
      </c>
      <c r="J57" s="24">
        <f t="shared" si="1"/>
        <v>4.0999999999999995E-3</v>
      </c>
    </row>
    <row r="58" spans="1:10" ht="16">
      <c r="A58" s="46" t="str">
        <f>'Sovereign Ratings (Moody''s,S&amp;P)'!A58</f>
        <v>Ghana</v>
      </c>
      <c r="B58" s="56" t="str">
        <f>'Sovereign Ratings (Moody''s,S&amp;P)'!C58</f>
        <v>Ca</v>
      </c>
      <c r="C58" s="123" t="s">
        <v>143</v>
      </c>
      <c r="D58" s="57" t="str">
        <f t="shared" si="0"/>
        <v>NA</v>
      </c>
      <c r="H58" s="46" t="s">
        <v>111</v>
      </c>
      <c r="I58" s="48">
        <v>1.67E-2</v>
      </c>
      <c r="J58" s="24">
        <f t="shared" si="1"/>
        <v>1.35E-2</v>
      </c>
    </row>
    <row r="59" spans="1:10" ht="16">
      <c r="A59" s="46" t="str">
        <f>'Sovereign Ratings (Moody''s,S&amp;P)'!A59</f>
        <v>Greece</v>
      </c>
      <c r="B59" s="56" t="str">
        <f>'Sovereign Ratings (Moody''s,S&amp;P)'!C59</f>
        <v>Ba3</v>
      </c>
      <c r="C59" s="123">
        <f>VLOOKUP(A59,$H$24:$J$111,2,FALSE)</f>
        <v>1.9699999999999999E-2</v>
      </c>
      <c r="D59" s="57">
        <f t="shared" si="0"/>
        <v>1.6499999999999997E-2</v>
      </c>
      <c r="H59" s="46" t="s">
        <v>112</v>
      </c>
      <c r="I59" s="48">
        <v>1.7500000000000002E-2</v>
      </c>
      <c r="J59" s="24">
        <f t="shared" si="1"/>
        <v>1.4300000000000002E-2</v>
      </c>
    </row>
    <row r="60" spans="1:10" ht="16">
      <c r="A60" s="46" t="str">
        <f>'Sovereign Ratings (Moody''s,S&amp;P)'!A60</f>
        <v>Guatemala</v>
      </c>
      <c r="B60" s="56" t="str">
        <f>'Sovereign Ratings (Moody''s,S&amp;P)'!C60</f>
        <v>Ba1</v>
      </c>
      <c r="C60" s="123" t="s">
        <v>143</v>
      </c>
      <c r="D60" s="57" t="str">
        <f t="shared" si="0"/>
        <v>NA</v>
      </c>
      <c r="H60" s="127" t="s">
        <v>331</v>
      </c>
      <c r="I60" s="48">
        <v>4.6899999999999997E-2</v>
      </c>
      <c r="J60" s="24">
        <f t="shared" si="1"/>
        <v>4.3699999999999996E-2</v>
      </c>
    </row>
    <row r="61" spans="1:10" ht="16">
      <c r="A61" s="46" t="str">
        <f>'Sovereign Ratings (Moody''s,S&amp;P)'!A61</f>
        <v>Guernsey (States of)</v>
      </c>
      <c r="B61" s="56" t="str">
        <f>'Sovereign Ratings (Moody''s,S&amp;P)'!C61</f>
        <v>Aaa</v>
      </c>
      <c r="C61" s="123" t="s">
        <v>143</v>
      </c>
      <c r="D61" s="57" t="str">
        <f t="shared" si="0"/>
        <v>NA</v>
      </c>
      <c r="H61" s="46" t="s">
        <v>183</v>
      </c>
      <c r="I61" s="48">
        <v>4.3E-3</v>
      </c>
      <c r="J61" s="24">
        <f t="shared" si="1"/>
        <v>1.0999999999999998E-3</v>
      </c>
    </row>
    <row r="62" spans="1:10" ht="16">
      <c r="A62" s="46" t="str">
        <f>'Sovereign Ratings (Moody''s,S&amp;P)'!A62</f>
        <v>Honduras</v>
      </c>
      <c r="B62" s="56" t="str">
        <f>'Sovereign Ratings (Moody''s,S&amp;P)'!C62</f>
        <v>B1</v>
      </c>
      <c r="C62" s="123" t="s">
        <v>143</v>
      </c>
      <c r="D62" s="57" t="str">
        <f t="shared" si="0"/>
        <v>NA</v>
      </c>
      <c r="H62" s="46" t="s">
        <v>114</v>
      </c>
      <c r="I62" s="48">
        <v>6.7000000000000002E-3</v>
      </c>
      <c r="J62" s="24">
        <f t="shared" si="1"/>
        <v>3.5000000000000001E-3</v>
      </c>
    </row>
    <row r="63" spans="1:10" ht="16">
      <c r="A63" s="46" t="str">
        <f>'Sovereign Ratings (Moody''s,S&amp;P)'!A63</f>
        <v>Hong Kong</v>
      </c>
      <c r="B63" s="56" t="str">
        <f>'Sovereign Ratings (Moody''s,S&amp;P)'!C63</f>
        <v>Aa3</v>
      </c>
      <c r="C63" s="123">
        <f t="shared" ref="C63:C69" si="2">VLOOKUP(A63,$H$24:$J$111,2,FALSE)</f>
        <v>7.1000000000000004E-3</v>
      </c>
      <c r="D63" s="57">
        <f t="shared" si="0"/>
        <v>3.9000000000000003E-3</v>
      </c>
      <c r="H63" s="46" t="s">
        <v>145</v>
      </c>
      <c r="I63" s="48">
        <v>1.84E-2</v>
      </c>
      <c r="J63" s="24">
        <f t="shared" si="1"/>
        <v>1.52E-2</v>
      </c>
    </row>
    <row r="64" spans="1:10" ht="16">
      <c r="A64" s="46" t="str">
        <f>'Sovereign Ratings (Moody''s,S&amp;P)'!A64</f>
        <v>Hungary</v>
      </c>
      <c r="B64" s="56" t="str">
        <f>'Sovereign Ratings (Moody''s,S&amp;P)'!C64</f>
        <v>Baa2</v>
      </c>
      <c r="C64" s="123">
        <f t="shared" si="2"/>
        <v>2.4299999999999999E-2</v>
      </c>
      <c r="D64" s="57">
        <f t="shared" si="0"/>
        <v>2.1099999999999997E-2</v>
      </c>
      <c r="H64" s="46" t="s">
        <v>116</v>
      </c>
      <c r="I64" s="48">
        <v>3.0999999999999999E-3</v>
      </c>
      <c r="J64" s="24">
        <f t="shared" si="1"/>
        <v>0</v>
      </c>
    </row>
    <row r="65" spans="1:10" ht="16">
      <c r="A65" s="46" t="str">
        <f>'Sovereign Ratings (Moody''s,S&amp;P)'!A65</f>
        <v>Iceland</v>
      </c>
      <c r="B65" s="56" t="str">
        <f>'Sovereign Ratings (Moody''s,S&amp;P)'!C65</f>
        <v>A2</v>
      </c>
      <c r="C65" s="123">
        <f t="shared" si="2"/>
        <v>7.3000000000000001E-3</v>
      </c>
      <c r="D65" s="57">
        <f t="shared" si="0"/>
        <v>4.0999999999999995E-3</v>
      </c>
      <c r="H65" s="46" t="s">
        <v>118</v>
      </c>
      <c r="I65" s="48">
        <v>2.7E-2</v>
      </c>
      <c r="J65" s="24">
        <f t="shared" si="1"/>
        <v>2.3799999999999998E-2</v>
      </c>
    </row>
    <row r="66" spans="1:10" ht="16">
      <c r="A66" s="46" t="str">
        <f>'Sovereign Ratings (Moody''s,S&amp;P)'!A66</f>
        <v>India</v>
      </c>
      <c r="B66" s="56" t="str">
        <f>'Sovereign Ratings (Moody''s,S&amp;P)'!C66</f>
        <v>Baa3</v>
      </c>
      <c r="C66" s="123">
        <f t="shared" si="2"/>
        <v>1.67E-2</v>
      </c>
      <c r="D66" s="57">
        <f t="shared" ref="D66:D129" si="3">IF(C66="NA","NA",IF(C66&gt;$C$153,C66-$C$153,0))</f>
        <v>1.35E-2</v>
      </c>
      <c r="H66" s="127" t="s">
        <v>184</v>
      </c>
      <c r="I66" s="48">
        <v>7.5999999999999998E-2</v>
      </c>
      <c r="J66" s="24">
        <f t="shared" si="1"/>
        <v>7.2800000000000004E-2</v>
      </c>
    </row>
    <row r="67" spans="1:10" ht="16">
      <c r="A67" s="46" t="str">
        <f>'Sovereign Ratings (Moody''s,S&amp;P)'!A67</f>
        <v>Indonesia</v>
      </c>
      <c r="B67" s="56" t="str">
        <f>'Sovereign Ratings (Moody''s,S&amp;P)'!C67</f>
        <v>Baa2</v>
      </c>
      <c r="C67" s="123">
        <f t="shared" si="2"/>
        <v>1.7500000000000002E-2</v>
      </c>
      <c r="D67" s="57">
        <f t="shared" si="3"/>
        <v>1.4300000000000002E-2</v>
      </c>
      <c r="H67" s="46" t="s">
        <v>119</v>
      </c>
      <c r="I67" s="48">
        <v>6.7999999999999996E-3</v>
      </c>
      <c r="J67" s="24">
        <f t="shared" si="1"/>
        <v>3.5999999999999995E-3</v>
      </c>
    </row>
    <row r="68" spans="1:10" ht="16">
      <c r="A68" s="46" t="str">
        <f>'Sovereign Ratings (Moody''s,S&amp;P)'!A68</f>
        <v>Iraq</v>
      </c>
      <c r="B68" s="56" t="str">
        <f>'Sovereign Ratings (Moody''s,S&amp;P)'!C68</f>
        <v>Caa1</v>
      </c>
      <c r="C68" s="123">
        <f t="shared" si="2"/>
        <v>4.6899999999999997E-2</v>
      </c>
      <c r="D68" s="57">
        <f t="shared" si="3"/>
        <v>4.3699999999999996E-2</v>
      </c>
      <c r="H68" s="46" t="s">
        <v>120</v>
      </c>
      <c r="I68" s="48">
        <v>7.9000000000000008E-3</v>
      </c>
      <c r="J68" s="24">
        <f t="shared" si="1"/>
        <v>4.7000000000000011E-3</v>
      </c>
    </row>
    <row r="69" spans="1:10" ht="16">
      <c r="A69" s="46" t="str">
        <f>'Sovereign Ratings (Moody''s,S&amp;P)'!A69</f>
        <v>Ireland</v>
      </c>
      <c r="B69" s="56" t="str">
        <f>'Sovereign Ratings (Moody''s,S&amp;P)'!C69</f>
        <v>A1</v>
      </c>
      <c r="C69" s="123">
        <f t="shared" si="2"/>
        <v>4.3E-3</v>
      </c>
      <c r="D69" s="57">
        <f t="shared" si="3"/>
        <v>1.0999999999999998E-3</v>
      </c>
      <c r="H69" s="46" t="s">
        <v>121</v>
      </c>
      <c r="I69" s="48">
        <v>1.37E-2</v>
      </c>
      <c r="J69" s="24">
        <f t="shared" si="1"/>
        <v>1.0500000000000001E-2</v>
      </c>
    </row>
    <row r="70" spans="1:10" ht="16">
      <c r="A70" s="46" t="str">
        <f>'Sovereign Ratings (Moody''s,S&amp;P)'!A70</f>
        <v>Isle of Man</v>
      </c>
      <c r="B70" s="56" t="str">
        <f>'Sovereign Ratings (Moody''s,S&amp;P)'!C70</f>
        <v>Aa3</v>
      </c>
      <c r="C70" s="123" t="s">
        <v>143</v>
      </c>
      <c r="D70" s="57" t="str">
        <f t="shared" si="3"/>
        <v>NA</v>
      </c>
      <c r="H70" s="46" t="s">
        <v>122</v>
      </c>
      <c r="I70" s="48" t="s">
        <v>143</v>
      </c>
      <c r="J70" s="24" t="s">
        <v>143</v>
      </c>
    </row>
    <row r="71" spans="1:10" ht="16">
      <c r="A71" s="46" t="str">
        <f>'Sovereign Ratings (Moody''s,S&amp;P)'!A71</f>
        <v>Israel</v>
      </c>
      <c r="B71" s="56" t="str">
        <f>'Sovereign Ratings (Moody''s,S&amp;P)'!C71</f>
        <v>A1</v>
      </c>
      <c r="C71" s="123">
        <f>VLOOKUP(A71,$H$24:$J$111,2,FALSE)</f>
        <v>6.7000000000000002E-3</v>
      </c>
      <c r="D71" s="57">
        <f t="shared" si="3"/>
        <v>3.5000000000000001E-3</v>
      </c>
      <c r="H71" s="46" t="s">
        <v>13</v>
      </c>
      <c r="I71" s="48">
        <v>1.4500000000000001E-2</v>
      </c>
      <c r="J71" s="24">
        <f t="shared" ref="J71:J81" si="4">IF(I71&lt;$I$107,0,I71-$I$107)</f>
        <v>1.1300000000000001E-2</v>
      </c>
    </row>
    <row r="72" spans="1:10" ht="16">
      <c r="A72" s="46" t="str">
        <f>'Sovereign Ratings (Moody''s,S&amp;P)'!A72</f>
        <v>Italy</v>
      </c>
      <c r="B72" s="56" t="str">
        <f>'Sovereign Ratings (Moody''s,S&amp;P)'!C72</f>
        <v>Baa3</v>
      </c>
      <c r="C72" s="123">
        <f>VLOOKUP(A72,$H$24:$J$111,2,FALSE)</f>
        <v>1.84E-2</v>
      </c>
      <c r="D72" s="57">
        <f t="shared" si="3"/>
        <v>1.52E-2</v>
      </c>
      <c r="H72" s="46" t="s">
        <v>14</v>
      </c>
      <c r="I72" s="48">
        <v>1.24E-2</v>
      </c>
      <c r="J72" s="24">
        <f t="shared" si="4"/>
        <v>9.1999999999999998E-3</v>
      </c>
    </row>
    <row r="73" spans="1:10" ht="16">
      <c r="A73" s="46" t="str">
        <f>'Sovereign Ratings (Moody''s,S&amp;P)'!A73</f>
        <v>Jamaica</v>
      </c>
      <c r="B73" s="56" t="str">
        <f>'Sovereign Ratings (Moody''s,S&amp;P)'!C73</f>
        <v>B2</v>
      </c>
      <c r="C73" s="123" t="s">
        <v>143</v>
      </c>
      <c r="D73" s="57" t="str">
        <f t="shared" si="3"/>
        <v>NA</v>
      </c>
      <c r="H73" s="46" t="s">
        <v>16</v>
      </c>
      <c r="I73" s="48">
        <v>2.1100000000000001E-2</v>
      </c>
      <c r="J73" s="24">
        <f t="shared" si="4"/>
        <v>1.7899999999999999E-2</v>
      </c>
    </row>
    <row r="74" spans="1:10" ht="16">
      <c r="A74" s="46" t="str">
        <f>'Sovereign Ratings (Moody''s,S&amp;P)'!A74</f>
        <v>Japan</v>
      </c>
      <c r="B74" s="56" t="str">
        <f>'Sovereign Ratings (Moody''s,S&amp;P)'!C74</f>
        <v>A1</v>
      </c>
      <c r="C74" s="123">
        <f>VLOOKUP(A74,$H$24:$J$111,2,FALSE)</f>
        <v>3.0999999999999999E-3</v>
      </c>
      <c r="D74" s="57">
        <f t="shared" si="3"/>
        <v>0</v>
      </c>
      <c r="H74" s="46" t="s">
        <v>18</v>
      </c>
      <c r="I74" s="48">
        <v>2.53E-2</v>
      </c>
      <c r="J74" s="24">
        <f t="shared" si="4"/>
        <v>2.2099999999999998E-2</v>
      </c>
    </row>
    <row r="75" spans="1:10" ht="16">
      <c r="A75" s="46" t="str">
        <f>'Sovereign Ratings (Moody''s,S&amp;P)'!A75</f>
        <v>Jersey (States of)</v>
      </c>
      <c r="B75" s="56" t="str">
        <f>'Sovereign Ratings (Moody''s,S&amp;P)'!C75</f>
        <v>Aaa</v>
      </c>
      <c r="C75" s="123" t="s">
        <v>143</v>
      </c>
      <c r="D75" s="57" t="str">
        <f t="shared" si="3"/>
        <v>NA</v>
      </c>
      <c r="H75" s="46" t="s">
        <v>136</v>
      </c>
      <c r="I75" s="48">
        <v>3.8399999999999997E-2</v>
      </c>
      <c r="J75" s="24">
        <f t="shared" si="4"/>
        <v>3.5199999999999995E-2</v>
      </c>
    </row>
    <row r="76" spans="1:10" ht="16">
      <c r="A76" s="46" t="str">
        <f>'Sovereign Ratings (Moody''s,S&amp;P)'!A76</f>
        <v>Jordan</v>
      </c>
      <c r="B76" s="56" t="str">
        <f>'Sovereign Ratings (Moody''s,S&amp;P)'!C76</f>
        <v>B1</v>
      </c>
      <c r="C76" s="123" t="s">
        <v>143</v>
      </c>
      <c r="D76" s="57" t="str">
        <f t="shared" si="3"/>
        <v>NA</v>
      </c>
      <c r="H76" s="46" t="s">
        <v>187</v>
      </c>
      <c r="I76" s="48">
        <v>2.5999999999999999E-3</v>
      </c>
      <c r="J76" s="24">
        <f t="shared" si="4"/>
        <v>0</v>
      </c>
    </row>
    <row r="77" spans="1:10" ht="16">
      <c r="A77" s="46" t="str">
        <f>'Sovereign Ratings (Moody''s,S&amp;P)'!A77</f>
        <v>Kazakhstan</v>
      </c>
      <c r="B77" s="56" t="str">
        <f>'Sovereign Ratings (Moody''s,S&amp;P)'!C77</f>
        <v>Baa2</v>
      </c>
      <c r="C77" s="123">
        <f>VLOOKUP(A77,$H$24:$J$111,2,FALSE)</f>
        <v>2.7E-2</v>
      </c>
      <c r="D77" s="57">
        <f t="shared" si="3"/>
        <v>2.3799999999999998E-2</v>
      </c>
      <c r="H77" s="46" t="s">
        <v>21</v>
      </c>
      <c r="I77" s="48">
        <v>3.8999999999999998E-3</v>
      </c>
      <c r="J77" s="24">
        <f t="shared" si="4"/>
        <v>6.9999999999999967E-4</v>
      </c>
    </row>
    <row r="78" spans="1:10" ht="16">
      <c r="A78" s="46" t="str">
        <f>'Sovereign Ratings (Moody''s,S&amp;P)'!A78</f>
        <v>Kenya</v>
      </c>
      <c r="B78" s="56" t="str">
        <f>'Sovereign Ratings (Moody''s,S&amp;P)'!C78</f>
        <v>B2</v>
      </c>
      <c r="C78" s="123">
        <f>VLOOKUP(A78,$H$24:$J$111,2,FALSE)</f>
        <v>7.5999999999999998E-2</v>
      </c>
      <c r="D78" s="57">
        <f t="shared" si="3"/>
        <v>7.2800000000000004E-2</v>
      </c>
      <c r="H78" s="177" t="s">
        <v>22</v>
      </c>
      <c r="I78" s="184">
        <v>6.2700000000000006E-2</v>
      </c>
      <c r="J78" s="185">
        <f t="shared" si="4"/>
        <v>5.9500000000000004E-2</v>
      </c>
    </row>
    <row r="79" spans="1:10" ht="16">
      <c r="A79" s="46" t="str">
        <f>'Sovereign Ratings (Moody''s,S&amp;P)'!A79</f>
        <v>Korea</v>
      </c>
      <c r="B79" s="56" t="str">
        <f>'Sovereign Ratings (Moody''s,S&amp;P)'!C79</f>
        <v>Aa2</v>
      </c>
      <c r="C79" s="123">
        <f>VLOOKUP(A79,$H$24:$J$111,2,FALSE)</f>
        <v>6.7999999999999996E-3</v>
      </c>
      <c r="D79" s="57">
        <f t="shared" si="3"/>
        <v>3.5999999999999995E-3</v>
      </c>
      <c r="H79" s="46" t="s">
        <v>188</v>
      </c>
      <c r="I79" s="48">
        <v>8.5199999999999998E-2</v>
      </c>
      <c r="J79" s="24">
        <f t="shared" si="4"/>
        <v>8.2000000000000003E-2</v>
      </c>
    </row>
    <row r="80" spans="1:10" ht="16">
      <c r="A80" s="46" t="str">
        <f>'Sovereign Ratings (Moody''s,S&amp;P)'!A80</f>
        <v>Kuwait</v>
      </c>
      <c r="B80" s="56" t="str">
        <f>'Sovereign Ratings (Moody''s,S&amp;P)'!C80</f>
        <v>A1</v>
      </c>
      <c r="C80" s="123">
        <f>VLOOKUP(A80,$H$24:$J$111,2,FALSE)</f>
        <v>7.9000000000000008E-3</v>
      </c>
      <c r="D80" s="57">
        <f t="shared" si="3"/>
        <v>4.7000000000000011E-3</v>
      </c>
      <c r="H80" s="46" t="s">
        <v>23</v>
      </c>
      <c r="I80" s="48">
        <v>2.8E-3</v>
      </c>
      <c r="J80" s="24">
        <f t="shared" si="4"/>
        <v>0</v>
      </c>
    </row>
    <row r="81" spans="1:10" ht="16">
      <c r="A81" s="46" t="str">
        <f>'Sovereign Ratings (Moody''s,S&amp;P)'!A81</f>
        <v>Kyrgyzstan</v>
      </c>
      <c r="B81" s="56" t="str">
        <f>'Sovereign Ratings (Moody''s,S&amp;P)'!C81</f>
        <v>B3</v>
      </c>
      <c r="C81" s="123" t="s">
        <v>143</v>
      </c>
      <c r="D81" s="57" t="str">
        <f t="shared" si="3"/>
        <v>NA</v>
      </c>
      <c r="H81" s="127" t="s">
        <v>24</v>
      </c>
      <c r="I81" s="48">
        <v>2.3699999999999999E-2</v>
      </c>
      <c r="J81" s="24">
        <f t="shared" si="4"/>
        <v>2.0499999999999997E-2</v>
      </c>
    </row>
    <row r="82" spans="1:10" ht="16">
      <c r="A82" s="46" t="str">
        <f>'Sovereign Ratings (Moody''s,S&amp;P)'!A82</f>
        <v>Laos</v>
      </c>
      <c r="B82" s="56" t="str">
        <f>'Sovereign Ratings (Moody''s,S&amp;P)'!C82</f>
        <v>Caa3</v>
      </c>
      <c r="C82" s="123" t="s">
        <v>143</v>
      </c>
      <c r="D82" s="57" t="str">
        <f t="shared" si="3"/>
        <v>NA</v>
      </c>
      <c r="H82" s="46" t="s">
        <v>25</v>
      </c>
      <c r="I82" s="48" t="s">
        <v>143</v>
      </c>
      <c r="J82" s="24" t="s">
        <v>143</v>
      </c>
    </row>
    <row r="83" spans="1:10" ht="16">
      <c r="A83" s="46" t="str">
        <f>'Sovereign Ratings (Moody''s,S&amp;P)'!A83</f>
        <v>Latvia</v>
      </c>
      <c r="B83" s="56" t="str">
        <f>'Sovereign Ratings (Moody''s,S&amp;P)'!C83</f>
        <v>A3</v>
      </c>
      <c r="C83" s="123">
        <f>VLOOKUP(A83,$H$24:$J$111,2,FALSE)</f>
        <v>1.37E-2</v>
      </c>
      <c r="D83" s="57">
        <f t="shared" si="3"/>
        <v>1.0500000000000001E-2</v>
      </c>
      <c r="H83" s="46" t="s">
        <v>26</v>
      </c>
      <c r="I83" s="48">
        <v>1.7899999999999999E-2</v>
      </c>
      <c r="J83" s="24">
        <f t="shared" ref="J83:J89" si="5">IF(I83&lt;$I$107,0,I83-$I$107)</f>
        <v>1.47E-2</v>
      </c>
    </row>
    <row r="84" spans="1:10" ht="16">
      <c r="A84" s="46" t="str">
        <f>'Sovereign Ratings (Moody''s,S&amp;P)'!A84</f>
        <v>Lebanon</v>
      </c>
      <c r="B84" s="56" t="str">
        <f>'Sovereign Ratings (Moody''s,S&amp;P)'!C84</f>
        <v>C</v>
      </c>
      <c r="C84" s="123" t="str">
        <f>VLOOKUP(A84,$H$24:$J$111,2,FALSE)</f>
        <v>NA</v>
      </c>
      <c r="D84" s="57" t="str">
        <f t="shared" si="3"/>
        <v>NA</v>
      </c>
      <c r="H84" s="46" t="s">
        <v>28</v>
      </c>
      <c r="I84" s="48">
        <v>1.9400000000000001E-2</v>
      </c>
      <c r="J84" s="24">
        <f t="shared" si="5"/>
        <v>1.6199999999999999E-2</v>
      </c>
    </row>
    <row r="85" spans="1:10" ht="16">
      <c r="A85" s="46" t="str">
        <f>'Sovereign Ratings (Moody''s,S&amp;P)'!A85</f>
        <v>Liechtenstein</v>
      </c>
      <c r="B85" s="56" t="str">
        <f>'Sovereign Ratings (Moody''s,S&amp;P)'!C85</f>
        <v>Aaa</v>
      </c>
      <c r="C85" s="123" t="s">
        <v>143</v>
      </c>
      <c r="D85" s="57" t="str">
        <f t="shared" si="3"/>
        <v>NA</v>
      </c>
      <c r="H85" s="46" t="s">
        <v>29</v>
      </c>
      <c r="I85" s="48">
        <v>1.6400000000000001E-2</v>
      </c>
      <c r="J85" s="24">
        <f t="shared" si="5"/>
        <v>1.3200000000000002E-2</v>
      </c>
    </row>
    <row r="86" spans="1:10" ht="16">
      <c r="A86" s="46" t="str">
        <f>'Sovereign Ratings (Moody''s,S&amp;P)'!A86</f>
        <v>Lithuania</v>
      </c>
      <c r="B86" s="56" t="str">
        <f>'Sovereign Ratings (Moody''s,S&amp;P)'!C86</f>
        <v>A2</v>
      </c>
      <c r="C86" s="123">
        <f>VLOOKUP(A86,$H$24:$J$111,2,FALSE)</f>
        <v>1.4500000000000001E-2</v>
      </c>
      <c r="D86" s="57">
        <f t="shared" si="3"/>
        <v>1.1300000000000001E-2</v>
      </c>
      <c r="H86" s="46" t="s">
        <v>30</v>
      </c>
      <c r="I86" s="48">
        <v>1.4500000000000001E-2</v>
      </c>
      <c r="J86" s="24">
        <f t="shared" si="5"/>
        <v>1.1300000000000001E-2</v>
      </c>
    </row>
    <row r="87" spans="1:10" ht="16">
      <c r="A87" s="46" t="str">
        <f>'Sovereign Ratings (Moody''s,S&amp;P)'!A87</f>
        <v>Luxembourg</v>
      </c>
      <c r="B87" s="56" t="str">
        <f>'Sovereign Ratings (Moody''s,S&amp;P)'!C87</f>
        <v>Aaa</v>
      </c>
      <c r="C87" s="123" t="s">
        <v>143</v>
      </c>
      <c r="D87" s="57" t="str">
        <f t="shared" si="3"/>
        <v>NA</v>
      </c>
      <c r="H87" s="46" t="s">
        <v>189</v>
      </c>
      <c r="I87" s="48">
        <v>8.0999999999999996E-3</v>
      </c>
      <c r="J87" s="24">
        <f t="shared" si="5"/>
        <v>4.8999999999999998E-3</v>
      </c>
    </row>
    <row r="88" spans="1:10" ht="16">
      <c r="A88" s="46" t="str">
        <f>'Sovereign Ratings (Moody''s,S&amp;P)'!A88</f>
        <v>Macao</v>
      </c>
      <c r="B88" s="56" t="str">
        <f>'Sovereign Ratings (Moody''s,S&amp;P)'!C88</f>
        <v>Aa3</v>
      </c>
      <c r="C88" s="123" t="s">
        <v>143</v>
      </c>
      <c r="D88" s="57" t="str">
        <f t="shared" si="3"/>
        <v>NA</v>
      </c>
      <c r="H88" s="46" t="s">
        <v>74</v>
      </c>
      <c r="I88" s="48">
        <v>7.9000000000000008E-3</v>
      </c>
      <c r="J88" s="24">
        <f t="shared" si="5"/>
        <v>4.7000000000000011E-3</v>
      </c>
    </row>
    <row r="89" spans="1:10" ht="16">
      <c r="A89" s="46" t="str">
        <f>'Sovereign Ratings (Moody''s,S&amp;P)'!A89</f>
        <v>Macedonia</v>
      </c>
      <c r="B89" s="56" t="str">
        <f>'Sovereign Ratings (Moody''s,S&amp;P)'!C89</f>
        <v>Ba3</v>
      </c>
      <c r="C89" s="123" t="s">
        <v>143</v>
      </c>
      <c r="D89" s="57" t="str">
        <f t="shared" si="3"/>
        <v>NA</v>
      </c>
      <c r="H89" s="46" t="s">
        <v>0</v>
      </c>
      <c r="I89" s="48">
        <v>3.1699999999999999E-2</v>
      </c>
      <c r="J89" s="24">
        <f t="shared" si="5"/>
        <v>2.8499999999999998E-2</v>
      </c>
    </row>
    <row r="90" spans="1:10" ht="16">
      <c r="A90" s="46" t="str">
        <f>'Sovereign Ratings (Moody''s,S&amp;P)'!A90</f>
        <v>Malaysia</v>
      </c>
      <c r="B90" s="56" t="str">
        <f>'Sovereign Ratings (Moody''s,S&amp;P)'!C90</f>
        <v>A3</v>
      </c>
      <c r="C90" s="123">
        <f>VLOOKUP(A90,$H$24:$J$111,2,FALSE)</f>
        <v>1.24E-2</v>
      </c>
      <c r="D90" s="57">
        <f t="shared" si="3"/>
        <v>9.1999999999999998E-3</v>
      </c>
      <c r="H90" s="46" t="s">
        <v>1</v>
      </c>
      <c r="I90" s="48" t="s">
        <v>143</v>
      </c>
      <c r="J90" s="24" t="s">
        <v>143</v>
      </c>
    </row>
    <row r="91" spans="1:10" ht="16">
      <c r="A91" s="46" t="str">
        <f>'Sovereign Ratings (Moody''s,S&amp;P)'!A91</f>
        <v>Maldives</v>
      </c>
      <c r="B91" s="56" t="str">
        <f>'Sovereign Ratings (Moody''s,S&amp;P)'!C91</f>
        <v>Caa1</v>
      </c>
      <c r="C91" s="123" t="s">
        <v>143</v>
      </c>
      <c r="D91" s="57" t="str">
        <f t="shared" si="3"/>
        <v>NA</v>
      </c>
      <c r="H91" s="127" t="s">
        <v>227</v>
      </c>
      <c r="I91" s="48">
        <v>5.4199999999999998E-2</v>
      </c>
      <c r="J91" s="24">
        <f t="shared" ref="J91:J98" si="6">IF(I91&lt;$I$107,0,I91-$I$107)</f>
        <v>5.0999999999999997E-2</v>
      </c>
    </row>
    <row r="92" spans="1:10" ht="16">
      <c r="A92" s="46" t="str">
        <f>'Sovereign Ratings (Moody''s,S&amp;P)'!A92</f>
        <v>Mali</v>
      </c>
      <c r="B92" s="56" t="str">
        <f>'Sovereign Ratings (Moody''s,S&amp;P)'!C92</f>
        <v>Caa2</v>
      </c>
      <c r="C92" s="123" t="s">
        <v>143</v>
      </c>
      <c r="D92" s="57" t="str">
        <f t="shared" si="3"/>
        <v>NA</v>
      </c>
      <c r="H92" s="46" t="s">
        <v>2</v>
      </c>
      <c r="I92" s="48">
        <v>9.5999999999999992E-3</v>
      </c>
      <c r="J92" s="24">
        <f t="shared" si="6"/>
        <v>6.3999999999999994E-3</v>
      </c>
    </row>
    <row r="93" spans="1:10" ht="16">
      <c r="A93" s="46" t="str">
        <f>'Sovereign Ratings (Moody''s,S&amp;P)'!A93</f>
        <v>Malta</v>
      </c>
      <c r="B93" s="56" t="str">
        <f>'Sovereign Ratings (Moody''s,S&amp;P)'!C93</f>
        <v>A2</v>
      </c>
      <c r="C93" s="123" t="s">
        <v>143</v>
      </c>
      <c r="D93" s="57" t="str">
        <f t="shared" si="3"/>
        <v>NA</v>
      </c>
      <c r="H93" s="127" t="s">
        <v>135</v>
      </c>
      <c r="I93" s="48">
        <v>5.3900000000000003E-2</v>
      </c>
      <c r="J93" s="24">
        <f t="shared" si="6"/>
        <v>5.0700000000000002E-2</v>
      </c>
    </row>
    <row r="94" spans="1:10" ht="16">
      <c r="A94" s="46" t="str">
        <f>'Sovereign Ratings (Moody''s,S&amp;P)'!A94</f>
        <v>Mauritius</v>
      </c>
      <c r="B94" s="56" t="str">
        <f>'Sovereign Ratings (Moody''s,S&amp;P)'!C94</f>
        <v>Baa3</v>
      </c>
      <c r="C94" s="123" t="s">
        <v>143</v>
      </c>
      <c r="D94" s="57" t="str">
        <f t="shared" si="3"/>
        <v>NA</v>
      </c>
      <c r="H94" s="127" t="s">
        <v>147</v>
      </c>
      <c r="I94" s="48">
        <v>2.93E-2</v>
      </c>
      <c r="J94" s="24">
        <f t="shared" si="6"/>
        <v>2.6099999999999998E-2</v>
      </c>
    </row>
    <row r="95" spans="1:10" ht="16">
      <c r="A95" s="46" t="str">
        <f>'Sovereign Ratings (Moody''s,S&amp;P)'!A95</f>
        <v>Mexico</v>
      </c>
      <c r="B95" s="56" t="str">
        <f>'Sovereign Ratings (Moody''s,S&amp;P)'!C95</f>
        <v>Baa2</v>
      </c>
      <c r="C95" s="123">
        <f>VLOOKUP(A95,$H$24:$J$111,2,FALSE)</f>
        <v>2.1100000000000001E-2</v>
      </c>
      <c r="D95" s="57">
        <f t="shared" si="3"/>
        <v>1.7899999999999999E-2</v>
      </c>
      <c r="H95" s="46" t="s">
        <v>61</v>
      </c>
      <c r="I95" s="48">
        <v>7.4999999999999997E-3</v>
      </c>
      <c r="J95" s="24">
        <f t="shared" si="6"/>
        <v>4.3E-3</v>
      </c>
    </row>
    <row r="96" spans="1:10" ht="16">
      <c r="A96" s="46" t="str">
        <f>'Sovereign Ratings (Moody''s,S&amp;P)'!A96</f>
        <v>Moldova</v>
      </c>
      <c r="B96" s="56" t="str">
        <f>'Sovereign Ratings (Moody''s,S&amp;P)'!C96</f>
        <v>B3</v>
      </c>
      <c r="C96" s="123" t="s">
        <v>143</v>
      </c>
      <c r="D96" s="57" t="str">
        <f t="shared" si="3"/>
        <v>NA</v>
      </c>
      <c r="H96" s="46" t="s">
        <v>190</v>
      </c>
      <c r="I96" s="48">
        <v>0.01</v>
      </c>
      <c r="J96" s="24">
        <f t="shared" si="6"/>
        <v>6.8000000000000005E-3</v>
      </c>
    </row>
    <row r="97" spans="1:10" ht="16">
      <c r="A97" s="46" t="str">
        <f>'Sovereign Ratings (Moody''s,S&amp;P)'!A97</f>
        <v>Mongolia</v>
      </c>
      <c r="B97" s="56" t="str">
        <f>'Sovereign Ratings (Moody''s,S&amp;P)'!C97</f>
        <v>B3</v>
      </c>
      <c r="C97" s="123" t="s">
        <v>143</v>
      </c>
      <c r="D97" s="57" t="str">
        <f t="shared" si="3"/>
        <v>NA</v>
      </c>
      <c r="H97" s="46" t="s">
        <v>76</v>
      </c>
      <c r="I97" s="48">
        <v>3.5099999999999999E-2</v>
      </c>
      <c r="J97" s="24">
        <f t="shared" si="6"/>
        <v>3.1899999999999998E-2</v>
      </c>
    </row>
    <row r="98" spans="1:10" ht="16">
      <c r="A98" s="46" t="str">
        <f>'Sovereign Ratings (Moody''s,S&amp;P)'!A98</f>
        <v>Montenegro</v>
      </c>
      <c r="B98" s="56" t="str">
        <f>'Sovereign Ratings (Moody''s,S&amp;P)'!C98</f>
        <v>B1</v>
      </c>
      <c r="C98" s="123" t="s">
        <v>143</v>
      </c>
      <c r="D98" s="57" t="str">
        <f t="shared" si="3"/>
        <v>NA</v>
      </c>
      <c r="H98" s="46" t="s">
        <v>138</v>
      </c>
      <c r="I98" s="48">
        <v>8.2000000000000007E-3</v>
      </c>
      <c r="J98" s="24">
        <f t="shared" si="6"/>
        <v>5.000000000000001E-3</v>
      </c>
    </row>
    <row r="99" spans="1:10" ht="16">
      <c r="A99" s="46" t="str">
        <f>'Sovereign Ratings (Moody''s,S&amp;P)'!A99</f>
        <v>Montserrat</v>
      </c>
      <c r="B99" s="56" t="str">
        <f>'Sovereign Ratings (Moody''s,S&amp;P)'!C99</f>
        <v>Baa3</v>
      </c>
      <c r="C99" s="123" t="s">
        <v>143</v>
      </c>
      <c r="D99" s="57" t="str">
        <f t="shared" si="3"/>
        <v>NA</v>
      </c>
      <c r="H99" s="46" t="s">
        <v>134</v>
      </c>
      <c r="I99" s="48" t="s">
        <v>143</v>
      </c>
      <c r="J99" s="24" t="s">
        <v>143</v>
      </c>
    </row>
    <row r="100" spans="1:10" ht="16">
      <c r="A100" s="46" t="str">
        <f>'Sovereign Ratings (Moody''s,S&amp;P)'!A100</f>
        <v>Morocco</v>
      </c>
      <c r="B100" s="56" t="str">
        <f>'Sovereign Ratings (Moody''s,S&amp;P)'!C100</f>
        <v>Ba1</v>
      </c>
      <c r="C100" s="123">
        <f>VLOOKUP(A100,$H$24:$J$111,2,FALSE)</f>
        <v>2.53E-2</v>
      </c>
      <c r="D100" s="57">
        <f t="shared" si="3"/>
        <v>2.2099999999999998E-2</v>
      </c>
      <c r="H100" s="46" t="s">
        <v>34</v>
      </c>
      <c r="I100" s="48">
        <v>2.5999999999999999E-3</v>
      </c>
      <c r="J100" s="24">
        <f>IF(I100&lt;$I$107,0,I100-$I$107)</f>
        <v>0</v>
      </c>
    </row>
    <row r="101" spans="1:10" ht="16">
      <c r="A101" s="46" t="str">
        <f>'Sovereign Ratings (Moody''s,S&amp;P)'!A101</f>
        <v>Mozambique</v>
      </c>
      <c r="B101" s="56" t="str">
        <f>'Sovereign Ratings (Moody''s,S&amp;P)'!C101</f>
        <v>Caa2</v>
      </c>
      <c r="C101" s="123" t="s">
        <v>143</v>
      </c>
      <c r="D101" s="57" t="str">
        <f t="shared" si="3"/>
        <v>NA</v>
      </c>
      <c r="H101" s="46" t="s">
        <v>35</v>
      </c>
      <c r="I101" s="48">
        <v>1.6999999999999999E-3</v>
      </c>
      <c r="J101" s="24">
        <f>IF(I101&lt;$I$107,0,I101-$I$107)</f>
        <v>0</v>
      </c>
    </row>
    <row r="102" spans="1:10" ht="16">
      <c r="A102" s="46" t="str">
        <f>'Sovereign Ratings (Moody''s,S&amp;P)'!A102</f>
        <v>Namibia</v>
      </c>
      <c r="B102" s="56" t="str">
        <f>'Sovereign Ratings (Moody''s,S&amp;P)'!C102</f>
        <v>B1</v>
      </c>
      <c r="C102" s="123" t="s">
        <v>143</v>
      </c>
      <c r="D102" s="57" t="str">
        <f t="shared" si="3"/>
        <v>NA</v>
      </c>
      <c r="H102" s="46" t="s">
        <v>65</v>
      </c>
      <c r="I102" s="48">
        <v>8.6999999999999994E-3</v>
      </c>
      <c r="J102" s="24">
        <f>IF(I102&lt;$I$107,0,I102-$I$107)</f>
        <v>5.4999999999999997E-3</v>
      </c>
    </row>
    <row r="103" spans="1:10" ht="16">
      <c r="A103" s="46" t="str">
        <f>'Sovereign Ratings (Moody''s,S&amp;P)'!A103</f>
        <v>Netherlands</v>
      </c>
      <c r="B103" s="56" t="str">
        <f>'Sovereign Ratings (Moody''s,S&amp;P)'!C103</f>
        <v>Aaa</v>
      </c>
      <c r="C103" s="123">
        <f>VLOOKUP(A103,$H$24:$J$111,2,FALSE)</f>
        <v>2.5999999999999999E-3</v>
      </c>
      <c r="D103" s="57">
        <f t="shared" si="3"/>
        <v>0</v>
      </c>
      <c r="H103" s="46" t="s">
        <v>77</v>
      </c>
      <c r="I103" s="48">
        <v>8.6900000000000005E-2</v>
      </c>
      <c r="J103" s="24">
        <f>IF(I103&lt;$I$107,0,I103-$I$107)</f>
        <v>8.3700000000000011E-2</v>
      </c>
    </row>
    <row r="104" spans="1:10" ht="16">
      <c r="A104" s="46" t="str">
        <f>'Sovereign Ratings (Moody''s,S&amp;P)'!A104</f>
        <v>New Zealand</v>
      </c>
      <c r="B104" s="56" t="str">
        <f>'Sovereign Ratings (Moody''s,S&amp;P)'!C104</f>
        <v>Aaa</v>
      </c>
      <c r="C104" s="123">
        <f>VLOOKUP(A104,$H$24:$J$111,2,FALSE)</f>
        <v>3.8999999999999998E-3</v>
      </c>
      <c r="D104" s="57">
        <f t="shared" si="3"/>
        <v>6.9999999999999967E-4</v>
      </c>
      <c r="H104" s="46" t="s">
        <v>66</v>
      </c>
      <c r="I104" s="48">
        <v>5.2999999999999999E-2</v>
      </c>
      <c r="J104" s="24">
        <f>IF(I104&lt;$I$107,0,I104-$I$107)</f>
        <v>4.9799999999999997E-2</v>
      </c>
    </row>
    <row r="105" spans="1:10" ht="16">
      <c r="A105" s="46" t="str">
        <f>'Sovereign Ratings (Moody''s,S&amp;P)'!A105</f>
        <v>Nicaragua</v>
      </c>
      <c r="B105" s="56" t="str">
        <f>'Sovereign Ratings (Moody''s,S&amp;P)'!C105</f>
        <v>B3</v>
      </c>
      <c r="C105" s="123">
        <f>VLOOKUP(A105,$H$24:$J$111,2,FALSE)</f>
        <v>6.2700000000000006E-2</v>
      </c>
      <c r="D105" s="57">
        <f t="shared" si="3"/>
        <v>5.9500000000000004E-2</v>
      </c>
      <c r="H105" s="46" t="s">
        <v>68</v>
      </c>
      <c r="I105" s="48" t="s">
        <v>143</v>
      </c>
      <c r="J105" s="24" t="s">
        <v>143</v>
      </c>
    </row>
    <row r="106" spans="1:10" ht="16">
      <c r="A106" s="46" t="s">
        <v>321</v>
      </c>
      <c r="B106" s="56" t="str">
        <f>'Sovereign Ratings (Moody''s,S&amp;P)'!C106</f>
        <v>B3</v>
      </c>
      <c r="C106" s="123" t="s">
        <v>143</v>
      </c>
      <c r="D106" s="57" t="str">
        <f t="shared" si="3"/>
        <v>NA</v>
      </c>
      <c r="H106" s="46" t="s">
        <v>57</v>
      </c>
      <c r="I106" s="48">
        <v>3.5999999999999999E-3</v>
      </c>
      <c r="J106" s="24">
        <f>IF(I106&lt;$I$107,0,I106-$I$107)</f>
        <v>3.9999999999999975E-4</v>
      </c>
    </row>
    <row r="107" spans="1:10" ht="16">
      <c r="A107" s="46" t="str">
        <f>'Sovereign Ratings (Moody''s,S&amp;P)'!A107</f>
        <v>Nigeria</v>
      </c>
      <c r="B107" s="56" t="str">
        <f>'Sovereign Ratings (Moody''s,S&amp;P)'!C107</f>
        <v>B3</v>
      </c>
      <c r="C107" s="123">
        <f>VLOOKUP(A107,$H$24:$J$111,2,FALSE)</f>
        <v>8.5199999999999998E-2</v>
      </c>
      <c r="D107" s="57">
        <f t="shared" si="3"/>
        <v>8.2000000000000003E-2</v>
      </c>
      <c r="H107" s="46" t="s">
        <v>356</v>
      </c>
      <c r="I107" s="48">
        <v>3.2000000000000002E-3</v>
      </c>
      <c r="J107" s="24">
        <f>IF(I107&lt;$I$107,0,I107-$I$107)</f>
        <v>0</v>
      </c>
    </row>
    <row r="108" spans="1:10" ht="16">
      <c r="A108" s="46" t="str">
        <f>'Sovereign Ratings (Moody''s,S&amp;P)'!A108</f>
        <v>Norway</v>
      </c>
      <c r="B108" s="56" t="str">
        <f>'Sovereign Ratings (Moody''s,S&amp;P)'!C108</f>
        <v>Aaa</v>
      </c>
      <c r="C108" s="123">
        <f>VLOOKUP(A108,$H$24:$J$111,2,FALSE)</f>
        <v>2.8E-3</v>
      </c>
      <c r="D108" s="57">
        <f t="shared" si="3"/>
        <v>0</v>
      </c>
      <c r="H108" s="127" t="s">
        <v>69</v>
      </c>
      <c r="I108" s="48">
        <v>1.43E-2</v>
      </c>
      <c r="J108" s="24">
        <f>IF(I108&lt;$I$107,0,I108-$I$107)</f>
        <v>1.11E-2</v>
      </c>
    </row>
    <row r="109" spans="1:10" ht="16">
      <c r="A109" s="46" t="str">
        <f>'Sovereign Ratings (Moody''s,S&amp;P)'!A109</f>
        <v>Oman</v>
      </c>
      <c r="B109" s="56" t="str">
        <f>'Sovereign Ratings (Moody''s,S&amp;P)'!C109</f>
        <v>Ba3</v>
      </c>
      <c r="C109" s="123">
        <f>VLOOKUP(A109,$H$24:$J$111,2,FALSE)</f>
        <v>2.3699999999999999E-2</v>
      </c>
      <c r="D109" s="57">
        <f t="shared" si="3"/>
        <v>2.0499999999999997E-2</v>
      </c>
      <c r="H109" s="46" t="s">
        <v>70</v>
      </c>
      <c r="I109" s="48" t="s">
        <v>143</v>
      </c>
      <c r="J109" s="24" t="s">
        <v>143</v>
      </c>
    </row>
    <row r="110" spans="1:10" ht="16">
      <c r="A110" s="46" t="str">
        <f>'Sovereign Ratings (Moody''s,S&amp;P)'!A110</f>
        <v>Pakistan</v>
      </c>
      <c r="B110" s="56" t="str">
        <f>'Sovereign Ratings (Moody''s,S&amp;P)'!C110</f>
        <v>Caa1</v>
      </c>
      <c r="C110" s="123" t="str">
        <f>VLOOKUP(A110,$H$24:$J$111,2,FALSE)</f>
        <v>NA</v>
      </c>
      <c r="D110" s="57" t="str">
        <f t="shared" si="3"/>
        <v>NA</v>
      </c>
      <c r="H110" s="46" t="s">
        <v>71</v>
      </c>
      <c r="I110" s="48">
        <v>2.07E-2</v>
      </c>
      <c r="J110" s="24">
        <f>IF(I110&lt;$I$107,0,I110-$I$107)</f>
        <v>1.7499999999999998E-2</v>
      </c>
    </row>
    <row r="111" spans="1:10" ht="16">
      <c r="A111" s="46" t="str">
        <f>'Sovereign Ratings (Moody''s,S&amp;P)'!A111</f>
        <v>Panama</v>
      </c>
      <c r="B111" s="56" t="str">
        <f>'Sovereign Ratings (Moody''s,S&amp;P)'!C111</f>
        <v>Baa2</v>
      </c>
      <c r="C111" s="123">
        <f>VLOOKUP(A111,$H$24:$J$111,2,FALSE)</f>
        <v>1.7899999999999999E-2</v>
      </c>
      <c r="D111" s="57">
        <f t="shared" si="3"/>
        <v>1.47E-2</v>
      </c>
      <c r="H111" s="46" t="s">
        <v>192</v>
      </c>
      <c r="I111" s="48" t="s">
        <v>143</v>
      </c>
      <c r="J111" s="24" t="s">
        <v>143</v>
      </c>
    </row>
    <row r="112" spans="1:10" ht="16">
      <c r="A112" s="46" t="str">
        <f>'Sovereign Ratings (Moody''s,S&amp;P)'!A112</f>
        <v>Papua New Guinea</v>
      </c>
      <c r="B112" s="56" t="str">
        <f>'Sovereign Ratings (Moody''s,S&amp;P)'!C112</f>
        <v>B2</v>
      </c>
      <c r="C112" s="123" t="s">
        <v>143</v>
      </c>
      <c r="D112" s="57" t="str">
        <f t="shared" si="3"/>
        <v>NA</v>
      </c>
    </row>
    <row r="113" spans="1:4" ht="16">
      <c r="A113" s="46" t="str">
        <f>'Sovereign Ratings (Moody''s,S&amp;P)'!A113</f>
        <v>Paraguay</v>
      </c>
      <c r="B113" s="56" t="str">
        <f>'Sovereign Ratings (Moody''s,S&amp;P)'!C113</f>
        <v>Ba1</v>
      </c>
      <c r="C113" s="123" t="s">
        <v>143</v>
      </c>
      <c r="D113" s="57" t="str">
        <f t="shared" si="3"/>
        <v>NA</v>
      </c>
    </row>
    <row r="114" spans="1:4" ht="16">
      <c r="A114" s="46" t="str">
        <f>'Sovereign Ratings (Moody''s,S&amp;P)'!A114</f>
        <v>Peru</v>
      </c>
      <c r="B114" s="56" t="str">
        <f>'Sovereign Ratings (Moody''s,S&amp;P)'!C114</f>
        <v>Baa1</v>
      </c>
      <c r="C114" s="123">
        <f>VLOOKUP(A114,$H$24:$J$111,2,FALSE)</f>
        <v>1.9400000000000001E-2</v>
      </c>
      <c r="D114" s="57">
        <f t="shared" si="3"/>
        <v>1.6199999999999999E-2</v>
      </c>
    </row>
    <row r="115" spans="1:4" ht="16">
      <c r="A115" s="46" t="str">
        <f>'Sovereign Ratings (Moody''s,S&amp;P)'!A115</f>
        <v>Philippines</v>
      </c>
      <c r="B115" s="56" t="str">
        <f>'Sovereign Ratings (Moody''s,S&amp;P)'!C115</f>
        <v>Baa2</v>
      </c>
      <c r="C115" s="123">
        <f>VLOOKUP(A115,$H$24:$J$111,2,FALSE)</f>
        <v>1.6400000000000001E-2</v>
      </c>
      <c r="D115" s="57">
        <f t="shared" si="3"/>
        <v>1.3200000000000002E-2</v>
      </c>
    </row>
    <row r="116" spans="1:4" ht="16">
      <c r="A116" s="46" t="str">
        <f>'Sovereign Ratings (Moody''s,S&amp;P)'!A116</f>
        <v>Poland</v>
      </c>
      <c r="B116" s="56" t="str">
        <f>'Sovereign Ratings (Moody''s,S&amp;P)'!C116</f>
        <v>A2</v>
      </c>
      <c r="C116" s="123">
        <f>VLOOKUP(A116,$H$24:$J$111,2,FALSE)</f>
        <v>1.4500000000000001E-2</v>
      </c>
      <c r="D116" s="57">
        <f t="shared" si="3"/>
        <v>1.1300000000000001E-2</v>
      </c>
    </row>
    <row r="117" spans="1:4" ht="16">
      <c r="A117" s="46" t="str">
        <f>'Sovereign Ratings (Moody''s,S&amp;P)'!A117</f>
        <v>Portugal</v>
      </c>
      <c r="B117" s="56" t="str">
        <f>'Sovereign Ratings (Moody''s,S&amp;P)'!C117</f>
        <v>Baa2</v>
      </c>
      <c r="C117" s="123">
        <f>VLOOKUP(A117,$H$24:$J$111,2,FALSE)</f>
        <v>8.0999999999999996E-3</v>
      </c>
      <c r="D117" s="57">
        <f t="shared" si="3"/>
        <v>4.8999999999999998E-3</v>
      </c>
    </row>
    <row r="118" spans="1:4" ht="16">
      <c r="A118" s="46" t="str">
        <f>'Sovereign Ratings (Moody''s,S&amp;P)'!A118</f>
        <v>Qatar</v>
      </c>
      <c r="B118" s="56" t="str">
        <f>'Sovereign Ratings (Moody''s,S&amp;P)'!C118</f>
        <v>Aa3</v>
      </c>
      <c r="C118" s="123">
        <f>VLOOKUP(A118,$H$24:$J$111,2,FALSE)</f>
        <v>7.9000000000000008E-3</v>
      </c>
      <c r="D118" s="57">
        <f t="shared" si="3"/>
        <v>4.7000000000000011E-3</v>
      </c>
    </row>
    <row r="119" spans="1:4" ht="16">
      <c r="A119" s="46" t="str">
        <f>'Sovereign Ratings (Moody''s,S&amp;P)'!A119</f>
        <v>Ras Al Khaimah (Emirate of)</v>
      </c>
      <c r="B119" s="56" t="str">
        <f>'Sovereign Ratings (Moody''s,S&amp;P)'!C119</f>
        <v>A3</v>
      </c>
      <c r="C119" s="123" t="s">
        <v>143</v>
      </c>
      <c r="D119" s="57" t="str">
        <f t="shared" si="3"/>
        <v>NA</v>
      </c>
    </row>
    <row r="120" spans="1:4" ht="16">
      <c r="A120" s="46" t="str">
        <f>'Sovereign Ratings (Moody''s,S&amp;P)'!A120</f>
        <v>Romania</v>
      </c>
      <c r="B120" s="56" t="str">
        <f>'Sovereign Ratings (Moody''s,S&amp;P)'!C120</f>
        <v>Baa3</v>
      </c>
      <c r="C120" s="123">
        <f t="shared" ref="C120:C125" si="7">VLOOKUP(A120,$H$24:$J$111,2,FALSE)</f>
        <v>3.1699999999999999E-2</v>
      </c>
      <c r="D120" s="57">
        <f t="shared" si="3"/>
        <v>2.8499999999999998E-2</v>
      </c>
    </row>
    <row r="121" spans="1:4" ht="16">
      <c r="A121" s="46" t="str">
        <f>'Sovereign Ratings (Moody''s,S&amp;P)'!A121</f>
        <v>Russia</v>
      </c>
      <c r="B121" s="56" t="str">
        <f>'Sovereign Ratings (Moody''s,S&amp;P)'!C121</f>
        <v>Caa1</v>
      </c>
      <c r="C121" s="123" t="str">
        <f t="shared" si="7"/>
        <v>NA</v>
      </c>
      <c r="D121" s="57" t="str">
        <f t="shared" si="3"/>
        <v>NA</v>
      </c>
    </row>
    <row r="122" spans="1:4" ht="16">
      <c r="A122" s="46" t="str">
        <f>'Sovereign Ratings (Moody''s,S&amp;P)'!A122</f>
        <v>Rwanda</v>
      </c>
      <c r="B122" s="56" t="str">
        <f>'Sovereign Ratings (Moody''s,S&amp;P)'!C122</f>
        <v>B2</v>
      </c>
      <c r="C122" s="123">
        <f t="shared" si="7"/>
        <v>5.4199999999999998E-2</v>
      </c>
      <c r="D122" s="57">
        <f t="shared" si="3"/>
        <v>5.0999999999999997E-2</v>
      </c>
    </row>
    <row r="123" spans="1:4" ht="16">
      <c r="A123" s="46" t="str">
        <f>'Sovereign Ratings (Moody''s,S&amp;P)'!A123</f>
        <v>Saudi Arabia</v>
      </c>
      <c r="B123" s="56" t="str">
        <f>'Sovereign Ratings (Moody''s,S&amp;P)'!C123</f>
        <v>A1</v>
      </c>
      <c r="C123" s="123">
        <f t="shared" si="7"/>
        <v>9.5999999999999992E-3</v>
      </c>
      <c r="D123" s="57">
        <f t="shared" si="3"/>
        <v>6.3999999999999994E-3</v>
      </c>
    </row>
    <row r="124" spans="1:4" ht="16">
      <c r="A124" s="46" t="str">
        <f>'Sovereign Ratings (Moody''s,S&amp;P)'!A124</f>
        <v>Senegal</v>
      </c>
      <c r="B124" s="56" t="str">
        <f>'Sovereign Ratings (Moody''s,S&amp;P)'!C124</f>
        <v>Ba3</v>
      </c>
      <c r="C124" s="123">
        <f t="shared" si="7"/>
        <v>5.3900000000000003E-2</v>
      </c>
      <c r="D124" s="57">
        <f t="shared" si="3"/>
        <v>5.0700000000000002E-2</v>
      </c>
    </row>
    <row r="125" spans="1:4" ht="16">
      <c r="A125" s="46" t="str">
        <f>'Sovereign Ratings (Moody''s,S&amp;P)'!A125</f>
        <v>Serbia</v>
      </c>
      <c r="B125" s="56" t="str">
        <f>'Sovereign Ratings (Moody''s,S&amp;P)'!C125</f>
        <v>Ba2</v>
      </c>
      <c r="C125" s="123">
        <f t="shared" si="7"/>
        <v>2.93E-2</v>
      </c>
      <c r="D125" s="57">
        <f t="shared" si="3"/>
        <v>2.6099999999999998E-2</v>
      </c>
    </row>
    <row r="126" spans="1:4" ht="16">
      <c r="A126" s="46" t="str">
        <f>'Sovereign Ratings (Moody''s,S&amp;P)'!A126</f>
        <v>Sharjah</v>
      </c>
      <c r="B126" s="56" t="str">
        <f>'Sovereign Ratings (Moody''s,S&amp;P)'!C126</f>
        <v>Ba1</v>
      </c>
      <c r="C126" s="123" t="s">
        <v>143</v>
      </c>
      <c r="D126" s="57" t="str">
        <f t="shared" si="3"/>
        <v>NA</v>
      </c>
    </row>
    <row r="127" spans="1:4" ht="16">
      <c r="A127" s="46" t="str">
        <f>'Sovereign Ratings (Moody''s,S&amp;P)'!A127</f>
        <v>Singapore</v>
      </c>
      <c r="B127" s="56" t="str">
        <f>'Sovereign Ratings (Moody''s,S&amp;P)'!C127</f>
        <v>Aaa</v>
      </c>
      <c r="C127" s="123" t="s">
        <v>143</v>
      </c>
      <c r="D127" s="57" t="str">
        <f t="shared" si="3"/>
        <v>NA</v>
      </c>
    </row>
    <row r="128" spans="1:4" ht="16">
      <c r="A128" s="46" t="str">
        <f>'Sovereign Ratings (Moody''s,S&amp;P)'!A128</f>
        <v>Slovakia</v>
      </c>
      <c r="B128" s="56" t="str">
        <f>'Sovereign Ratings (Moody''s,S&amp;P)'!C128</f>
        <v>A2</v>
      </c>
      <c r="C128" s="123">
        <f>VLOOKUP(A128,$H$24:$J$111,2,FALSE)</f>
        <v>7.4999999999999997E-3</v>
      </c>
      <c r="D128" s="57">
        <f t="shared" si="3"/>
        <v>4.3E-3</v>
      </c>
    </row>
    <row r="129" spans="1:4" ht="16">
      <c r="A129" s="46" t="str">
        <f>'Sovereign Ratings (Moody''s,S&amp;P)'!A129</f>
        <v>Slovenia</v>
      </c>
      <c r="B129" s="56" t="str">
        <f>'Sovereign Ratings (Moody''s,S&amp;P)'!C129</f>
        <v>A3</v>
      </c>
      <c r="C129" s="123">
        <f>VLOOKUP(A129,$H$24:$J$111,2,FALSE)</f>
        <v>0.01</v>
      </c>
      <c r="D129" s="57">
        <f t="shared" si="3"/>
        <v>6.8000000000000005E-3</v>
      </c>
    </row>
    <row r="130" spans="1:4" ht="16">
      <c r="A130" s="46" t="str">
        <f>'Sovereign Ratings (Moody''s,S&amp;P)'!A130</f>
        <v>Solomon Islands</v>
      </c>
      <c r="B130" s="56" t="str">
        <f>'Sovereign Ratings (Moody''s,S&amp;P)'!C130</f>
        <v>Caa1</v>
      </c>
      <c r="C130" s="123" t="s">
        <v>143</v>
      </c>
      <c r="D130" s="57" t="str">
        <f t="shared" ref="D130:D140" si="8">IF(C130="NA","NA",IF(C130&gt;$C$153,C130-$C$153,0))</f>
        <v>NA</v>
      </c>
    </row>
    <row r="131" spans="1:4" ht="16">
      <c r="A131" s="46" t="str">
        <f>'Sovereign Ratings (Moody''s,S&amp;P)'!A131</f>
        <v>South Africa</v>
      </c>
      <c r="B131" s="56" t="str">
        <f>'Sovereign Ratings (Moody''s,S&amp;P)'!C131</f>
        <v>Ba2</v>
      </c>
      <c r="C131" s="123">
        <f>VLOOKUP(A131,$H$24:$J$111,2,FALSE)</f>
        <v>3.5099999999999999E-2</v>
      </c>
      <c r="D131" s="57">
        <f t="shared" si="8"/>
        <v>3.1899999999999998E-2</v>
      </c>
    </row>
    <row r="132" spans="1:4" ht="16">
      <c r="A132" s="46" t="str">
        <f>'Sovereign Ratings (Moody''s,S&amp;P)'!A132</f>
        <v>Spain</v>
      </c>
      <c r="B132" s="56" t="str">
        <f>'Sovereign Ratings (Moody''s,S&amp;P)'!C132</f>
        <v>Baa1</v>
      </c>
      <c r="C132" s="123">
        <f>VLOOKUP(A132,$H$24:$J$111,2,FALSE)</f>
        <v>8.2000000000000007E-3</v>
      </c>
      <c r="D132" s="57">
        <f t="shared" si="8"/>
        <v>5.000000000000001E-3</v>
      </c>
    </row>
    <row r="133" spans="1:4" ht="16">
      <c r="A133" s="46" t="str">
        <f>'Sovereign Ratings (Moody''s,S&amp;P)'!A133</f>
        <v>Sri Lanka</v>
      </c>
      <c r="B133" s="56" t="str">
        <f>'Sovereign Ratings (Moody''s,S&amp;P)'!C133</f>
        <v>Ca</v>
      </c>
      <c r="C133" s="123" t="str">
        <f>VLOOKUP(A133,$H$24:$J$111,2,FALSE)</f>
        <v>NA</v>
      </c>
      <c r="D133" s="57" t="str">
        <f t="shared" si="8"/>
        <v>NA</v>
      </c>
    </row>
    <row r="134" spans="1:4" ht="16">
      <c r="A134" s="46" t="str">
        <f>'Sovereign Ratings (Moody''s,S&amp;P)'!A134</f>
        <v>St. Maarten</v>
      </c>
      <c r="B134" s="56" t="str">
        <f>'Sovereign Ratings (Moody''s,S&amp;P)'!C134</f>
        <v>Ba2</v>
      </c>
      <c r="C134" s="123" t="s">
        <v>143</v>
      </c>
      <c r="D134" s="57" t="str">
        <f t="shared" si="8"/>
        <v>NA</v>
      </c>
    </row>
    <row r="135" spans="1:4" ht="16">
      <c r="A135" s="46" t="str">
        <f>'Sovereign Ratings (Moody''s,S&amp;P)'!A135</f>
        <v>St. Vincent &amp; the Grenadines</v>
      </c>
      <c r="B135" s="56" t="str">
        <f>'Sovereign Ratings (Moody''s,S&amp;P)'!C135</f>
        <v>B3</v>
      </c>
      <c r="C135" s="123" t="s">
        <v>143</v>
      </c>
      <c r="D135" s="57" t="str">
        <f t="shared" si="8"/>
        <v>NA</v>
      </c>
    </row>
    <row r="136" spans="1:4" ht="16">
      <c r="A136" s="46" t="str">
        <f>'Sovereign Ratings (Moody''s,S&amp;P)'!A136</f>
        <v>Suriname</v>
      </c>
      <c r="B136" s="56" t="str">
        <f>'Sovereign Ratings (Moody''s,S&amp;P)'!C136</f>
        <v>Caa3</v>
      </c>
      <c r="C136" s="123" t="s">
        <v>143</v>
      </c>
      <c r="D136" s="57" t="str">
        <f t="shared" si="8"/>
        <v>NA</v>
      </c>
    </row>
    <row r="137" spans="1:4" ht="16">
      <c r="A137" s="46" t="str">
        <f>'Sovereign Ratings (Moody''s,S&amp;P)'!A137</f>
        <v>Swaziland</v>
      </c>
      <c r="B137" s="56" t="str">
        <f>'Sovereign Ratings (Moody''s,S&amp;P)'!C137</f>
        <v>B3</v>
      </c>
      <c r="C137" s="123" t="s">
        <v>143</v>
      </c>
      <c r="D137" s="57" t="str">
        <f t="shared" si="8"/>
        <v>NA</v>
      </c>
    </row>
    <row r="138" spans="1:4" ht="16">
      <c r="A138" s="46" t="str">
        <f>'Sovereign Ratings (Moody''s,S&amp;P)'!A138</f>
        <v>Sweden</v>
      </c>
      <c r="B138" s="56" t="str">
        <f>'Sovereign Ratings (Moody''s,S&amp;P)'!C138</f>
        <v>Aaa</v>
      </c>
      <c r="C138" s="123">
        <f>VLOOKUP(A138,$H$24:$J$111,2,FALSE)</f>
        <v>2.5999999999999999E-3</v>
      </c>
      <c r="D138" s="57">
        <f t="shared" si="8"/>
        <v>0</v>
      </c>
    </row>
    <row r="139" spans="1:4" ht="16">
      <c r="A139" s="46" t="str">
        <f>'Sovereign Ratings (Moody''s,S&amp;P)'!A139</f>
        <v>Switzerland</v>
      </c>
      <c r="B139" s="56" t="str">
        <f>'Sovereign Ratings (Moody''s,S&amp;P)'!C139</f>
        <v>Aaa</v>
      </c>
      <c r="C139" s="123">
        <f>VLOOKUP(A139,$H$24:$J$111,2,FALSE)</f>
        <v>1.6999999999999999E-3</v>
      </c>
      <c r="D139" s="57">
        <f t="shared" si="8"/>
        <v>0</v>
      </c>
    </row>
    <row r="140" spans="1:4" ht="16">
      <c r="A140" s="46" t="str">
        <f>'Sovereign Ratings (Moody''s,S&amp;P)'!A140</f>
        <v>Taiwan</v>
      </c>
      <c r="B140" s="56" t="str">
        <f>'Sovereign Ratings (Moody''s,S&amp;P)'!C140</f>
        <v>Aa3</v>
      </c>
      <c r="C140" s="123" t="s">
        <v>143</v>
      </c>
      <c r="D140" s="57" t="str">
        <f t="shared" si="8"/>
        <v>NA</v>
      </c>
    </row>
    <row r="141" spans="1:4" ht="16">
      <c r="A141" s="46" t="str">
        <f>'Sovereign Ratings (Moody''s,S&amp;P)'!A141</f>
        <v>Tajikistan</v>
      </c>
      <c r="B141" s="56" t="str">
        <f>'Sovereign Ratings (Moody''s,S&amp;P)'!C141</f>
        <v>B3</v>
      </c>
      <c r="C141" s="123" t="s">
        <v>143</v>
      </c>
      <c r="D141" s="57" t="str">
        <f>IF(C141="NA","NA",IF(C141&gt;$C$153,C141-$C$153,0))</f>
        <v>NA</v>
      </c>
    </row>
    <row r="142" spans="1:4" ht="16">
      <c r="A142" s="46" t="str">
        <f>'Sovereign Ratings (Moody''s,S&amp;P)'!A142</f>
        <v>Tanzania</v>
      </c>
      <c r="B142" s="56" t="str">
        <f>'Sovereign Ratings (Moody''s,S&amp;P)'!C142</f>
        <v>B2</v>
      </c>
      <c r="C142" s="123" t="s">
        <v>143</v>
      </c>
      <c r="D142" s="57" t="str">
        <f t="shared" ref="D142:D158" si="9">IF(C142="NA","NA",IF(C142&gt;$C$153,C142-$C$153,0))</f>
        <v>NA</v>
      </c>
    </row>
    <row r="143" spans="1:4" ht="16">
      <c r="A143" s="46" t="str">
        <f>'Sovereign Ratings (Moody''s,S&amp;P)'!A143</f>
        <v>Thailand</v>
      </c>
      <c r="B143" s="56" t="str">
        <f>'Sovereign Ratings (Moody''s,S&amp;P)'!C143</f>
        <v>Baa1</v>
      </c>
      <c r="C143" s="123">
        <f>VLOOKUP(A143,$H$24:$J$111,2,FALSE)</f>
        <v>8.6999999999999994E-3</v>
      </c>
      <c r="D143" s="57">
        <f t="shared" si="9"/>
        <v>5.4999999999999997E-3</v>
      </c>
    </row>
    <row r="144" spans="1:4" ht="16">
      <c r="A144" s="46" t="str">
        <f>'Sovereign Ratings (Moody''s,S&amp;P)'!A144</f>
        <v>Togo</v>
      </c>
      <c r="B144" s="56" t="str">
        <f>'Sovereign Ratings (Moody''s,S&amp;P)'!C144</f>
        <v>B3</v>
      </c>
      <c r="C144" s="123" t="s">
        <v>143</v>
      </c>
      <c r="D144" s="57" t="str">
        <f t="shared" si="9"/>
        <v>NA</v>
      </c>
    </row>
    <row r="145" spans="1:4" ht="16">
      <c r="A145" s="46" t="str">
        <f>'Sovereign Ratings (Moody''s,S&amp;P)'!A145</f>
        <v>Trinidad and Tobago</v>
      </c>
      <c r="B145" s="56" t="str">
        <f>'Sovereign Ratings (Moody''s,S&amp;P)'!C145</f>
        <v>Ba2</v>
      </c>
      <c r="C145" s="123" t="s">
        <v>143</v>
      </c>
      <c r="D145" s="57" t="str">
        <f t="shared" si="9"/>
        <v>NA</v>
      </c>
    </row>
    <row r="146" spans="1:4" ht="16">
      <c r="A146" s="46" t="str">
        <f>'Sovereign Ratings (Moody''s,S&amp;P)'!A146</f>
        <v>Tunisia</v>
      </c>
      <c r="B146" s="56" t="str">
        <f>'Sovereign Ratings (Moody''s,S&amp;P)'!C146</f>
        <v>Caa1</v>
      </c>
      <c r="C146" s="123">
        <f>VLOOKUP(A146,$H$24:$J$111,2,FALSE)</f>
        <v>8.6900000000000005E-2</v>
      </c>
      <c r="D146" s="57">
        <f t="shared" si="9"/>
        <v>8.3700000000000011E-2</v>
      </c>
    </row>
    <row r="147" spans="1:4" ht="16">
      <c r="A147" s="46" t="str">
        <f>'Sovereign Ratings (Moody''s,S&amp;P)'!A147</f>
        <v>Turkey</v>
      </c>
      <c r="B147" s="56" t="str">
        <f>'Sovereign Ratings (Moody''s,S&amp;P)'!C147</f>
        <v>B3</v>
      </c>
      <c r="C147" s="123">
        <f>VLOOKUP(A147,$H$24:$J$111,2,FALSE)</f>
        <v>5.2999999999999999E-2</v>
      </c>
      <c r="D147" s="57">
        <f t="shared" si="9"/>
        <v>4.9799999999999997E-2</v>
      </c>
    </row>
    <row r="148" spans="1:4" ht="16">
      <c r="A148" s="46" t="str">
        <f>'Sovereign Ratings (Moody''s,S&amp;P)'!A148</f>
        <v>Turks and Caicos Islands</v>
      </c>
      <c r="B148" s="56" t="str">
        <f>'Sovereign Ratings (Moody''s,S&amp;P)'!C148</f>
        <v>Baa1</v>
      </c>
      <c r="C148" s="123" t="s">
        <v>143</v>
      </c>
      <c r="D148" s="57" t="str">
        <f t="shared" si="9"/>
        <v>NA</v>
      </c>
    </row>
    <row r="149" spans="1:4" ht="16">
      <c r="A149" s="46" t="str">
        <f>'Sovereign Ratings (Moody''s,S&amp;P)'!A149</f>
        <v>Uganda</v>
      </c>
      <c r="B149" s="56" t="str">
        <f>'Sovereign Ratings (Moody''s,S&amp;P)'!C149</f>
        <v>B2</v>
      </c>
      <c r="C149" s="123" t="s">
        <v>143</v>
      </c>
      <c r="D149" s="57" t="str">
        <f t="shared" si="9"/>
        <v>NA</v>
      </c>
    </row>
    <row r="150" spans="1:4" ht="16">
      <c r="A150" s="46" t="str">
        <f>'Sovereign Ratings (Moody''s,S&amp;P)'!A150</f>
        <v>Ukraine</v>
      </c>
      <c r="B150" s="56" t="str">
        <f>'Sovereign Ratings (Moody''s,S&amp;P)'!C150</f>
        <v>Caa3</v>
      </c>
      <c r="C150" s="123" t="str">
        <f>VLOOKUP(A150,$H$24:$J$111,2,FALSE)</f>
        <v>NA</v>
      </c>
      <c r="D150" s="57" t="str">
        <f t="shared" si="9"/>
        <v>NA</v>
      </c>
    </row>
    <row r="151" spans="1:4" ht="16">
      <c r="A151" s="46" t="str">
        <f>'Sovereign Ratings (Moody''s,S&amp;P)'!A151</f>
        <v>United Arab Emirates</v>
      </c>
      <c r="B151" s="56" t="str">
        <f>'Sovereign Ratings (Moody''s,S&amp;P)'!C151</f>
        <v>Aa2</v>
      </c>
      <c r="C151" s="123" t="s">
        <v>143</v>
      </c>
      <c r="D151" s="57" t="str">
        <f t="shared" si="9"/>
        <v>NA</v>
      </c>
    </row>
    <row r="152" spans="1:4" ht="16">
      <c r="A152" s="46" t="str">
        <f>'Sovereign Ratings (Moody''s,S&amp;P)'!A152</f>
        <v>United Kingdom</v>
      </c>
      <c r="B152" s="56" t="str">
        <f>'Sovereign Ratings (Moody''s,S&amp;P)'!C152</f>
        <v>Aa3</v>
      </c>
      <c r="C152" s="123">
        <f>VLOOKUP(A152,$H$24:$J$111,2,FALSE)</f>
        <v>3.5999999999999999E-3</v>
      </c>
      <c r="D152" s="57">
        <f t="shared" si="9"/>
        <v>3.9999999999999975E-4</v>
      </c>
    </row>
    <row r="153" spans="1:4" ht="16">
      <c r="A153" s="46" t="str">
        <f>'Sovereign Ratings (Moody''s,S&amp;P)'!A153</f>
        <v>United States</v>
      </c>
      <c r="B153" s="56" t="str">
        <f>'Sovereign Ratings (Moody''s,S&amp;P)'!C153</f>
        <v>Aaa</v>
      </c>
      <c r="C153" s="123">
        <f>VLOOKUP(A153,$H$24:$J$111,2,FALSE)</f>
        <v>3.2000000000000002E-3</v>
      </c>
      <c r="D153" s="57">
        <f t="shared" si="9"/>
        <v>0</v>
      </c>
    </row>
    <row r="154" spans="1:4" ht="16">
      <c r="A154" s="46" t="str">
        <f>'Sovereign Ratings (Moody''s,S&amp;P)'!A154</f>
        <v>Uruguay</v>
      </c>
      <c r="B154" s="56" t="str">
        <f>'Sovereign Ratings (Moody''s,S&amp;P)'!C154</f>
        <v>Baa2</v>
      </c>
      <c r="C154" s="123">
        <f>VLOOKUP(A154,$H$24:$J$111,2,FALSE)</f>
        <v>1.43E-2</v>
      </c>
      <c r="D154" s="57">
        <f t="shared" si="9"/>
        <v>1.11E-2</v>
      </c>
    </row>
    <row r="155" spans="1:4" ht="16">
      <c r="A155" s="46" t="str">
        <f>'Sovereign Ratings (Moody''s,S&amp;P)'!A155</f>
        <v>Uzbekistan</v>
      </c>
      <c r="B155" s="56" t="str">
        <f>'Sovereign Ratings (Moody''s,S&amp;P)'!C155</f>
        <v>B1</v>
      </c>
      <c r="C155" s="123" t="s">
        <v>143</v>
      </c>
      <c r="D155" s="57" t="str">
        <f t="shared" si="9"/>
        <v>NA</v>
      </c>
    </row>
    <row r="156" spans="1:4" ht="16">
      <c r="A156" s="46" t="str">
        <f>'Sovereign Ratings (Moody''s,S&amp;P)'!A156</f>
        <v>Venezuela</v>
      </c>
      <c r="B156" s="56" t="str">
        <f>'Sovereign Ratings (Moody''s,S&amp;P)'!C156</f>
        <v>C</v>
      </c>
      <c r="C156" s="123" t="str">
        <f>VLOOKUP(A156,$H$24:$J$111,2,FALSE)</f>
        <v>NA</v>
      </c>
      <c r="D156" s="57" t="str">
        <f t="shared" si="9"/>
        <v>NA</v>
      </c>
    </row>
    <row r="157" spans="1:4" ht="16">
      <c r="A157" s="46" t="str">
        <f>'Sovereign Ratings (Moody''s,S&amp;P)'!A157</f>
        <v>Vietnam</v>
      </c>
      <c r="B157" s="56" t="str">
        <f>'Sovereign Ratings (Moody''s,S&amp;P)'!C157</f>
        <v>Ba2</v>
      </c>
      <c r="C157" s="123">
        <f>VLOOKUP(A157,$H$24:$J$111,2,FALSE)</f>
        <v>2.07E-2</v>
      </c>
      <c r="D157" s="57">
        <f t="shared" si="9"/>
        <v>1.7499999999999998E-2</v>
      </c>
    </row>
    <row r="158" spans="1:4" ht="16">
      <c r="A158" s="46" t="str">
        <f>'Sovereign Ratings (Moody''s,S&amp;P)'!A158</f>
        <v>Zambia</v>
      </c>
      <c r="B158" s="56" t="str">
        <f>'Sovereign Ratings (Moody''s,S&amp;P)'!C158</f>
        <v>Ca</v>
      </c>
      <c r="C158" s="123" t="str">
        <f>VLOOKUP(A158,$H$24:$J$111,2,FALSE)</f>
        <v>NA</v>
      </c>
      <c r="D158" s="57" t="str">
        <f t="shared" si="9"/>
        <v>NA</v>
      </c>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B2" sqref="B2"/>
    </sheetView>
  </sheetViews>
  <sheetFormatPr baseColWidth="10" defaultRowHeight="13"/>
  <cols>
    <col min="1" max="1" width="12.1640625" style="19" bestFit="1" customWidth="1"/>
    <col min="2" max="2" width="35.5" bestFit="1" customWidth="1"/>
    <col min="3" max="3" width="21" bestFit="1" customWidth="1"/>
    <col min="4" max="4" width="21.33203125" bestFit="1" customWidth="1"/>
  </cols>
  <sheetData>
    <row r="1" spans="1:8" s="168" customFormat="1" ht="19">
      <c r="A1" s="166" t="s">
        <v>486</v>
      </c>
      <c r="B1" s="167">
        <v>43131</v>
      </c>
    </row>
    <row r="2" spans="1:8" ht="14" thickBot="1">
      <c r="A2" s="164"/>
      <c r="B2" s="165"/>
    </row>
    <row r="3" spans="1:8" ht="19" thickBot="1">
      <c r="A3" s="188" t="s">
        <v>75</v>
      </c>
      <c r="B3" s="189" t="s">
        <v>384</v>
      </c>
      <c r="C3" s="190" t="s">
        <v>522</v>
      </c>
      <c r="D3" s="190" t="s">
        <v>523</v>
      </c>
      <c r="E3" s="190" t="s">
        <v>524</v>
      </c>
      <c r="F3" s="191" t="s">
        <v>382</v>
      </c>
      <c r="G3" s="192" t="s">
        <v>485</v>
      </c>
      <c r="H3" s="193" t="s">
        <v>525</v>
      </c>
    </row>
    <row r="4" spans="1:8" ht="18" thickBot="1">
      <c r="A4" s="194" t="s">
        <v>337</v>
      </c>
      <c r="B4" s="195" t="s">
        <v>143</v>
      </c>
      <c r="C4" s="196" t="s">
        <v>143</v>
      </c>
      <c r="D4" s="196" t="str">
        <f t="shared" ref="D4:D67" si="0">IF(C4="NA","NA",IF(B4="NA","NA",B4/C4))</f>
        <v>NA</v>
      </c>
      <c r="E4" s="197">
        <v>1.6999999999999999E-3</v>
      </c>
      <c r="F4" s="198">
        <v>1.0999999999999999E-2</v>
      </c>
      <c r="G4" s="197">
        <f t="shared" ref="G4:G67" si="1">IF(F4="NA","NA",E4/F4)</f>
        <v>0.15454545454545454</v>
      </c>
      <c r="H4" s="199" t="str">
        <f t="shared" ref="H4:H67" si="2">IF(G4="NA","NA",IF(B4="NA","NA",B4/G4))</f>
        <v>NA</v>
      </c>
    </row>
    <row r="5" spans="1:8" ht="18" thickBot="1">
      <c r="A5" s="194" t="s">
        <v>131</v>
      </c>
      <c r="B5" s="195" t="s">
        <v>143</v>
      </c>
      <c r="C5" s="196" t="s">
        <v>143</v>
      </c>
      <c r="D5" s="200" t="str">
        <f t="shared" si="0"/>
        <v>NA</v>
      </c>
      <c r="E5" s="197">
        <v>6.7999999999999996E-3</v>
      </c>
      <c r="F5" s="198">
        <v>7.4999999999999997E-2</v>
      </c>
      <c r="G5" s="198">
        <f t="shared" si="1"/>
        <v>9.0666666666666659E-2</v>
      </c>
      <c r="H5" s="199" t="str">
        <f t="shared" si="2"/>
        <v>NA</v>
      </c>
    </row>
    <row r="6" spans="1:8" ht="18" thickBot="1">
      <c r="A6" s="194" t="s">
        <v>84</v>
      </c>
      <c r="B6" s="195">
        <v>0.53159999999999996</v>
      </c>
      <c r="C6" s="196" t="s">
        <v>143</v>
      </c>
      <c r="D6" s="200" t="str">
        <f t="shared" si="0"/>
        <v>NA</v>
      </c>
      <c r="E6" s="197">
        <v>3.6999999999999998E-2</v>
      </c>
      <c r="F6" s="198">
        <v>0.19550000000000001</v>
      </c>
      <c r="G6" s="198">
        <f t="shared" si="1"/>
        <v>0.18925831202046034</v>
      </c>
      <c r="H6" s="199">
        <f t="shared" si="2"/>
        <v>2.8088594594594594</v>
      </c>
    </row>
    <row r="7" spans="1:8" ht="18" thickBot="1">
      <c r="A7" s="194" t="s">
        <v>87</v>
      </c>
      <c r="B7" s="195">
        <v>0.12759999999999999</v>
      </c>
      <c r="C7" s="196" t="s">
        <v>143</v>
      </c>
      <c r="D7" s="200" t="str">
        <f t="shared" si="0"/>
        <v>NA</v>
      </c>
      <c r="E7" s="197">
        <v>4.4999999999999997E-3</v>
      </c>
      <c r="F7" s="198">
        <v>3.1800000000000002E-2</v>
      </c>
      <c r="G7" s="198">
        <f t="shared" si="1"/>
        <v>0.14150943396226412</v>
      </c>
      <c r="H7" s="199">
        <f t="shared" si="2"/>
        <v>0.90170666666666677</v>
      </c>
    </row>
    <row r="8" spans="1:8" ht="18" thickBot="1">
      <c r="A8" s="194" t="s">
        <v>132</v>
      </c>
      <c r="B8" s="195">
        <v>0.13550000000000001</v>
      </c>
      <c r="C8" s="196" t="s">
        <v>143</v>
      </c>
      <c r="D8" s="200" t="str">
        <f t="shared" si="0"/>
        <v>NA</v>
      </c>
      <c r="E8" s="196" t="s">
        <v>143</v>
      </c>
      <c r="F8" s="198" t="s">
        <v>143</v>
      </c>
      <c r="G8" s="198" t="str">
        <f t="shared" si="1"/>
        <v>NA</v>
      </c>
      <c r="H8" s="199" t="str">
        <f t="shared" si="2"/>
        <v>NA</v>
      </c>
    </row>
    <row r="9" spans="1:8" ht="18" thickBot="1">
      <c r="A9" s="194" t="s">
        <v>144</v>
      </c>
      <c r="B9" s="195">
        <v>0.15690000000000001</v>
      </c>
      <c r="C9" s="196" t="s">
        <v>143</v>
      </c>
      <c r="D9" s="200" t="str">
        <f t="shared" si="0"/>
        <v>NA</v>
      </c>
      <c r="E9" s="196" t="s">
        <v>143</v>
      </c>
      <c r="F9" s="198" t="s">
        <v>143</v>
      </c>
      <c r="G9" s="198" t="str">
        <f t="shared" si="1"/>
        <v>NA</v>
      </c>
      <c r="H9" s="199" t="str">
        <f t="shared" si="2"/>
        <v>NA</v>
      </c>
    </row>
    <row r="10" spans="1:8" ht="18" thickBot="1">
      <c r="A10" s="194" t="s">
        <v>123</v>
      </c>
      <c r="B10" s="195">
        <v>2.9100000000000001E-2</v>
      </c>
      <c r="C10" s="196" t="s">
        <v>143</v>
      </c>
      <c r="D10" s="200" t="str">
        <f t="shared" si="0"/>
        <v>NA</v>
      </c>
      <c r="E10" s="196" t="s">
        <v>143</v>
      </c>
      <c r="F10" s="198" t="s">
        <v>143</v>
      </c>
      <c r="G10" s="198" t="str">
        <f t="shared" si="1"/>
        <v>NA</v>
      </c>
      <c r="H10" s="199" t="str">
        <f t="shared" si="2"/>
        <v>NA</v>
      </c>
    </row>
    <row r="11" spans="1:8" ht="18" thickBot="1">
      <c r="A11" s="194" t="s">
        <v>92</v>
      </c>
      <c r="B11" s="195">
        <v>0.45369999999999999</v>
      </c>
      <c r="C11" s="197">
        <v>0.26619999999999999</v>
      </c>
      <c r="D11" s="200">
        <f t="shared" si="0"/>
        <v>1.7043576258452291</v>
      </c>
      <c r="E11" s="197">
        <v>3.8E-3</v>
      </c>
      <c r="F11" s="198">
        <v>2.1499999999999998E-2</v>
      </c>
      <c r="G11" s="198">
        <f t="shared" si="1"/>
        <v>0.17674418604651165</v>
      </c>
      <c r="H11" s="199">
        <f t="shared" si="2"/>
        <v>2.5669868421052628</v>
      </c>
    </row>
    <row r="12" spans="1:8" ht="18" thickBot="1">
      <c r="A12" s="194" t="s">
        <v>94</v>
      </c>
      <c r="B12" s="195">
        <v>0.19800000000000001</v>
      </c>
      <c r="C12" s="197">
        <v>5.3699999999999998E-2</v>
      </c>
      <c r="D12" s="200">
        <f t="shared" si="0"/>
        <v>3.6871508379888271</v>
      </c>
      <c r="E12" s="197">
        <v>4.3E-3</v>
      </c>
      <c r="F12" s="198">
        <v>7.0000000000000001E-3</v>
      </c>
      <c r="G12" s="198">
        <f t="shared" si="1"/>
        <v>0.61428571428571432</v>
      </c>
      <c r="H12" s="199">
        <f t="shared" si="2"/>
        <v>0.32232558139534884</v>
      </c>
    </row>
    <row r="13" spans="1:8" ht="18" thickBot="1">
      <c r="A13" s="194" t="s">
        <v>212</v>
      </c>
      <c r="B13" s="195" t="s">
        <v>143</v>
      </c>
      <c r="C13" s="196" t="s">
        <v>143</v>
      </c>
      <c r="D13" s="200" t="str">
        <f t="shared" si="0"/>
        <v>NA</v>
      </c>
      <c r="E13" s="197">
        <v>3.3999999999999998E-3</v>
      </c>
      <c r="F13" s="198">
        <v>5.8700000000000002E-2</v>
      </c>
      <c r="G13" s="198">
        <f t="shared" si="1"/>
        <v>5.7921635434412262E-2</v>
      </c>
      <c r="H13" s="199" t="str">
        <f t="shared" si="2"/>
        <v>NA</v>
      </c>
    </row>
    <row r="14" spans="1:8" ht="18" thickBot="1">
      <c r="A14" s="194" t="s">
        <v>96</v>
      </c>
      <c r="B14" s="195">
        <v>0.35370000000000001</v>
      </c>
      <c r="C14" s="197">
        <v>0.31580000000000003</v>
      </c>
      <c r="D14" s="200">
        <f t="shared" si="0"/>
        <v>1.1200126662444585</v>
      </c>
      <c r="E14" s="197">
        <v>3.0999999999999999E-3</v>
      </c>
      <c r="F14" s="198">
        <v>8.9999999999999993E-3</v>
      </c>
      <c r="G14" s="198">
        <f t="shared" si="1"/>
        <v>0.34444444444444444</v>
      </c>
      <c r="H14" s="199">
        <f t="shared" si="2"/>
        <v>1.0268709677419354</v>
      </c>
    </row>
    <row r="15" spans="1:8" ht="18" thickBot="1">
      <c r="A15" s="194" t="s">
        <v>97</v>
      </c>
      <c r="B15" s="195">
        <v>0.25059999999999999</v>
      </c>
      <c r="C15" s="196" t="s">
        <v>143</v>
      </c>
      <c r="D15" s="200" t="str">
        <f t="shared" si="0"/>
        <v>NA</v>
      </c>
      <c r="E15" s="197">
        <v>5.1000000000000004E-3</v>
      </c>
      <c r="F15" s="198">
        <v>5.5999999999999999E-3</v>
      </c>
      <c r="G15" s="198">
        <f t="shared" si="1"/>
        <v>0.91071428571428581</v>
      </c>
      <c r="H15" s="199">
        <f t="shared" si="2"/>
        <v>0.27516862745098036</v>
      </c>
    </row>
    <row r="16" spans="1:8" ht="18" thickBot="1">
      <c r="A16" s="194" t="s">
        <v>50</v>
      </c>
      <c r="B16" s="195">
        <v>0.37169999999999997</v>
      </c>
      <c r="C16" s="197">
        <v>0.31130000000000002</v>
      </c>
      <c r="D16" s="200">
        <f t="shared" si="0"/>
        <v>1.1940250562158687</v>
      </c>
      <c r="E16" s="197">
        <v>4.1000000000000003E-3</v>
      </c>
      <c r="F16" s="198">
        <v>1.52E-2</v>
      </c>
      <c r="G16" s="198">
        <f t="shared" si="1"/>
        <v>0.26973684210526316</v>
      </c>
      <c r="H16" s="199">
        <f t="shared" si="2"/>
        <v>1.3780097560975608</v>
      </c>
    </row>
    <row r="17" spans="1:8" ht="18" thickBot="1">
      <c r="A17" s="194" t="s">
        <v>56</v>
      </c>
      <c r="B17" s="195">
        <v>0.19850000000000001</v>
      </c>
      <c r="C17" s="196" t="s">
        <v>143</v>
      </c>
      <c r="D17" s="200" t="str">
        <f t="shared" si="0"/>
        <v>NA</v>
      </c>
      <c r="E17" s="197">
        <v>3.8999999999999998E-3</v>
      </c>
      <c r="F17" s="198">
        <v>6.13E-2</v>
      </c>
      <c r="G17" s="198">
        <f t="shared" si="1"/>
        <v>6.3621533442088082E-2</v>
      </c>
      <c r="H17" s="199">
        <f t="shared" si="2"/>
        <v>3.1200128205128212</v>
      </c>
    </row>
    <row r="18" spans="1:8" ht="18" thickBot="1">
      <c r="A18" s="194" t="s">
        <v>98</v>
      </c>
      <c r="B18" s="195">
        <v>0.2253</v>
      </c>
      <c r="C18" s="196" t="s">
        <v>143</v>
      </c>
      <c r="D18" s="200" t="str">
        <f t="shared" si="0"/>
        <v>NA</v>
      </c>
      <c r="E18" s="197">
        <v>3.5000000000000001E-3</v>
      </c>
      <c r="F18" s="198">
        <v>1.2800000000000001E-2</v>
      </c>
      <c r="G18" s="198">
        <f t="shared" si="1"/>
        <v>0.2734375</v>
      </c>
      <c r="H18" s="199">
        <f t="shared" si="2"/>
        <v>0.82395428571428575</v>
      </c>
    </row>
    <row r="19" spans="1:8" ht="18" thickBot="1">
      <c r="A19" s="194" t="s">
        <v>178</v>
      </c>
      <c r="B19" s="195">
        <v>0.19120000000000001</v>
      </c>
      <c r="C19" s="197">
        <v>4.8300000000000003E-2</v>
      </c>
      <c r="D19" s="200">
        <f t="shared" si="0"/>
        <v>3.9585921325051761</v>
      </c>
      <c r="E19" s="197">
        <v>4.8999999999999998E-3</v>
      </c>
      <c r="F19" s="198">
        <v>1.1900000000000001E-2</v>
      </c>
      <c r="G19" s="198">
        <f t="shared" si="1"/>
        <v>0.41176470588235292</v>
      </c>
      <c r="H19" s="199">
        <f t="shared" si="2"/>
        <v>0.46434285714285717</v>
      </c>
    </row>
    <row r="20" spans="1:8" ht="35" thickBot="1">
      <c r="A20" s="194" t="s">
        <v>101</v>
      </c>
      <c r="B20" s="195">
        <v>0.25159999999999999</v>
      </c>
      <c r="C20" s="197">
        <v>4.6399999999999997E-2</v>
      </c>
      <c r="D20" s="200">
        <f t="shared" si="0"/>
        <v>5.4224137931034484</v>
      </c>
      <c r="E20" s="197">
        <v>4.3E-3</v>
      </c>
      <c r="F20" s="198">
        <v>5.1000000000000004E-3</v>
      </c>
      <c r="G20" s="198">
        <f t="shared" si="1"/>
        <v>0.84313725490196068</v>
      </c>
      <c r="H20" s="199">
        <f t="shared" si="2"/>
        <v>0.29840930232558144</v>
      </c>
    </row>
    <row r="21" spans="1:8" ht="18" thickBot="1">
      <c r="A21" s="194" t="s">
        <v>105</v>
      </c>
      <c r="B21" s="195">
        <v>0.25490000000000002</v>
      </c>
      <c r="C21" s="196" t="s">
        <v>143</v>
      </c>
      <c r="D21" s="200" t="str">
        <f t="shared" si="0"/>
        <v>NA</v>
      </c>
      <c r="E21" s="197">
        <v>3.7000000000000002E-3</v>
      </c>
      <c r="F21" s="198">
        <v>4.0800000000000003E-2</v>
      </c>
      <c r="G21" s="198">
        <f t="shared" si="1"/>
        <v>9.0686274509803919E-2</v>
      </c>
      <c r="H21" s="199">
        <f t="shared" si="2"/>
        <v>2.8107891891891894</v>
      </c>
    </row>
    <row r="22" spans="1:8" ht="18" thickBot="1">
      <c r="A22" s="194" t="s">
        <v>31</v>
      </c>
      <c r="B22" s="195" t="s">
        <v>143</v>
      </c>
      <c r="C22" s="196" t="s">
        <v>143</v>
      </c>
      <c r="D22" s="200" t="str">
        <f t="shared" si="0"/>
        <v>NA</v>
      </c>
      <c r="E22" s="197">
        <v>5.0000000000000001E-3</v>
      </c>
      <c r="F22" s="198">
        <v>7.7799999999999994E-2</v>
      </c>
      <c r="G22" s="198">
        <f t="shared" si="1"/>
        <v>6.4267352185089985E-2</v>
      </c>
      <c r="H22" s="199" t="str">
        <f t="shared" si="2"/>
        <v>NA</v>
      </c>
    </row>
    <row r="23" spans="1:8" ht="18" thickBot="1">
      <c r="A23" s="194" t="s">
        <v>106</v>
      </c>
      <c r="B23" s="195">
        <v>0.20669999999999999</v>
      </c>
      <c r="C23" s="196" t="s">
        <v>143</v>
      </c>
      <c r="D23" s="200" t="str">
        <f t="shared" si="0"/>
        <v>NA</v>
      </c>
      <c r="E23" s="197">
        <v>5.1999999999999998E-3</v>
      </c>
      <c r="F23" s="198">
        <v>7.0000000000000001E-3</v>
      </c>
      <c r="G23" s="198">
        <f t="shared" si="1"/>
        <v>0.74285714285714277</v>
      </c>
      <c r="H23" s="199">
        <f t="shared" si="2"/>
        <v>0.27825000000000005</v>
      </c>
    </row>
    <row r="24" spans="1:8" ht="18" thickBot="1">
      <c r="A24" s="194" t="s">
        <v>221</v>
      </c>
      <c r="B24" s="195">
        <v>0.1293</v>
      </c>
      <c r="C24" s="196" t="s">
        <v>143</v>
      </c>
      <c r="D24" s="200" t="str">
        <f t="shared" si="0"/>
        <v>NA</v>
      </c>
      <c r="E24" s="197">
        <v>5.4000000000000003E-3</v>
      </c>
      <c r="F24" s="198">
        <v>5.0799999999999998E-2</v>
      </c>
      <c r="G24" s="198">
        <f t="shared" si="1"/>
        <v>0.1062992125984252</v>
      </c>
      <c r="H24" s="199">
        <f t="shared" si="2"/>
        <v>1.2163777777777778</v>
      </c>
    </row>
    <row r="25" spans="1:8" ht="18" thickBot="1">
      <c r="A25" s="194" t="s">
        <v>182</v>
      </c>
      <c r="B25" s="195">
        <v>0.43440000000000001</v>
      </c>
      <c r="C25" s="197">
        <v>0.26369999999999999</v>
      </c>
      <c r="D25" s="200">
        <f t="shared" si="0"/>
        <v>1.6473265073947669</v>
      </c>
      <c r="E25" s="197">
        <v>3.3E-3</v>
      </c>
      <c r="F25" s="198">
        <v>1.61E-2</v>
      </c>
      <c r="G25" s="198">
        <f t="shared" si="1"/>
        <v>0.20496894409937888</v>
      </c>
      <c r="H25" s="199">
        <f t="shared" si="2"/>
        <v>2.1193454545454546</v>
      </c>
    </row>
    <row r="26" spans="1:8" ht="18" thickBot="1">
      <c r="A26" s="194" t="s">
        <v>526</v>
      </c>
      <c r="B26" s="195" t="s">
        <v>143</v>
      </c>
      <c r="C26" s="196" t="s">
        <v>143</v>
      </c>
      <c r="D26" s="200" t="str">
        <f t="shared" si="0"/>
        <v>NA</v>
      </c>
      <c r="E26" s="197">
        <v>2.7000000000000001E-3</v>
      </c>
      <c r="F26" s="198">
        <v>2.1499999999999998E-2</v>
      </c>
      <c r="G26" s="198">
        <f t="shared" si="1"/>
        <v>0.12558139534883722</v>
      </c>
      <c r="H26" s="199" t="str">
        <f t="shared" si="2"/>
        <v>NA</v>
      </c>
    </row>
    <row r="27" spans="1:8" ht="18" thickBot="1">
      <c r="A27" s="194" t="s">
        <v>109</v>
      </c>
      <c r="B27" s="195">
        <v>0.29530000000000001</v>
      </c>
      <c r="C27" s="197">
        <v>0.31759999999999999</v>
      </c>
      <c r="D27" s="200">
        <f t="shared" si="0"/>
        <v>0.92978589420654911</v>
      </c>
      <c r="E27" s="197">
        <v>2.2000000000000001E-3</v>
      </c>
      <c r="F27" s="198">
        <v>9.4000000000000004E-3</v>
      </c>
      <c r="G27" s="198">
        <f t="shared" si="1"/>
        <v>0.23404255319148937</v>
      </c>
      <c r="H27" s="199">
        <f t="shared" si="2"/>
        <v>1.2617363636363637</v>
      </c>
    </row>
    <row r="28" spans="1:8" ht="18" thickBot="1">
      <c r="A28" s="194" t="s">
        <v>111</v>
      </c>
      <c r="B28" s="195">
        <v>0.33129999999999998</v>
      </c>
      <c r="C28" s="197">
        <v>0.1074</v>
      </c>
      <c r="D28" s="200">
        <f t="shared" si="0"/>
        <v>3.0847299813780262</v>
      </c>
      <c r="E28" s="197">
        <v>3.8E-3</v>
      </c>
      <c r="F28" s="198">
        <v>1.24E-2</v>
      </c>
      <c r="G28" s="198">
        <f t="shared" si="1"/>
        <v>0.30645161290322581</v>
      </c>
      <c r="H28" s="199">
        <f t="shared" si="2"/>
        <v>1.0810842105263156</v>
      </c>
    </row>
    <row r="29" spans="1:8" ht="18" thickBot="1">
      <c r="A29" s="194" t="s">
        <v>112</v>
      </c>
      <c r="B29" s="195">
        <v>0.27229999999999999</v>
      </c>
      <c r="C29" s="197">
        <v>0.1394</v>
      </c>
      <c r="D29" s="200">
        <f t="shared" si="0"/>
        <v>1.9533715925394548</v>
      </c>
      <c r="E29" s="197">
        <v>4.1000000000000003E-3</v>
      </c>
      <c r="F29" s="198">
        <v>1.2800000000000001E-2</v>
      </c>
      <c r="G29" s="198">
        <f t="shared" si="1"/>
        <v>0.3203125</v>
      </c>
      <c r="H29" s="199">
        <f t="shared" si="2"/>
        <v>0.85010731707317067</v>
      </c>
    </row>
    <row r="30" spans="1:8" ht="18" thickBot="1">
      <c r="A30" s="194" t="s">
        <v>331</v>
      </c>
      <c r="B30" s="195" t="s">
        <v>143</v>
      </c>
      <c r="C30" s="196" t="s">
        <v>143</v>
      </c>
      <c r="D30" s="200" t="str">
        <f t="shared" si="0"/>
        <v>NA</v>
      </c>
      <c r="E30" s="197">
        <v>4.7000000000000002E-3</v>
      </c>
      <c r="F30" s="198">
        <v>6.9800000000000001E-2</v>
      </c>
      <c r="G30" s="198">
        <f t="shared" si="1"/>
        <v>6.73352435530086E-2</v>
      </c>
      <c r="H30" s="199" t="str">
        <f t="shared" si="2"/>
        <v>NA</v>
      </c>
    </row>
    <row r="31" spans="1:8" ht="18" thickBot="1">
      <c r="A31" s="194" t="s">
        <v>114</v>
      </c>
      <c r="B31" s="195">
        <v>0.26629999999999998</v>
      </c>
      <c r="C31" s="197">
        <v>0.4743</v>
      </c>
      <c r="D31" s="200">
        <f t="shared" si="0"/>
        <v>0.56145899219903006</v>
      </c>
      <c r="E31" s="197">
        <v>3.2000000000000002E-3</v>
      </c>
      <c r="F31" s="198">
        <v>7.7000000000000002E-3</v>
      </c>
      <c r="G31" s="198">
        <f t="shared" si="1"/>
        <v>0.41558441558441561</v>
      </c>
      <c r="H31" s="199">
        <f t="shared" si="2"/>
        <v>0.64078437499999996</v>
      </c>
    </row>
    <row r="32" spans="1:8" ht="18" thickBot="1">
      <c r="A32" s="194" t="s">
        <v>145</v>
      </c>
      <c r="B32" s="195">
        <v>0.33160000000000001</v>
      </c>
      <c r="C32" s="197">
        <v>0.1555</v>
      </c>
      <c r="D32" s="200">
        <f t="shared" si="0"/>
        <v>2.1324758842443732</v>
      </c>
      <c r="E32" s="197">
        <v>3.5000000000000001E-3</v>
      </c>
      <c r="F32" s="198">
        <v>1.43E-2</v>
      </c>
      <c r="G32" s="198">
        <f t="shared" si="1"/>
        <v>0.24475524475524477</v>
      </c>
      <c r="H32" s="199">
        <f t="shared" si="2"/>
        <v>1.3548228571428571</v>
      </c>
    </row>
    <row r="33" spans="1:8" ht="18" thickBot="1">
      <c r="A33" s="194" t="s">
        <v>115</v>
      </c>
      <c r="B33" s="195">
        <v>8.8099999999999998E-2</v>
      </c>
      <c r="C33" s="196" t="s">
        <v>143</v>
      </c>
      <c r="D33" s="200" t="str">
        <f t="shared" si="0"/>
        <v>NA</v>
      </c>
      <c r="E33" s="196" t="s">
        <v>143</v>
      </c>
      <c r="F33" s="198" t="s">
        <v>143</v>
      </c>
      <c r="G33" s="198" t="str">
        <f t="shared" si="1"/>
        <v>NA</v>
      </c>
      <c r="H33" s="199" t="str">
        <f t="shared" si="2"/>
        <v>NA</v>
      </c>
    </row>
    <row r="34" spans="1:8" ht="18" thickBot="1">
      <c r="A34" s="194" t="s">
        <v>117</v>
      </c>
      <c r="B34" s="195">
        <v>9.7699999999999995E-2</v>
      </c>
      <c r="C34" s="196" t="s">
        <v>143</v>
      </c>
      <c r="D34" s="200" t="str">
        <f t="shared" si="0"/>
        <v>NA</v>
      </c>
      <c r="E34" s="196" t="s">
        <v>143</v>
      </c>
      <c r="F34" s="198" t="s">
        <v>143</v>
      </c>
      <c r="G34" s="198" t="str">
        <f t="shared" si="1"/>
        <v>NA</v>
      </c>
      <c r="H34" s="199" t="str">
        <f t="shared" si="2"/>
        <v>NA</v>
      </c>
    </row>
    <row r="35" spans="1:8" ht="18" thickBot="1">
      <c r="A35" s="194" t="s">
        <v>342</v>
      </c>
      <c r="B35" s="195" t="s">
        <v>143</v>
      </c>
      <c r="C35" s="196" t="s">
        <v>143</v>
      </c>
      <c r="D35" s="200" t="str">
        <f t="shared" si="0"/>
        <v>NA</v>
      </c>
      <c r="E35" s="197">
        <v>3.2000000000000002E-3</v>
      </c>
      <c r="F35" s="198">
        <v>9.9000000000000008E-3</v>
      </c>
      <c r="G35" s="198">
        <f t="shared" si="1"/>
        <v>0.3232323232323232</v>
      </c>
      <c r="H35" s="199" t="str">
        <f t="shared" si="2"/>
        <v>NA</v>
      </c>
    </row>
    <row r="36" spans="1:8" ht="18" thickBot="1">
      <c r="A36" s="194" t="s">
        <v>184</v>
      </c>
      <c r="B36" s="195">
        <v>0.19389999999999999</v>
      </c>
      <c r="C36" s="196" t="s">
        <v>143</v>
      </c>
      <c r="D36" s="200" t="str">
        <f t="shared" si="0"/>
        <v>NA</v>
      </c>
      <c r="E36" s="197">
        <v>3.3999999999999998E-3</v>
      </c>
      <c r="F36" s="198">
        <v>4.0599999999999997E-2</v>
      </c>
      <c r="G36" s="198">
        <f t="shared" si="1"/>
        <v>8.3743842364532015E-2</v>
      </c>
      <c r="H36" s="199">
        <f t="shared" si="2"/>
        <v>2.3153941176470587</v>
      </c>
    </row>
    <row r="37" spans="1:8" ht="18" thickBot="1">
      <c r="A37" s="194" t="s">
        <v>120</v>
      </c>
      <c r="B37" s="195">
        <v>0.28599999999999998</v>
      </c>
      <c r="C37" s="196" t="s">
        <v>143</v>
      </c>
      <c r="D37" s="200" t="str">
        <f t="shared" si="0"/>
        <v>NA</v>
      </c>
      <c r="E37" s="197">
        <v>2.5000000000000001E-3</v>
      </c>
      <c r="F37" s="198">
        <v>7.4999999999999997E-3</v>
      </c>
      <c r="G37" s="198">
        <f t="shared" si="1"/>
        <v>0.33333333333333337</v>
      </c>
      <c r="H37" s="199">
        <f t="shared" si="2"/>
        <v>0.85799999999999987</v>
      </c>
    </row>
    <row r="38" spans="1:8" ht="18" thickBot="1">
      <c r="A38" s="194" t="s">
        <v>343</v>
      </c>
      <c r="B38" s="195">
        <v>9.1499999999999998E-2</v>
      </c>
      <c r="C38" s="196" t="s">
        <v>143</v>
      </c>
      <c r="D38" s="200" t="str">
        <f t="shared" si="0"/>
        <v>NA</v>
      </c>
      <c r="E38" s="196" t="s">
        <v>143</v>
      </c>
      <c r="F38" s="198" t="s">
        <v>143</v>
      </c>
      <c r="G38" s="198" t="str">
        <f t="shared" si="1"/>
        <v>NA</v>
      </c>
      <c r="H38" s="199" t="str">
        <f t="shared" si="2"/>
        <v>NA</v>
      </c>
    </row>
    <row r="39" spans="1:8" ht="18" thickBot="1">
      <c r="A39" s="194" t="s">
        <v>121</v>
      </c>
      <c r="B39" s="195">
        <v>0.25919999999999999</v>
      </c>
      <c r="C39" s="196" t="s">
        <v>143</v>
      </c>
      <c r="D39" s="200" t="str">
        <f t="shared" si="0"/>
        <v>NA</v>
      </c>
      <c r="E39" s="197">
        <v>1.1000000000000001E-3</v>
      </c>
      <c r="F39" s="198">
        <v>9.2999999999999992E-3</v>
      </c>
      <c r="G39" s="198">
        <f t="shared" si="1"/>
        <v>0.11827956989247314</v>
      </c>
      <c r="H39" s="199">
        <f t="shared" si="2"/>
        <v>2.1914181818181815</v>
      </c>
    </row>
    <row r="40" spans="1:8" ht="18" thickBot="1">
      <c r="A40" s="194" t="s">
        <v>122</v>
      </c>
      <c r="B40" s="195">
        <v>0.15140000000000001</v>
      </c>
      <c r="C40" s="197">
        <v>0.12989999999999999</v>
      </c>
      <c r="D40" s="200">
        <f t="shared" si="0"/>
        <v>1.1655119322555814</v>
      </c>
      <c r="E40" s="197" t="s">
        <v>143</v>
      </c>
      <c r="F40" s="198" t="s">
        <v>143</v>
      </c>
      <c r="G40" s="198" t="str">
        <f t="shared" si="1"/>
        <v>NA</v>
      </c>
      <c r="H40" s="199" t="str">
        <f t="shared" si="2"/>
        <v>NA</v>
      </c>
    </row>
    <row r="41" spans="1:8" ht="18" thickBot="1">
      <c r="A41" s="194" t="s">
        <v>13</v>
      </c>
      <c r="B41" s="195">
        <v>0.16489999999999999</v>
      </c>
      <c r="C41" s="197">
        <v>0.16980000000000001</v>
      </c>
      <c r="D41" s="200">
        <f t="shared" si="0"/>
        <v>0.97114252061248518</v>
      </c>
      <c r="E41" s="197">
        <v>1.1999999999999999E-3</v>
      </c>
      <c r="F41" s="198">
        <v>8.9999999999999993E-3</v>
      </c>
      <c r="G41" s="198">
        <f t="shared" si="1"/>
        <v>0.13333333333333333</v>
      </c>
      <c r="H41" s="199">
        <f t="shared" si="2"/>
        <v>1.23675</v>
      </c>
    </row>
    <row r="42" spans="1:8" ht="18" thickBot="1">
      <c r="A42" s="194" t="s">
        <v>146</v>
      </c>
      <c r="B42" s="195">
        <v>0.25530000000000003</v>
      </c>
      <c r="C42" s="196" t="s">
        <v>143</v>
      </c>
      <c r="D42" s="200" t="str">
        <f t="shared" si="0"/>
        <v>NA</v>
      </c>
      <c r="E42" s="196" t="s">
        <v>143</v>
      </c>
      <c r="F42" s="198" t="s">
        <v>143</v>
      </c>
      <c r="G42" s="198" t="str">
        <f t="shared" si="1"/>
        <v>NA</v>
      </c>
      <c r="H42" s="199" t="str">
        <f t="shared" si="2"/>
        <v>NA</v>
      </c>
    </row>
    <row r="43" spans="1:8" ht="18" thickBot="1">
      <c r="A43" s="194" t="s">
        <v>14</v>
      </c>
      <c r="B43" s="195">
        <v>0.19589999999999999</v>
      </c>
      <c r="C43" s="197">
        <v>7.0400000000000004E-2</v>
      </c>
      <c r="D43" s="200">
        <f t="shared" si="0"/>
        <v>2.7826704545454541</v>
      </c>
      <c r="E43" s="197">
        <v>4.4999999999999997E-3</v>
      </c>
      <c r="F43" s="198">
        <v>7.0000000000000001E-3</v>
      </c>
      <c r="G43" s="198">
        <f t="shared" si="1"/>
        <v>0.64285714285714279</v>
      </c>
      <c r="H43" s="199">
        <f t="shared" si="2"/>
        <v>0.30473333333333336</v>
      </c>
    </row>
    <row r="44" spans="1:8" ht="18" thickBot="1">
      <c r="A44" s="194" t="s">
        <v>186</v>
      </c>
      <c r="B44" s="195">
        <v>0.14299999999999999</v>
      </c>
      <c r="C44" s="197" t="s">
        <v>143</v>
      </c>
      <c r="D44" s="200" t="str">
        <f t="shared" si="0"/>
        <v>NA</v>
      </c>
      <c r="E44" s="198" t="s">
        <v>143</v>
      </c>
      <c r="F44" s="198" t="s">
        <v>143</v>
      </c>
      <c r="G44" s="198" t="str">
        <f t="shared" si="1"/>
        <v>NA</v>
      </c>
      <c r="H44" s="199" t="str">
        <f t="shared" si="2"/>
        <v>NA</v>
      </c>
    </row>
    <row r="45" spans="1:8" ht="18" thickBot="1">
      <c r="A45" s="194" t="s">
        <v>15</v>
      </c>
      <c r="B45" s="195">
        <v>0.2346</v>
      </c>
      <c r="C45" s="196" t="s">
        <v>143</v>
      </c>
      <c r="D45" s="200" t="str">
        <f t="shared" si="0"/>
        <v>NA</v>
      </c>
      <c r="E45" s="198" t="s">
        <v>143</v>
      </c>
      <c r="F45" s="198" t="s">
        <v>143</v>
      </c>
      <c r="G45" s="198" t="str">
        <f t="shared" si="1"/>
        <v>NA</v>
      </c>
      <c r="H45" s="199" t="str">
        <f t="shared" si="2"/>
        <v>NA</v>
      </c>
    </row>
    <row r="46" spans="1:8" ht="18" thickBot="1">
      <c r="A46" s="194" t="s">
        <v>16</v>
      </c>
      <c r="B46" s="195">
        <v>0.25119999999999998</v>
      </c>
      <c r="C46" s="197">
        <v>0.1721</v>
      </c>
      <c r="D46" s="200">
        <f t="shared" si="0"/>
        <v>1.4596165020337011</v>
      </c>
      <c r="E46" s="197">
        <v>4.3E-3</v>
      </c>
      <c r="F46" s="198">
        <v>1.4500000000000001E-2</v>
      </c>
      <c r="G46" s="198">
        <f t="shared" si="1"/>
        <v>0.29655172413793102</v>
      </c>
      <c r="H46" s="199">
        <f t="shared" si="2"/>
        <v>0.84706976744186047</v>
      </c>
    </row>
    <row r="47" spans="1:8" ht="18" thickBot="1">
      <c r="A47" s="194" t="s">
        <v>63</v>
      </c>
      <c r="B47" s="195">
        <v>0.18990000000000001</v>
      </c>
      <c r="C47" s="196" t="s">
        <v>143</v>
      </c>
      <c r="D47" s="200" t="str">
        <f t="shared" si="0"/>
        <v>NA</v>
      </c>
      <c r="E47" s="198" t="s">
        <v>143</v>
      </c>
      <c r="F47" s="198" t="s">
        <v>143</v>
      </c>
      <c r="G47" s="198" t="str">
        <f t="shared" si="1"/>
        <v>NA</v>
      </c>
      <c r="H47" s="199" t="str">
        <f t="shared" si="2"/>
        <v>NA</v>
      </c>
    </row>
    <row r="48" spans="1:8" ht="18" thickBot="1">
      <c r="A48" s="194" t="s">
        <v>8</v>
      </c>
      <c r="B48" s="195">
        <v>0.16300000000000001</v>
      </c>
      <c r="C48" s="196" t="s">
        <v>143</v>
      </c>
      <c r="D48" s="200" t="str">
        <f t="shared" si="0"/>
        <v>NA</v>
      </c>
      <c r="E48" s="198" t="s">
        <v>143</v>
      </c>
      <c r="F48" s="198" t="s">
        <v>143</v>
      </c>
      <c r="G48" s="198" t="str">
        <f t="shared" si="1"/>
        <v>NA</v>
      </c>
      <c r="H48" s="199" t="str">
        <f t="shared" si="2"/>
        <v>NA</v>
      </c>
    </row>
    <row r="49" spans="1:8" ht="18" thickBot="1">
      <c r="A49" s="194" t="s">
        <v>18</v>
      </c>
      <c r="B49" s="195">
        <v>0.20150000000000001</v>
      </c>
      <c r="C49" s="196" t="s">
        <v>143</v>
      </c>
      <c r="D49" s="200" t="str">
        <f t="shared" si="0"/>
        <v>NA</v>
      </c>
      <c r="E49" s="197">
        <v>3.5999999999999999E-3</v>
      </c>
      <c r="F49" s="198">
        <v>1.5599999999999999E-2</v>
      </c>
      <c r="G49" s="198">
        <f t="shared" si="1"/>
        <v>0.23076923076923078</v>
      </c>
      <c r="H49" s="199">
        <f t="shared" si="2"/>
        <v>0.87316666666666665</v>
      </c>
    </row>
    <row r="50" spans="1:8" ht="18" thickBot="1">
      <c r="A50" s="194" t="s">
        <v>136</v>
      </c>
      <c r="B50" s="195">
        <v>8.9499999999999996E-2</v>
      </c>
      <c r="C50" s="196" t="s">
        <v>143</v>
      </c>
      <c r="D50" s="200" t="str">
        <f t="shared" si="0"/>
        <v>NA</v>
      </c>
      <c r="E50" s="196" t="s">
        <v>143</v>
      </c>
      <c r="F50" s="198" t="s">
        <v>143</v>
      </c>
      <c r="G50" s="198" t="str">
        <f t="shared" si="1"/>
        <v>NA</v>
      </c>
      <c r="H50" s="199" t="str">
        <f t="shared" si="2"/>
        <v>NA</v>
      </c>
    </row>
    <row r="51" spans="1:8" ht="18" thickBot="1">
      <c r="A51" s="194" t="s">
        <v>188</v>
      </c>
      <c r="B51" s="195">
        <v>0.18290000000000001</v>
      </c>
      <c r="C51" s="197">
        <v>0.2056</v>
      </c>
      <c r="D51" s="200">
        <f t="shared" si="0"/>
        <v>0.88959143968871601</v>
      </c>
      <c r="E51" s="197">
        <v>4.0000000000000001E-3</v>
      </c>
      <c r="F51" s="198">
        <v>3.5900000000000001E-2</v>
      </c>
      <c r="G51" s="198">
        <f t="shared" si="1"/>
        <v>0.11142061281337047</v>
      </c>
      <c r="H51" s="199">
        <f t="shared" si="2"/>
        <v>1.6415275</v>
      </c>
    </row>
    <row r="52" spans="1:8" ht="18" thickBot="1">
      <c r="A52" s="194" t="s">
        <v>24</v>
      </c>
      <c r="B52" s="195">
        <v>0.1135</v>
      </c>
      <c r="C52" s="196" t="s">
        <v>143</v>
      </c>
      <c r="D52" s="200" t="str">
        <f t="shared" si="0"/>
        <v>NA</v>
      </c>
      <c r="E52" s="197">
        <v>3.2000000000000002E-3</v>
      </c>
      <c r="F52" s="198">
        <v>3.9E-2</v>
      </c>
      <c r="G52" s="198">
        <f t="shared" si="1"/>
        <v>8.2051282051282051E-2</v>
      </c>
      <c r="H52" s="199">
        <f t="shared" si="2"/>
        <v>1.38328125</v>
      </c>
    </row>
    <row r="53" spans="1:8" ht="18" thickBot="1">
      <c r="A53" s="194" t="s">
        <v>25</v>
      </c>
      <c r="B53" s="195">
        <v>0.26569999999999999</v>
      </c>
      <c r="C53" s="197">
        <v>0.1404</v>
      </c>
      <c r="D53" s="200">
        <f t="shared" si="0"/>
        <v>1.8924501424501425</v>
      </c>
      <c r="E53" s="197">
        <v>2.7000000000000001E-3</v>
      </c>
      <c r="F53" s="198">
        <v>4.5100000000000001E-2</v>
      </c>
      <c r="G53" s="198">
        <f t="shared" si="1"/>
        <v>5.9866962305986697E-2</v>
      </c>
      <c r="H53" s="199">
        <f t="shared" si="2"/>
        <v>4.438174074074074</v>
      </c>
    </row>
    <row r="54" spans="1:8" ht="18" thickBot="1">
      <c r="A54" s="194" t="s">
        <v>344</v>
      </c>
      <c r="B54" s="195">
        <v>8.3500000000000005E-2</v>
      </c>
      <c r="C54" s="196" t="s">
        <v>143</v>
      </c>
      <c r="D54" s="200" t="str">
        <f t="shared" si="0"/>
        <v>NA</v>
      </c>
      <c r="E54" s="196" t="s">
        <v>143</v>
      </c>
      <c r="F54" s="198" t="s">
        <v>143</v>
      </c>
      <c r="G54" s="198" t="str">
        <f t="shared" si="1"/>
        <v>NA</v>
      </c>
      <c r="H54" s="199" t="str">
        <f t="shared" si="2"/>
        <v>NA</v>
      </c>
    </row>
    <row r="55" spans="1:8" ht="18" thickBot="1">
      <c r="A55" s="194" t="s">
        <v>26</v>
      </c>
      <c r="B55" s="195">
        <v>0.1082</v>
      </c>
      <c r="C55" s="196" t="s">
        <v>143</v>
      </c>
      <c r="D55" s="200" t="str">
        <f t="shared" si="0"/>
        <v>NA</v>
      </c>
      <c r="E55" s="197">
        <v>3.2000000000000002E-3</v>
      </c>
      <c r="F55" s="198">
        <v>9.4999999999999998E-3</v>
      </c>
      <c r="G55" s="198">
        <f t="shared" si="1"/>
        <v>0.33684210526315794</v>
      </c>
      <c r="H55" s="199">
        <f t="shared" si="2"/>
        <v>0.32121874999999994</v>
      </c>
    </row>
    <row r="56" spans="1:8" ht="18" thickBot="1">
      <c r="A56" s="194" t="s">
        <v>28</v>
      </c>
      <c r="B56" s="195">
        <v>0.21560000000000001</v>
      </c>
      <c r="C56" s="197">
        <v>0.2477</v>
      </c>
      <c r="D56" s="200">
        <f t="shared" si="0"/>
        <v>0.87040775131207104</v>
      </c>
      <c r="E56" s="197">
        <v>3.2000000000000002E-3</v>
      </c>
      <c r="F56" s="198">
        <v>1.04E-2</v>
      </c>
      <c r="G56" s="198">
        <f t="shared" si="1"/>
        <v>0.30769230769230771</v>
      </c>
      <c r="H56" s="199">
        <f t="shared" si="2"/>
        <v>0.70069999999999999</v>
      </c>
    </row>
    <row r="57" spans="1:8" ht="18" thickBot="1">
      <c r="A57" s="194" t="s">
        <v>29</v>
      </c>
      <c r="B57" s="195">
        <v>0.3362</v>
      </c>
      <c r="C57" s="197">
        <v>0.29830000000000001</v>
      </c>
      <c r="D57" s="200">
        <f t="shared" si="0"/>
        <v>1.1270533020449212</v>
      </c>
      <c r="E57" s="197">
        <v>4.1999999999999997E-3</v>
      </c>
      <c r="F57" s="198">
        <v>6.7000000000000002E-3</v>
      </c>
      <c r="G57" s="198">
        <f t="shared" si="1"/>
        <v>0.62686567164179097</v>
      </c>
      <c r="H57" s="199">
        <f t="shared" si="2"/>
        <v>0.5363190476190477</v>
      </c>
    </row>
    <row r="58" spans="1:8" ht="18" thickBot="1">
      <c r="A58" s="194" t="s">
        <v>74</v>
      </c>
      <c r="B58" s="195">
        <v>0.18629999999999999</v>
      </c>
      <c r="C58" s="196" t="s">
        <v>143</v>
      </c>
      <c r="D58" s="200" t="str">
        <f t="shared" si="0"/>
        <v>NA</v>
      </c>
      <c r="E58" s="197">
        <v>4.4999999999999997E-3</v>
      </c>
      <c r="F58" s="198">
        <v>7.4000000000000003E-3</v>
      </c>
      <c r="G58" s="198">
        <f t="shared" si="1"/>
        <v>0.608108108108108</v>
      </c>
      <c r="H58" s="199">
        <f t="shared" si="2"/>
        <v>0.30636000000000002</v>
      </c>
    </row>
    <row r="59" spans="1:8" ht="18" thickBot="1">
      <c r="A59" s="194" t="s">
        <v>0</v>
      </c>
      <c r="B59" s="195">
        <v>0.2424</v>
      </c>
      <c r="C59" s="197">
        <v>0.2364</v>
      </c>
      <c r="D59" s="200">
        <f t="shared" si="0"/>
        <v>1.0253807106598984</v>
      </c>
      <c r="E59" s="197">
        <v>4.3E-3</v>
      </c>
      <c r="F59" s="198">
        <v>1.2200000000000001E-2</v>
      </c>
      <c r="G59" s="198">
        <f t="shared" si="1"/>
        <v>0.35245901639344263</v>
      </c>
      <c r="H59" s="199">
        <f t="shared" si="2"/>
        <v>0.68773953488372097</v>
      </c>
    </row>
    <row r="60" spans="1:8" ht="18" thickBot="1">
      <c r="A60" s="194" t="s">
        <v>1</v>
      </c>
      <c r="B60" s="195">
        <v>0.2591</v>
      </c>
      <c r="C60" s="197">
        <v>0.1726</v>
      </c>
      <c r="D60" s="200">
        <f t="shared" si="0"/>
        <v>1.5011587485515643</v>
      </c>
      <c r="E60" s="197">
        <v>5.5999999999999999E-3</v>
      </c>
      <c r="F60" s="198">
        <v>1.47E-2</v>
      </c>
      <c r="G60" s="198">
        <f t="shared" si="1"/>
        <v>0.38095238095238099</v>
      </c>
      <c r="H60" s="199">
        <f t="shared" si="2"/>
        <v>0.68013749999999995</v>
      </c>
    </row>
    <row r="61" spans="1:8" ht="18" thickBot="1">
      <c r="A61" s="194" t="s">
        <v>227</v>
      </c>
      <c r="B61" s="195" t="s">
        <v>143</v>
      </c>
      <c r="C61" s="196" t="s">
        <v>143</v>
      </c>
      <c r="D61" s="200" t="str">
        <f t="shared" si="0"/>
        <v>NA</v>
      </c>
      <c r="E61" s="197">
        <v>4.7000000000000002E-3</v>
      </c>
      <c r="F61" s="198">
        <v>3.7199999999999997E-2</v>
      </c>
      <c r="G61" s="198">
        <f t="shared" si="1"/>
        <v>0.1263440860215054</v>
      </c>
      <c r="H61" s="199" t="str">
        <f t="shared" si="2"/>
        <v>NA</v>
      </c>
    </row>
    <row r="62" spans="1:8" ht="18" thickBot="1">
      <c r="A62" s="194" t="s">
        <v>2</v>
      </c>
      <c r="B62" s="195">
        <v>0.17960000000000001</v>
      </c>
      <c r="C62" s="197">
        <v>0.27960000000000002</v>
      </c>
      <c r="D62" s="200">
        <f t="shared" si="0"/>
        <v>0.64234620886981397</v>
      </c>
      <c r="E62" s="197">
        <v>4.7000000000000002E-3</v>
      </c>
      <c r="F62" s="198">
        <v>1.12E-2</v>
      </c>
      <c r="G62" s="198">
        <f t="shared" si="1"/>
        <v>0.41964285714285715</v>
      </c>
      <c r="H62" s="199">
        <f t="shared" si="2"/>
        <v>0.42798297872340429</v>
      </c>
    </row>
    <row r="63" spans="1:8" ht="18" thickBot="1">
      <c r="A63" s="194" t="s">
        <v>135</v>
      </c>
      <c r="B63" s="195" t="s">
        <v>143</v>
      </c>
      <c r="C63" s="196" t="s">
        <v>143</v>
      </c>
      <c r="D63" s="200" t="str">
        <f t="shared" si="0"/>
        <v>NA</v>
      </c>
      <c r="E63" s="197">
        <v>5.4000000000000003E-3</v>
      </c>
      <c r="F63" s="198">
        <v>2.9399999999999999E-2</v>
      </c>
      <c r="G63" s="198">
        <f t="shared" si="1"/>
        <v>0.18367346938775511</v>
      </c>
      <c r="H63" s="199" t="str">
        <f t="shared" si="2"/>
        <v>NA</v>
      </c>
    </row>
    <row r="64" spans="1:8" ht="18" thickBot="1">
      <c r="A64" s="194" t="s">
        <v>147</v>
      </c>
      <c r="B64" s="195">
        <v>0.1074</v>
      </c>
      <c r="C64" s="196" t="s">
        <v>143</v>
      </c>
      <c r="D64" s="200" t="str">
        <f t="shared" si="0"/>
        <v>NA</v>
      </c>
      <c r="E64" s="197">
        <v>1.6000000000000001E-3</v>
      </c>
      <c r="F64" s="198">
        <v>1.61E-2</v>
      </c>
      <c r="G64" s="198">
        <f t="shared" si="1"/>
        <v>9.9378881987577647E-2</v>
      </c>
      <c r="H64" s="199">
        <f t="shared" si="2"/>
        <v>1.0807125</v>
      </c>
    </row>
    <row r="65" spans="1:8" ht="18" thickBot="1">
      <c r="A65" s="194" t="s">
        <v>3</v>
      </c>
      <c r="B65" s="195">
        <v>0.22750000000000001</v>
      </c>
      <c r="C65" s="196" t="s">
        <v>143</v>
      </c>
      <c r="D65" s="200" t="str">
        <f t="shared" si="0"/>
        <v>NA</v>
      </c>
      <c r="E65" s="196" t="s">
        <v>143</v>
      </c>
      <c r="F65" s="198" t="s">
        <v>143</v>
      </c>
      <c r="G65" s="198" t="str">
        <f t="shared" si="1"/>
        <v>NA</v>
      </c>
      <c r="H65" s="199" t="str">
        <f t="shared" si="2"/>
        <v>NA</v>
      </c>
    </row>
    <row r="66" spans="1:8" ht="18" thickBot="1">
      <c r="A66" s="194" t="s">
        <v>61</v>
      </c>
      <c r="B66" s="195">
        <v>0.2107</v>
      </c>
      <c r="C66" s="196" t="s">
        <v>143</v>
      </c>
      <c r="D66" s="200" t="str">
        <f t="shared" si="0"/>
        <v>NA</v>
      </c>
      <c r="E66" s="197">
        <v>2.2000000000000001E-3</v>
      </c>
      <c r="F66" s="198">
        <v>7.9000000000000008E-3</v>
      </c>
      <c r="G66" s="198">
        <f t="shared" si="1"/>
        <v>0.27848101265822783</v>
      </c>
      <c r="H66" s="199">
        <f t="shared" si="2"/>
        <v>0.75660454545454547</v>
      </c>
    </row>
    <row r="67" spans="1:8" ht="18" thickBot="1">
      <c r="A67" s="194" t="s">
        <v>190</v>
      </c>
      <c r="B67" s="195">
        <v>0.20749999999999999</v>
      </c>
      <c r="C67" s="197">
        <v>0.05</v>
      </c>
      <c r="D67" s="200">
        <f t="shared" si="0"/>
        <v>4.1499999999999995</v>
      </c>
      <c r="E67" s="197">
        <v>2.0999999999999999E-3</v>
      </c>
      <c r="F67" s="198">
        <v>1.06E-2</v>
      </c>
      <c r="G67" s="198">
        <f t="shared" si="1"/>
        <v>0.1981132075471698</v>
      </c>
      <c r="H67" s="199">
        <f t="shared" si="2"/>
        <v>1.0473809523809525</v>
      </c>
    </row>
    <row r="68" spans="1:8" ht="18" thickBot="1">
      <c r="A68" s="194" t="s">
        <v>76</v>
      </c>
      <c r="B68" s="195">
        <v>0.2999</v>
      </c>
      <c r="C68" s="197">
        <v>0.17860000000000001</v>
      </c>
      <c r="D68" s="200">
        <f t="shared" ref="D68:D81" si="3">IF(C68="NA","NA",IF(B68="NA","NA",B68/C68))</f>
        <v>1.6791713325867861</v>
      </c>
      <c r="E68" s="197">
        <v>2.5999999999999999E-3</v>
      </c>
      <c r="F68" s="198">
        <v>2.93E-2</v>
      </c>
      <c r="G68" s="198">
        <f t="shared" ref="G68:G81" si="4">IF(F68="NA","NA",E68/F68)</f>
        <v>8.8737201365187715E-2</v>
      </c>
      <c r="H68" s="199">
        <f t="shared" ref="H68:H81" si="5">IF(G68="NA","NA",IF(B68="NA","NA",B68/G68))</f>
        <v>3.3796423076923077</v>
      </c>
    </row>
    <row r="69" spans="1:8" ht="18" thickBot="1">
      <c r="A69" s="194" t="s">
        <v>134</v>
      </c>
      <c r="B69" s="195">
        <v>0.2671</v>
      </c>
      <c r="C69" s="196" t="s">
        <v>143</v>
      </c>
      <c r="D69" s="200" t="str">
        <f t="shared" si="3"/>
        <v>NA</v>
      </c>
      <c r="E69" s="197">
        <v>4.7999999999999996E-3</v>
      </c>
      <c r="F69" s="198">
        <v>0.12189999999999999</v>
      </c>
      <c r="G69" s="198">
        <f t="shared" si="4"/>
        <v>3.937653814602133E-2</v>
      </c>
      <c r="H69" s="199">
        <f t="shared" si="5"/>
        <v>6.7832270833333332</v>
      </c>
    </row>
    <row r="70" spans="1:8" ht="18" thickBot="1">
      <c r="A70" s="194" t="s">
        <v>64</v>
      </c>
      <c r="B70" s="195">
        <v>0.21510000000000001</v>
      </c>
      <c r="C70" s="196" t="s">
        <v>143</v>
      </c>
      <c r="D70" s="200" t="str">
        <f t="shared" si="3"/>
        <v>NA</v>
      </c>
      <c r="E70" s="196" t="s">
        <v>143</v>
      </c>
      <c r="F70" s="198" t="s">
        <v>143</v>
      </c>
      <c r="G70" s="198" t="str">
        <f t="shared" si="4"/>
        <v>NA</v>
      </c>
      <c r="H70" s="199" t="str">
        <f t="shared" si="5"/>
        <v>NA</v>
      </c>
    </row>
    <row r="71" spans="1:8" ht="18" thickBot="1">
      <c r="A71" s="194" t="s">
        <v>332</v>
      </c>
      <c r="B71" s="195">
        <v>0.1061</v>
      </c>
      <c r="C71" s="196" t="s">
        <v>143</v>
      </c>
      <c r="D71" s="200" t="str">
        <f t="shared" si="3"/>
        <v>NA</v>
      </c>
      <c r="E71" s="196" t="s">
        <v>143</v>
      </c>
      <c r="F71" s="198" t="s">
        <v>143</v>
      </c>
      <c r="G71" s="198" t="str">
        <f t="shared" si="4"/>
        <v>NA</v>
      </c>
      <c r="H71" s="199" t="str">
        <f t="shared" si="5"/>
        <v>NA</v>
      </c>
    </row>
    <row r="72" spans="1:8" ht="18" thickBot="1">
      <c r="A72" s="194" t="s">
        <v>65</v>
      </c>
      <c r="B72" s="195">
        <v>0.30120000000000002</v>
      </c>
      <c r="C72" s="197">
        <v>0.31009999999999999</v>
      </c>
      <c r="D72" s="200">
        <f t="shared" si="3"/>
        <v>0.97129958078039358</v>
      </c>
      <c r="E72" s="197">
        <v>3.7000000000000002E-3</v>
      </c>
      <c r="F72" s="198">
        <v>6.1999999999999998E-3</v>
      </c>
      <c r="G72" s="198">
        <f t="shared" si="4"/>
        <v>0.59677419354838712</v>
      </c>
      <c r="H72" s="199">
        <f t="shared" si="5"/>
        <v>0.50471351351351357</v>
      </c>
    </row>
    <row r="73" spans="1:8" ht="18" thickBot="1">
      <c r="A73" s="194" t="s">
        <v>77</v>
      </c>
      <c r="B73" s="195">
        <v>0.1057</v>
      </c>
      <c r="C73" s="196" t="s">
        <v>143</v>
      </c>
      <c r="D73" s="200" t="str">
        <f t="shared" si="3"/>
        <v>NA</v>
      </c>
      <c r="E73" s="197">
        <v>4.7999999999999996E-3</v>
      </c>
      <c r="F73" s="198">
        <v>4.8500000000000001E-2</v>
      </c>
      <c r="G73" s="198">
        <f t="shared" si="4"/>
        <v>9.8969072164948435E-2</v>
      </c>
      <c r="H73" s="199">
        <f t="shared" si="5"/>
        <v>1.0680104166666669</v>
      </c>
    </row>
    <row r="74" spans="1:8" ht="18" thickBot="1">
      <c r="A74" s="194" t="s">
        <v>66</v>
      </c>
      <c r="B74" s="195">
        <v>0.26300000000000001</v>
      </c>
      <c r="C74" s="197">
        <v>0.16220000000000001</v>
      </c>
      <c r="D74" s="200">
        <f t="shared" si="3"/>
        <v>1.6214549938347718</v>
      </c>
      <c r="E74" s="197">
        <v>5.1999999999999998E-3</v>
      </c>
      <c r="F74" s="198">
        <v>3.3099999999999997E-2</v>
      </c>
      <c r="G74" s="198">
        <f t="shared" si="4"/>
        <v>0.15709969788519637</v>
      </c>
      <c r="H74" s="199">
        <f t="shared" si="5"/>
        <v>1.6740961538461541</v>
      </c>
    </row>
    <row r="75" spans="1:8" ht="18" thickBot="1">
      <c r="A75" s="194" t="s">
        <v>345</v>
      </c>
      <c r="B75" s="195">
        <v>0.28199999999999997</v>
      </c>
      <c r="C75" s="196" t="s">
        <v>143</v>
      </c>
      <c r="D75" s="200" t="str">
        <f t="shared" si="3"/>
        <v>NA</v>
      </c>
      <c r="E75" s="196" t="s">
        <v>143</v>
      </c>
      <c r="F75" s="198" t="s">
        <v>143</v>
      </c>
      <c r="G75" s="198" t="str">
        <f t="shared" si="4"/>
        <v>NA</v>
      </c>
      <c r="H75" s="199" t="str">
        <f t="shared" si="5"/>
        <v>NA</v>
      </c>
    </row>
    <row r="76" spans="1:8" ht="18" thickBot="1">
      <c r="A76" s="194" t="s">
        <v>68</v>
      </c>
      <c r="B76" s="195">
        <v>5.9700000000000003E-2</v>
      </c>
      <c r="C76" s="197">
        <v>0.13339999999999999</v>
      </c>
      <c r="D76" s="200">
        <f t="shared" si="3"/>
        <v>0.44752623688155929</v>
      </c>
      <c r="E76" s="197">
        <v>3.5999999999999999E-3</v>
      </c>
      <c r="F76" s="198">
        <v>4.1799999999999997E-2</v>
      </c>
      <c r="G76" s="198">
        <f t="shared" si="4"/>
        <v>8.6124401913875603E-2</v>
      </c>
      <c r="H76" s="199">
        <f t="shared" si="5"/>
        <v>0.69318333333333337</v>
      </c>
    </row>
    <row r="77" spans="1:8" ht="18" thickBot="1">
      <c r="A77" s="194" t="s">
        <v>69</v>
      </c>
      <c r="B77" s="195" t="s">
        <v>143</v>
      </c>
      <c r="C77" s="196" t="s">
        <v>143</v>
      </c>
      <c r="D77" s="200" t="str">
        <f t="shared" si="3"/>
        <v>NA</v>
      </c>
      <c r="E77" s="197">
        <v>5.7999999999999996E-3</v>
      </c>
      <c r="F77" s="198">
        <v>1.2699999999999999E-2</v>
      </c>
      <c r="G77" s="198">
        <f t="shared" si="4"/>
        <v>0.45669291338582674</v>
      </c>
      <c r="H77" s="199" t="str">
        <f t="shared" si="5"/>
        <v>NA</v>
      </c>
    </row>
    <row r="78" spans="1:8" ht="18" thickBot="1">
      <c r="A78" s="201" t="s">
        <v>193</v>
      </c>
      <c r="B78" s="195">
        <v>0.33850000000000002</v>
      </c>
      <c r="C78" s="196" t="s">
        <v>143</v>
      </c>
      <c r="D78" s="200" t="str">
        <f t="shared" si="3"/>
        <v>NA</v>
      </c>
      <c r="E78" s="196" t="s">
        <v>143</v>
      </c>
      <c r="F78" s="198" t="s">
        <v>143</v>
      </c>
      <c r="G78" s="198" t="str">
        <f t="shared" si="4"/>
        <v>NA</v>
      </c>
      <c r="H78" s="199" t="str">
        <f t="shared" si="5"/>
        <v>NA</v>
      </c>
    </row>
    <row r="79" spans="1:8" ht="18" thickBot="1">
      <c r="A79" s="194" t="s">
        <v>70</v>
      </c>
      <c r="B79" s="195">
        <v>0.64980000000000004</v>
      </c>
      <c r="C79" s="196" t="s">
        <v>143</v>
      </c>
      <c r="D79" s="200" t="str">
        <f t="shared" si="3"/>
        <v>NA</v>
      </c>
      <c r="E79" s="196" t="s">
        <v>143</v>
      </c>
      <c r="F79" s="198" t="s">
        <v>143</v>
      </c>
      <c r="G79" s="198" t="str">
        <f t="shared" si="4"/>
        <v>NA</v>
      </c>
      <c r="H79" s="199" t="str">
        <f t="shared" si="5"/>
        <v>NA</v>
      </c>
    </row>
    <row r="80" spans="1:8" ht="18" thickBot="1">
      <c r="A80" s="194" t="s">
        <v>71</v>
      </c>
      <c r="B80" s="195">
        <v>0.26119999999999999</v>
      </c>
      <c r="C80" s="196" t="s">
        <v>143</v>
      </c>
      <c r="D80" s="200" t="str">
        <f t="shared" si="3"/>
        <v>NA</v>
      </c>
      <c r="E80" s="197">
        <v>3.2000000000000002E-3</v>
      </c>
      <c r="F80" s="198">
        <v>1.49E-2</v>
      </c>
      <c r="G80" s="198">
        <f t="shared" si="4"/>
        <v>0.21476510067114096</v>
      </c>
      <c r="H80" s="199">
        <f t="shared" si="5"/>
        <v>1.2162124999999999</v>
      </c>
    </row>
    <row r="81" spans="1:8" ht="18" thickBot="1">
      <c r="A81" s="194" t="s">
        <v>192</v>
      </c>
      <c r="B81" s="195" t="s">
        <v>143</v>
      </c>
      <c r="C81" s="196" t="s">
        <v>143</v>
      </c>
      <c r="D81" s="200" t="str">
        <f t="shared" si="3"/>
        <v>NA</v>
      </c>
      <c r="E81" s="197">
        <v>5.4000000000000003E-3</v>
      </c>
      <c r="F81" s="198" t="s">
        <v>143</v>
      </c>
      <c r="G81" s="198" t="str">
        <f t="shared" si="4"/>
        <v>NA</v>
      </c>
      <c r="H81" s="199" t="str">
        <f t="shared" si="5"/>
        <v>NA</v>
      </c>
    </row>
    <row r="82" spans="1:8" ht="18" thickBot="1">
      <c r="A82" s="194" t="s">
        <v>148</v>
      </c>
      <c r="B82" s="202"/>
      <c r="C82" s="203"/>
      <c r="D82" s="199">
        <f>AVERAGE(D4:D81)</f>
        <v>1.8068743864633241</v>
      </c>
      <c r="E82" s="203"/>
      <c r="F82" s="204"/>
      <c r="G82" s="196"/>
      <c r="H82" s="199">
        <f>AVERAGE(H4:H81)</f>
        <v>1.3522063982964265</v>
      </c>
    </row>
    <row r="83" spans="1:8" ht="18" thickBot="1">
      <c r="A83" s="194" t="s">
        <v>149</v>
      </c>
      <c r="B83" s="202"/>
      <c r="C83" s="203"/>
      <c r="D83" s="199">
        <f>MEDIAN(D4:D81)</f>
        <v>1.4803876252926327</v>
      </c>
      <c r="E83" s="203"/>
      <c r="F83" s="204"/>
      <c r="G83" s="196"/>
      <c r="H83" s="199">
        <f>MEDIAN(H4:H81)</f>
        <v>1.0268709677419354</v>
      </c>
    </row>
    <row r="84" spans="1:8" ht="20" thickBot="1">
      <c r="A84" s="158" t="s">
        <v>149</v>
      </c>
      <c r="B84" s="159"/>
      <c r="C84" s="159"/>
      <c r="D84" s="160">
        <f>MEDIAN(D4:D83)</f>
        <v>1.4907731869220986</v>
      </c>
      <c r="E84" s="161"/>
      <c r="F84" s="161"/>
      <c r="G84" s="162"/>
      <c r="H84" s="163">
        <f>MEDIAN(H4:H83)</f>
        <v>1.0268709677419354</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4"/>
  <sheetViews>
    <sheetView topLeftCell="A168" workbookViewId="0">
      <selection activeCell="B178" sqref="B178:B179"/>
    </sheetView>
  </sheetViews>
  <sheetFormatPr baseColWidth="10" defaultRowHeight="16"/>
  <cols>
    <col min="1" max="1" width="26.5" style="20" bestFit="1" customWidth="1"/>
    <col min="2" max="2" width="26.5" style="20" customWidth="1"/>
    <col min="3" max="3" width="7.5" customWidth="1"/>
    <col min="4" max="4" width="11" bestFit="1" customWidth="1"/>
    <col min="5" max="5" width="23.33203125" customWidth="1"/>
  </cols>
  <sheetData>
    <row r="1" spans="1:8" s="1" customFormat="1" ht="17">
      <c r="A1" s="49" t="s">
        <v>75</v>
      </c>
      <c r="B1" s="216" t="s">
        <v>564</v>
      </c>
      <c r="E1" s="210" t="s">
        <v>549</v>
      </c>
      <c r="F1" s="211" t="s">
        <v>550</v>
      </c>
      <c r="G1"/>
      <c r="H1"/>
    </row>
    <row r="2" spans="1:8">
      <c r="A2" s="50" t="s">
        <v>272</v>
      </c>
      <c r="B2" s="50">
        <v>446000</v>
      </c>
      <c r="E2" s="213" t="s">
        <v>390</v>
      </c>
      <c r="F2" s="215">
        <v>20116.1373258206</v>
      </c>
    </row>
    <row r="3" spans="1:8">
      <c r="A3" s="50" t="s">
        <v>4</v>
      </c>
      <c r="B3" s="50">
        <f>VLOOKUP(A3,$E$2:$F$214,2,FALSE)</f>
        <v>18260.043499806801</v>
      </c>
      <c r="C3" s="32" t="s">
        <v>254</v>
      </c>
      <c r="D3" s="101" t="s">
        <v>255</v>
      </c>
      <c r="E3" s="213" t="s">
        <v>4</v>
      </c>
      <c r="F3" s="212">
        <v>18260.043499806801</v>
      </c>
    </row>
    <row r="4" spans="1:8">
      <c r="A4" s="50" t="s">
        <v>286</v>
      </c>
      <c r="B4" s="218">
        <v>3.33</v>
      </c>
      <c r="C4" s="32" t="s">
        <v>294</v>
      </c>
      <c r="D4" s="32">
        <v>2021</v>
      </c>
      <c r="E4" s="213" t="s">
        <v>337</v>
      </c>
      <c r="F4" s="212">
        <v>167983.14173831101</v>
      </c>
    </row>
    <row r="5" spans="1:8">
      <c r="A5" s="50" t="s">
        <v>131</v>
      </c>
      <c r="B5" s="50">
        <f t="shared" ref="B5:B67" si="0">VLOOKUP(A5,$E$2:$F$214,2,FALSE)</f>
        <v>72546.98570857069</v>
      </c>
      <c r="E5" s="213" t="s">
        <v>446</v>
      </c>
      <c r="F5" s="215">
        <v>709</v>
      </c>
    </row>
    <row r="6" spans="1:8">
      <c r="A6" s="50" t="s">
        <v>84</v>
      </c>
      <c r="B6" s="50">
        <f t="shared" si="0"/>
        <v>491492.700657012</v>
      </c>
      <c r="E6" s="213" t="s">
        <v>197</v>
      </c>
      <c r="F6" s="212">
        <v>3329.91072376078</v>
      </c>
    </row>
    <row r="7" spans="1:8">
      <c r="A7" s="50" t="s">
        <v>19</v>
      </c>
      <c r="B7" s="50">
        <f t="shared" si="0"/>
        <v>13861.1838735931</v>
      </c>
      <c r="E7" s="213" t="s">
        <v>131</v>
      </c>
      <c r="F7" s="212">
        <v>72546.98570857069</v>
      </c>
    </row>
    <row r="8" spans="1:8">
      <c r="A8" s="50" t="s">
        <v>201</v>
      </c>
      <c r="B8" s="50">
        <f t="shared" si="0"/>
        <v>2496.6480446927399</v>
      </c>
      <c r="E8" s="213" t="s">
        <v>410</v>
      </c>
      <c r="F8" s="212">
        <v>1471.12592592593</v>
      </c>
    </row>
    <row r="9" spans="1:8">
      <c r="A9" s="50" t="s">
        <v>85</v>
      </c>
      <c r="B9" s="50">
        <f t="shared" si="0"/>
        <v>1542659.89999254</v>
      </c>
      <c r="E9" s="213" t="s">
        <v>84</v>
      </c>
      <c r="F9" s="212">
        <v>491492.700657012</v>
      </c>
    </row>
    <row r="10" spans="1:8">
      <c r="A10" s="50" t="s">
        <v>176</v>
      </c>
      <c r="B10" s="50">
        <f t="shared" si="0"/>
        <v>477082.46745429497</v>
      </c>
      <c r="E10" s="213" t="s">
        <v>19</v>
      </c>
      <c r="F10" s="212">
        <v>13861.1838735931</v>
      </c>
    </row>
    <row r="11" spans="1:8">
      <c r="A11" s="50" t="s">
        <v>20</v>
      </c>
      <c r="B11" s="50">
        <f t="shared" si="0"/>
        <v>54622.176470588201</v>
      </c>
      <c r="E11" s="213" t="s">
        <v>201</v>
      </c>
      <c r="F11" s="215">
        <v>2496.6480446927399</v>
      </c>
    </row>
    <row r="12" spans="1:8">
      <c r="A12" s="50" t="s">
        <v>86</v>
      </c>
      <c r="B12" s="217">
        <v>11.209</v>
      </c>
      <c r="E12" s="213" t="s">
        <v>85</v>
      </c>
      <c r="F12" s="212">
        <v>1542659.89999254</v>
      </c>
    </row>
    <row r="13" spans="1:8">
      <c r="A13" s="50" t="s">
        <v>87</v>
      </c>
      <c r="B13" s="50">
        <f t="shared" si="0"/>
        <v>38868.663031914904</v>
      </c>
      <c r="E13" s="213" t="s">
        <v>176</v>
      </c>
      <c r="F13" s="212">
        <v>477082.46745429497</v>
      </c>
    </row>
    <row r="14" spans="1:8">
      <c r="A14" s="50" t="s">
        <v>132</v>
      </c>
      <c r="B14" s="50">
        <f t="shared" si="0"/>
        <v>416264.94289332599</v>
      </c>
      <c r="E14" s="213" t="s">
        <v>20</v>
      </c>
      <c r="F14" s="212">
        <v>54622.176470588201</v>
      </c>
    </row>
    <row r="15" spans="1:8">
      <c r="A15" s="50" t="s">
        <v>88</v>
      </c>
      <c r="B15" s="50">
        <f t="shared" si="0"/>
        <v>4900.8</v>
      </c>
      <c r="E15" s="213" t="s">
        <v>533</v>
      </c>
      <c r="F15" s="212">
        <v>11208.6</v>
      </c>
    </row>
    <row r="16" spans="1:8">
      <c r="A16" s="50" t="s">
        <v>5</v>
      </c>
      <c r="B16" s="50">
        <f t="shared" si="0"/>
        <v>68218.816484122595</v>
      </c>
      <c r="E16" s="213" t="s">
        <v>87</v>
      </c>
      <c r="F16" s="212">
        <v>38868.663031914904</v>
      </c>
    </row>
    <row r="17" spans="1:6">
      <c r="A17" s="50" t="s">
        <v>177</v>
      </c>
      <c r="B17" s="50">
        <f t="shared" si="0"/>
        <v>599879.02537751</v>
      </c>
      <c r="E17" s="213" t="s">
        <v>132</v>
      </c>
      <c r="F17" s="212">
        <v>416264.94289332599</v>
      </c>
    </row>
    <row r="18" spans="1:6">
      <c r="A18" s="50" t="s">
        <v>89</v>
      </c>
      <c r="B18" s="50">
        <f t="shared" si="0"/>
        <v>1789.9232640299999</v>
      </c>
      <c r="E18" s="213" t="s">
        <v>88</v>
      </c>
      <c r="F18" s="212">
        <v>4900.8</v>
      </c>
    </row>
    <row r="19" spans="1:6">
      <c r="A19" s="50" t="s">
        <v>208</v>
      </c>
      <c r="B19" s="50">
        <f t="shared" si="0"/>
        <v>17785.640079119097</v>
      </c>
      <c r="E19" s="213" t="s">
        <v>5</v>
      </c>
      <c r="F19" s="212">
        <v>68218.816484122595</v>
      </c>
    </row>
    <row r="20" spans="1:6">
      <c r="A20" s="50" t="s">
        <v>90</v>
      </c>
      <c r="B20" s="50">
        <f t="shared" si="0"/>
        <v>7080.9</v>
      </c>
      <c r="E20" s="213" t="s">
        <v>177</v>
      </c>
      <c r="F20" s="212">
        <v>599879.02537751</v>
      </c>
    </row>
    <row r="21" spans="1:6">
      <c r="A21" s="50" t="s">
        <v>91</v>
      </c>
      <c r="B21" s="50">
        <f t="shared" si="0"/>
        <v>40408.208523878406</v>
      </c>
      <c r="E21" s="213" t="s">
        <v>89</v>
      </c>
      <c r="F21" s="212">
        <v>1789.9232640299999</v>
      </c>
    </row>
    <row r="22" spans="1:6">
      <c r="A22" s="50" t="s">
        <v>7</v>
      </c>
      <c r="B22" s="50">
        <f t="shared" si="0"/>
        <v>22571.512867281603</v>
      </c>
      <c r="E22" s="213" t="s">
        <v>208</v>
      </c>
      <c r="F22" s="212">
        <v>17785.640079119097</v>
      </c>
    </row>
    <row r="23" spans="1:6">
      <c r="A23" s="50" t="s">
        <v>123</v>
      </c>
      <c r="B23" s="50">
        <f t="shared" si="0"/>
        <v>17613.846472991601</v>
      </c>
      <c r="E23" s="213" t="s">
        <v>90</v>
      </c>
      <c r="F23" s="212">
        <v>7080.9</v>
      </c>
    </row>
    <row r="24" spans="1:6">
      <c r="A24" s="50" t="s">
        <v>92</v>
      </c>
      <c r="B24" s="50">
        <f t="shared" si="0"/>
        <v>1608981.2208121999</v>
      </c>
      <c r="E24" s="213" t="s">
        <v>404</v>
      </c>
      <c r="F24" s="215">
        <v>2315.4363032998799</v>
      </c>
    </row>
    <row r="25" spans="1:6">
      <c r="A25" s="50" t="s">
        <v>94</v>
      </c>
      <c r="B25" s="50">
        <f t="shared" si="0"/>
        <v>80271.119426107602</v>
      </c>
      <c r="E25" s="213" t="s">
        <v>91</v>
      </c>
      <c r="F25" s="212">
        <v>40408.208523878406</v>
      </c>
    </row>
    <row r="26" spans="1:6">
      <c r="A26" s="50" t="s">
        <v>211</v>
      </c>
      <c r="B26" s="50">
        <f t="shared" si="0"/>
        <v>19737.615114366101</v>
      </c>
      <c r="E26" s="213" t="s">
        <v>7</v>
      </c>
      <c r="F26" s="212">
        <v>22571.512867281603</v>
      </c>
    </row>
    <row r="27" spans="1:6">
      <c r="A27" s="50" t="s">
        <v>6</v>
      </c>
      <c r="B27" s="50">
        <f t="shared" si="0"/>
        <v>26961.061119795701</v>
      </c>
      <c r="E27" s="213" t="s">
        <v>123</v>
      </c>
      <c r="F27" s="212">
        <v>17613.846472991601</v>
      </c>
    </row>
    <row r="28" spans="1:6">
      <c r="A28" s="50" t="s">
        <v>212</v>
      </c>
      <c r="B28" s="50">
        <f t="shared" si="0"/>
        <v>45238.613479830805</v>
      </c>
      <c r="E28" s="213" t="s">
        <v>92</v>
      </c>
      <c r="F28" s="212">
        <v>1608981.2208121999</v>
      </c>
    </row>
    <row r="29" spans="1:6">
      <c r="A29" s="50" t="s">
        <v>95</v>
      </c>
      <c r="B29" s="50">
        <f t="shared" si="0"/>
        <v>1990761.6096652299</v>
      </c>
      <c r="E29" s="213" t="s">
        <v>391</v>
      </c>
      <c r="F29" s="212">
        <v>14006.56957568</v>
      </c>
    </row>
    <row r="30" spans="1:6">
      <c r="A30" s="50" t="s">
        <v>213</v>
      </c>
      <c r="B30" s="50">
        <v>1.7</v>
      </c>
      <c r="E30" s="213" t="s">
        <v>94</v>
      </c>
      <c r="F30" s="212">
        <v>80271.119426107602</v>
      </c>
    </row>
    <row r="31" spans="1:6">
      <c r="A31" s="50" t="s">
        <v>55</v>
      </c>
      <c r="B31" s="50">
        <f t="shared" si="0"/>
        <v>5608.9891955291996</v>
      </c>
      <c r="E31" s="213" t="s">
        <v>211</v>
      </c>
      <c r="F31" s="212">
        <v>19737.615114366101</v>
      </c>
    </row>
    <row r="32" spans="1:6">
      <c r="A32" s="50" t="s">
        <v>96</v>
      </c>
      <c r="B32" s="50">
        <f t="shared" si="0"/>
        <v>317058.50865176</v>
      </c>
      <c r="E32" s="213" t="s">
        <v>400</v>
      </c>
      <c r="F32" s="212">
        <v>2902.0293858259201</v>
      </c>
    </row>
    <row r="33" spans="1:6">
      <c r="A33" s="50" t="s">
        <v>97</v>
      </c>
      <c r="B33" s="50">
        <f t="shared" si="0"/>
        <v>17734062.6453714</v>
      </c>
      <c r="E33" s="213" t="s">
        <v>534</v>
      </c>
      <c r="F33" s="212">
        <v>1936.1740434529299</v>
      </c>
    </row>
    <row r="34" spans="1:6">
      <c r="A34" s="50" t="s">
        <v>50</v>
      </c>
      <c r="B34" s="50">
        <f t="shared" si="0"/>
        <v>314322.45322829497</v>
      </c>
      <c r="E34" s="213" t="s">
        <v>6</v>
      </c>
      <c r="F34" s="212">
        <v>26961.061119795701</v>
      </c>
    </row>
    <row r="35" spans="1:6">
      <c r="A35" s="50" t="s">
        <v>287</v>
      </c>
      <c r="B35" s="217">
        <f>F44</f>
        <v>53958.573693051301</v>
      </c>
      <c r="E35" s="213" t="s">
        <v>212</v>
      </c>
      <c r="F35" s="212">
        <v>45238.613479830805</v>
      </c>
    </row>
    <row r="36" spans="1:6">
      <c r="A36" s="50" t="s">
        <v>288</v>
      </c>
      <c r="B36" s="217">
        <f>F45</f>
        <v>12523.9616772966</v>
      </c>
      <c r="E36" s="213" t="s">
        <v>95</v>
      </c>
      <c r="F36" s="212">
        <v>1990761.6096652299</v>
      </c>
    </row>
    <row r="37" spans="1:6">
      <c r="A37" s="50" t="s">
        <v>214</v>
      </c>
      <c r="B37" s="50">
        <v>0.38400000000000001</v>
      </c>
      <c r="E37" s="213" t="s">
        <v>55</v>
      </c>
      <c r="F37" s="215">
        <v>5608.9891955291996</v>
      </c>
    </row>
    <row r="38" spans="1:6">
      <c r="A38" s="50" t="s">
        <v>56</v>
      </c>
      <c r="B38" s="50">
        <f t="shared" si="0"/>
        <v>64282.438666738999</v>
      </c>
      <c r="E38" s="213" t="s">
        <v>406</v>
      </c>
      <c r="F38" s="212">
        <v>2516.4982990121198</v>
      </c>
    </row>
    <row r="39" spans="1:6">
      <c r="A39" s="50" t="s">
        <v>283</v>
      </c>
      <c r="B39" s="50">
        <f t="shared" si="0"/>
        <v>69764.827467442301</v>
      </c>
      <c r="E39" s="213" t="s">
        <v>394</v>
      </c>
      <c r="F39" s="212">
        <v>11779.980801784301</v>
      </c>
    </row>
    <row r="40" spans="1:6">
      <c r="A40" s="50" t="s">
        <v>98</v>
      </c>
      <c r="B40" s="50">
        <f t="shared" si="0"/>
        <v>67837.788543585193</v>
      </c>
      <c r="E40" s="213" t="s">
        <v>96</v>
      </c>
      <c r="F40" s="212">
        <v>317058.50865176</v>
      </c>
    </row>
    <row r="41" spans="1:6">
      <c r="A41" s="50" t="s">
        <v>99</v>
      </c>
      <c r="B41" s="50">
        <f t="shared" si="0"/>
        <v>107352</v>
      </c>
      <c r="E41" s="213" t="s">
        <v>97</v>
      </c>
      <c r="F41" s="212">
        <v>17734062.6453714</v>
      </c>
    </row>
    <row r="42" spans="1:6">
      <c r="A42" s="50" t="s">
        <v>217</v>
      </c>
      <c r="B42" s="50">
        <v>3.1</v>
      </c>
      <c r="E42" s="213" t="s">
        <v>50</v>
      </c>
      <c r="F42" s="212">
        <v>314322.45322829497</v>
      </c>
    </row>
    <row r="43" spans="1:6">
      <c r="A43" s="50" t="s">
        <v>178</v>
      </c>
      <c r="B43" s="50">
        <f t="shared" si="0"/>
        <v>27719.3376700177</v>
      </c>
      <c r="E43" s="213" t="s">
        <v>418</v>
      </c>
      <c r="F43" s="212">
        <v>1327.9642493264898</v>
      </c>
    </row>
    <row r="44" spans="1:6">
      <c r="A44" s="50" t="s">
        <v>101</v>
      </c>
      <c r="B44" s="50">
        <f t="shared" si="0"/>
        <v>282340.84985661402</v>
      </c>
      <c r="E44" s="213" t="s">
        <v>535</v>
      </c>
      <c r="F44" s="212">
        <v>53958.573693051301</v>
      </c>
    </row>
    <row r="45" spans="1:6">
      <c r="A45" s="50" t="s">
        <v>102</v>
      </c>
      <c r="B45" s="50">
        <f t="shared" si="0"/>
        <v>397104.34347830102</v>
      </c>
      <c r="E45" s="213" t="s">
        <v>536</v>
      </c>
      <c r="F45" s="212">
        <v>12523.9616772966</v>
      </c>
    </row>
    <row r="46" spans="1:6">
      <c r="A46" s="50" t="s">
        <v>103</v>
      </c>
      <c r="B46" s="50">
        <f t="shared" si="0"/>
        <v>94243.453937446204</v>
      </c>
      <c r="E46" s="213" t="s">
        <v>56</v>
      </c>
      <c r="F46" s="212">
        <v>64282.438666738999</v>
      </c>
    </row>
    <row r="47" spans="1:6">
      <c r="A47" s="50" t="s">
        <v>104</v>
      </c>
      <c r="B47" s="50">
        <f t="shared" si="0"/>
        <v>106165.86599999999</v>
      </c>
      <c r="E47" s="214" t="s">
        <v>283</v>
      </c>
      <c r="F47" s="212">
        <v>69764.827467442301</v>
      </c>
    </row>
    <row r="48" spans="1:6">
      <c r="A48" s="50" t="s">
        <v>105</v>
      </c>
      <c r="B48" s="217">
        <f>F58</f>
        <v>404142.76609305298</v>
      </c>
      <c r="E48" s="213" t="s">
        <v>98</v>
      </c>
      <c r="F48" s="212">
        <v>67837.788543585193</v>
      </c>
    </row>
    <row r="49" spans="1:6">
      <c r="A49" s="50" t="s">
        <v>31</v>
      </c>
      <c r="B49" s="50">
        <f t="shared" si="0"/>
        <v>28736.94</v>
      </c>
      <c r="E49" s="213" t="s">
        <v>99</v>
      </c>
      <c r="F49" s="215">
        <v>107352</v>
      </c>
    </row>
    <row r="50" spans="1:6">
      <c r="A50" s="50" t="s">
        <v>106</v>
      </c>
      <c r="B50" s="50">
        <f t="shared" si="0"/>
        <v>36262.924353604103</v>
      </c>
      <c r="E50" s="213" t="s">
        <v>537</v>
      </c>
      <c r="F50" s="215">
        <v>2496.17473564702</v>
      </c>
    </row>
    <row r="51" spans="1:6">
      <c r="A51" s="50" t="s">
        <v>284</v>
      </c>
      <c r="B51" s="50">
        <f t="shared" si="0"/>
        <v>111271.112329975</v>
      </c>
      <c r="E51" s="213" t="s">
        <v>178</v>
      </c>
      <c r="F51" s="212">
        <v>27719.3376700177</v>
      </c>
    </row>
    <row r="52" spans="1:6">
      <c r="A52" s="50" t="s">
        <v>219</v>
      </c>
      <c r="B52" s="50">
        <f t="shared" si="0"/>
        <v>4592.1187095527894</v>
      </c>
      <c r="E52" s="213" t="s">
        <v>101</v>
      </c>
      <c r="F52" s="212">
        <v>282340.84985661402</v>
      </c>
    </row>
    <row r="53" spans="1:6">
      <c r="A53" s="50" t="s">
        <v>179</v>
      </c>
      <c r="B53" s="50">
        <f t="shared" si="0"/>
        <v>299155.23758914205</v>
      </c>
      <c r="E53" s="213" t="s">
        <v>102</v>
      </c>
      <c r="F53" s="212">
        <v>397104.34347830102</v>
      </c>
    </row>
    <row r="54" spans="1:6">
      <c r="A54" s="50" t="s">
        <v>180</v>
      </c>
      <c r="B54" s="50">
        <f t="shared" si="0"/>
        <v>2937472.7579534398</v>
      </c>
      <c r="E54" s="213" t="s">
        <v>405</v>
      </c>
      <c r="F54" s="212">
        <v>3371.1021235134303</v>
      </c>
    </row>
    <row r="55" spans="1:6">
      <c r="A55" s="50" t="s">
        <v>220</v>
      </c>
      <c r="B55" s="50">
        <f t="shared" si="0"/>
        <v>18269.350433799198</v>
      </c>
      <c r="E55" s="213" t="s">
        <v>419</v>
      </c>
      <c r="F55" s="212">
        <v>545.61851851851793</v>
      </c>
    </row>
    <row r="56" spans="1:6">
      <c r="A56" s="50" t="s">
        <v>133</v>
      </c>
      <c r="B56" s="50">
        <f t="shared" si="0"/>
        <v>18700.241392157503</v>
      </c>
      <c r="E56" s="213" t="s">
        <v>103</v>
      </c>
      <c r="F56" s="212">
        <v>94243.453937446204</v>
      </c>
    </row>
    <row r="57" spans="1:6">
      <c r="A57" s="50" t="s">
        <v>181</v>
      </c>
      <c r="B57" s="50">
        <f t="shared" si="0"/>
        <v>4223116.2059689201</v>
      </c>
      <c r="E57" s="213" t="s">
        <v>104</v>
      </c>
      <c r="F57" s="212">
        <v>106165.86599999999</v>
      </c>
    </row>
    <row r="58" spans="1:6">
      <c r="A58" s="50" t="s">
        <v>221</v>
      </c>
      <c r="B58" s="50">
        <f t="shared" si="0"/>
        <v>77594.279054879502</v>
      </c>
      <c r="E58" s="213" t="s">
        <v>538</v>
      </c>
      <c r="F58" s="212">
        <v>404142.76609305298</v>
      </c>
    </row>
    <row r="59" spans="1:6">
      <c r="A59" s="50" t="s">
        <v>182</v>
      </c>
      <c r="B59" s="50">
        <f t="shared" si="0"/>
        <v>216240.589485256</v>
      </c>
      <c r="E59" s="213" t="s">
        <v>31</v>
      </c>
      <c r="F59" s="212">
        <v>28736.94</v>
      </c>
    </row>
    <row r="60" spans="1:6">
      <c r="A60" s="50" t="s">
        <v>107</v>
      </c>
      <c r="B60" s="50">
        <f t="shared" si="0"/>
        <v>85986.321551238798</v>
      </c>
      <c r="E60" s="213" t="s">
        <v>393</v>
      </c>
      <c r="F60" s="212">
        <v>12269.392788740201</v>
      </c>
    </row>
    <row r="61" spans="1:6">
      <c r="A61" s="50" t="s">
        <v>289</v>
      </c>
      <c r="B61" s="50">
        <v>3180</v>
      </c>
      <c r="E61" s="213" t="s">
        <v>106</v>
      </c>
      <c r="F61" s="212">
        <v>36262.924353604103</v>
      </c>
    </row>
    <row r="62" spans="1:6">
      <c r="A62" s="50" t="s">
        <v>108</v>
      </c>
      <c r="B62" s="50">
        <f t="shared" si="0"/>
        <v>28488.6683016401</v>
      </c>
      <c r="E62" s="213" t="s">
        <v>467</v>
      </c>
      <c r="F62" s="212">
        <v>4941.3731820826097</v>
      </c>
    </row>
    <row r="63" spans="1:6">
      <c r="A63" s="50" t="s">
        <v>59</v>
      </c>
      <c r="B63" s="50">
        <v>346600</v>
      </c>
      <c r="E63" s="213" t="s">
        <v>284</v>
      </c>
      <c r="F63" s="212">
        <v>111271.112329975</v>
      </c>
    </row>
    <row r="64" spans="1:6">
      <c r="A64" s="50" t="s">
        <v>109</v>
      </c>
      <c r="B64" s="50">
        <f t="shared" si="0"/>
        <v>182280.51758121201</v>
      </c>
      <c r="E64" s="213" t="s">
        <v>401</v>
      </c>
      <c r="F64" s="215">
        <v>3240.75998899453</v>
      </c>
    </row>
    <row r="65" spans="1:6">
      <c r="A65" s="50" t="s">
        <v>110</v>
      </c>
      <c r="B65" s="50">
        <f t="shared" si="0"/>
        <v>25458.9339158742</v>
      </c>
      <c r="E65" s="213" t="s">
        <v>219</v>
      </c>
      <c r="F65" s="212">
        <v>4592.1187095527894</v>
      </c>
    </row>
    <row r="66" spans="1:6">
      <c r="A66" s="50" t="s">
        <v>111</v>
      </c>
      <c r="B66" s="50">
        <f t="shared" si="0"/>
        <v>3173397.5908169104</v>
      </c>
      <c r="E66" s="213" t="s">
        <v>179</v>
      </c>
      <c r="F66" s="212">
        <v>299155.23758914205</v>
      </c>
    </row>
    <row r="67" spans="1:6">
      <c r="A67" s="50" t="s">
        <v>112</v>
      </c>
      <c r="B67" s="50">
        <f t="shared" si="0"/>
        <v>1186092.9913200401</v>
      </c>
      <c r="E67" s="214" t="s">
        <v>180</v>
      </c>
      <c r="F67" s="212">
        <v>2937472.7579534398</v>
      </c>
    </row>
    <row r="68" spans="1:6">
      <c r="A68" s="50" t="s">
        <v>331</v>
      </c>
      <c r="B68" s="50">
        <f t="shared" ref="B68:B131" si="1">VLOOKUP(A68,$E$2:$F$214,2,FALSE)</f>
        <v>207889.33372413801</v>
      </c>
      <c r="E68" s="213" t="s">
        <v>553</v>
      </c>
      <c r="F68" s="215">
        <v>5669.3687172072405</v>
      </c>
    </row>
    <row r="69" spans="1:6">
      <c r="A69" s="50" t="s">
        <v>183</v>
      </c>
      <c r="B69" s="50">
        <f t="shared" si="1"/>
        <v>498559.57671472098</v>
      </c>
      <c r="E69" s="213" t="s">
        <v>220</v>
      </c>
      <c r="F69" s="212">
        <v>18269.350433799198</v>
      </c>
    </row>
    <row r="70" spans="1:6">
      <c r="A70" s="50" t="s">
        <v>113</v>
      </c>
      <c r="B70" s="50">
        <f t="shared" si="1"/>
        <v>7315.3880520806706</v>
      </c>
      <c r="E70" s="213" t="s">
        <v>413</v>
      </c>
      <c r="F70" s="212">
        <v>2078.07068354686</v>
      </c>
    </row>
    <row r="71" spans="1:6">
      <c r="A71" s="50" t="s">
        <v>114</v>
      </c>
      <c r="B71" s="50">
        <f t="shared" si="1"/>
        <v>481591.26613340899</v>
      </c>
      <c r="E71" s="213" t="s">
        <v>133</v>
      </c>
      <c r="F71" s="212">
        <v>18700.241392157503</v>
      </c>
    </row>
    <row r="72" spans="1:6">
      <c r="A72" s="50" t="s">
        <v>145</v>
      </c>
      <c r="B72" s="50">
        <f t="shared" si="1"/>
        <v>2099880.1982588801</v>
      </c>
      <c r="E72" s="213" t="s">
        <v>181</v>
      </c>
      <c r="F72" s="212">
        <v>4223116.2059689201</v>
      </c>
    </row>
    <row r="73" spans="1:6">
      <c r="A73" s="50" t="s">
        <v>115</v>
      </c>
      <c r="B73" s="50">
        <f t="shared" si="1"/>
        <v>13638.230995679001</v>
      </c>
      <c r="E73" s="213" t="s">
        <v>221</v>
      </c>
      <c r="F73" s="212">
        <v>77594.279054879502</v>
      </c>
    </row>
    <row r="74" spans="1:6">
      <c r="A74" s="50" t="s">
        <v>116</v>
      </c>
      <c r="B74" s="50">
        <f t="shared" si="1"/>
        <v>4937421.8804615494</v>
      </c>
      <c r="E74" s="213" t="s">
        <v>182</v>
      </c>
      <c r="F74" s="212">
        <v>216240.589485256</v>
      </c>
    </row>
    <row r="75" spans="1:6">
      <c r="A75" s="50" t="s">
        <v>290</v>
      </c>
      <c r="B75" s="50">
        <v>4890</v>
      </c>
      <c r="E75" s="213" t="s">
        <v>402</v>
      </c>
      <c r="F75" s="215">
        <v>3075.9683286967702</v>
      </c>
    </row>
    <row r="76" spans="1:6">
      <c r="A76" s="50" t="s">
        <v>117</v>
      </c>
      <c r="B76" s="50">
        <f t="shared" si="1"/>
        <v>45243.661971831003</v>
      </c>
      <c r="E76" s="213" t="s">
        <v>412</v>
      </c>
      <c r="F76" s="212">
        <v>1122.0831851851899</v>
      </c>
    </row>
    <row r="77" spans="1:6">
      <c r="A77" s="50" t="s">
        <v>118</v>
      </c>
      <c r="B77" s="50">
        <f t="shared" si="1"/>
        <v>190814.27422621101</v>
      </c>
      <c r="E77" s="213" t="s">
        <v>447</v>
      </c>
      <c r="F77" s="215">
        <v>5844</v>
      </c>
    </row>
    <row r="78" spans="1:6">
      <c r="A78" s="50" t="s">
        <v>184</v>
      </c>
      <c r="B78" s="50">
        <f t="shared" si="1"/>
        <v>110347.079517356</v>
      </c>
      <c r="E78" s="213" t="s">
        <v>107</v>
      </c>
      <c r="F78" s="212">
        <v>85986.321551238798</v>
      </c>
    </row>
    <row r="79" spans="1:6">
      <c r="A79" s="50" t="s">
        <v>119</v>
      </c>
      <c r="B79" s="50">
        <v>1630.53</v>
      </c>
      <c r="E79" s="213" t="s">
        <v>317</v>
      </c>
      <c r="F79" s="212">
        <v>15850.5203839941</v>
      </c>
    </row>
    <row r="80" spans="1:6">
      <c r="A80" s="50" t="s">
        <v>120</v>
      </c>
      <c r="B80" s="50">
        <f t="shared" si="1"/>
        <v>105960.225688145</v>
      </c>
      <c r="E80" s="213" t="s">
        <v>333</v>
      </c>
      <c r="F80" s="212">
        <v>1638.51753316504</v>
      </c>
    </row>
    <row r="81" spans="1:6">
      <c r="A81" t="s">
        <v>353</v>
      </c>
      <c r="B81" s="50">
        <v>8543.4235026133993</v>
      </c>
      <c r="E81" s="213" t="s">
        <v>330</v>
      </c>
      <c r="F81" s="212">
        <v>7409.1799208633101</v>
      </c>
    </row>
    <row r="82" spans="1:6">
      <c r="A82" s="89" t="s">
        <v>343</v>
      </c>
      <c r="B82" s="50">
        <v>18827.1485300151</v>
      </c>
      <c r="E82" s="213" t="s">
        <v>326</v>
      </c>
      <c r="F82" s="212">
        <v>20944.392615080298</v>
      </c>
    </row>
    <row r="83" spans="1:6">
      <c r="A83" s="50" t="s">
        <v>121</v>
      </c>
      <c r="B83" s="50">
        <f t="shared" si="1"/>
        <v>38872.546228565297</v>
      </c>
      <c r="E83" s="213" t="s">
        <v>108</v>
      </c>
      <c r="F83" s="212">
        <v>28488.6683016401</v>
      </c>
    </row>
    <row r="84" spans="1:6">
      <c r="A84" s="50" t="s">
        <v>122</v>
      </c>
      <c r="B84" s="50">
        <f t="shared" si="1"/>
        <v>18076.6248401841</v>
      </c>
      <c r="E84" s="213" t="s">
        <v>506</v>
      </c>
      <c r="F84" s="212">
        <v>368139.24767148698</v>
      </c>
    </row>
    <row r="85" spans="1:6">
      <c r="A85" s="50" t="s">
        <v>223</v>
      </c>
      <c r="B85" s="50">
        <f t="shared" si="1"/>
        <v>6427.24894344939</v>
      </c>
      <c r="E85" s="213" t="s">
        <v>109</v>
      </c>
      <c r="F85" s="212">
        <v>182280.51758121201</v>
      </c>
    </row>
    <row r="86" spans="1:6">
      <c r="A86" s="50" t="s">
        <v>13</v>
      </c>
      <c r="B86" s="50">
        <f t="shared" si="1"/>
        <v>65503.849704599699</v>
      </c>
      <c r="E86" s="213" t="s">
        <v>110</v>
      </c>
      <c r="F86" s="212">
        <v>25458.9339158742</v>
      </c>
    </row>
    <row r="87" spans="1:6">
      <c r="A87" s="50" t="s">
        <v>185</v>
      </c>
      <c r="B87" s="50">
        <f t="shared" si="1"/>
        <v>86710.803337099394</v>
      </c>
      <c r="E87" s="213" t="s">
        <v>111</v>
      </c>
      <c r="F87" s="212">
        <v>3173397.5908169104</v>
      </c>
    </row>
    <row r="88" spans="1:6">
      <c r="A88" s="50" t="s">
        <v>32</v>
      </c>
      <c r="B88" s="50">
        <v>29905.190181750098</v>
      </c>
      <c r="E88" s="213" t="s">
        <v>112</v>
      </c>
      <c r="F88" s="212">
        <v>1186092.9913200401</v>
      </c>
    </row>
    <row r="89" spans="1:6">
      <c r="A89" s="50" t="s">
        <v>146</v>
      </c>
      <c r="B89" s="50">
        <v>13879.2691515718</v>
      </c>
      <c r="E89" s="213" t="s">
        <v>385</v>
      </c>
      <c r="F89" s="215">
        <v>231547.571240469</v>
      </c>
    </row>
    <row r="90" spans="1:6">
      <c r="A90" s="50" t="s">
        <v>14</v>
      </c>
      <c r="B90" s="50">
        <f t="shared" si="1"/>
        <v>372701.35882026399</v>
      </c>
      <c r="E90" s="213" t="s">
        <v>331</v>
      </c>
      <c r="F90" s="212">
        <v>207889.33372413801</v>
      </c>
    </row>
    <row r="91" spans="1:6">
      <c r="A91" s="128" t="s">
        <v>399</v>
      </c>
      <c r="B91" s="50">
        <f t="shared" si="1"/>
        <v>4889.6669316385496</v>
      </c>
      <c r="E91" s="213" t="s">
        <v>183</v>
      </c>
      <c r="F91" s="212">
        <v>498559.57671472098</v>
      </c>
    </row>
    <row r="92" spans="1:6">
      <c r="A92" s="50" t="s">
        <v>325</v>
      </c>
      <c r="B92" s="50">
        <f t="shared" si="1"/>
        <v>19143.741503148201</v>
      </c>
      <c r="E92" s="213" t="s">
        <v>113</v>
      </c>
      <c r="F92" s="215">
        <v>7315.3880520806706</v>
      </c>
    </row>
    <row r="93" spans="1:6">
      <c r="A93" s="50" t="s">
        <v>186</v>
      </c>
      <c r="B93" s="50">
        <f t="shared" si="1"/>
        <v>17189.730469555401</v>
      </c>
      <c r="E93" s="213" t="s">
        <v>114</v>
      </c>
      <c r="F93" s="212">
        <v>481591.26613340899</v>
      </c>
    </row>
    <row r="94" spans="1:6">
      <c r="A94" s="50" t="s">
        <v>15</v>
      </c>
      <c r="B94" s="50">
        <f t="shared" si="1"/>
        <v>11156.6577696974</v>
      </c>
      <c r="E94" s="213" t="s">
        <v>145</v>
      </c>
      <c r="F94" s="212">
        <v>2099880.1982588801</v>
      </c>
    </row>
    <row r="95" spans="1:6">
      <c r="A95" s="50" t="s">
        <v>16</v>
      </c>
      <c r="B95" s="50">
        <f t="shared" si="1"/>
        <v>1293037.8663601698</v>
      </c>
      <c r="E95" s="213" t="s">
        <v>115</v>
      </c>
      <c r="F95" s="212">
        <v>13638.230995679001</v>
      </c>
    </row>
    <row r="96" spans="1:6">
      <c r="A96" s="50" t="s">
        <v>17</v>
      </c>
      <c r="B96" s="50">
        <f t="shared" si="1"/>
        <v>13679.2213332052</v>
      </c>
      <c r="E96" s="213" t="s">
        <v>116</v>
      </c>
      <c r="F96" s="212">
        <v>4937421.8804615494</v>
      </c>
    </row>
    <row r="97" spans="1:6">
      <c r="A97" s="50" t="s">
        <v>63</v>
      </c>
      <c r="B97" s="50">
        <f t="shared" si="1"/>
        <v>15098.022828610599</v>
      </c>
      <c r="E97" s="213" t="s">
        <v>117</v>
      </c>
      <c r="F97" s="212">
        <v>45243.661971831003</v>
      </c>
    </row>
    <row r="98" spans="1:6">
      <c r="A98" s="50" t="s">
        <v>8</v>
      </c>
      <c r="B98" s="50">
        <f t="shared" si="1"/>
        <v>5809.1709617828501</v>
      </c>
      <c r="E98" s="213" t="s">
        <v>118</v>
      </c>
      <c r="F98" s="212">
        <v>190814.27422621101</v>
      </c>
    </row>
    <row r="99" spans="1:6">
      <c r="A99" s="50" t="s">
        <v>225</v>
      </c>
      <c r="B99" s="50">
        <v>25000</v>
      </c>
      <c r="E99" s="213" t="s">
        <v>184</v>
      </c>
      <c r="F99" s="212">
        <v>110347.079517356</v>
      </c>
    </row>
    <row r="100" spans="1:6">
      <c r="A100" s="50" t="s">
        <v>18</v>
      </c>
      <c r="B100" s="50">
        <f t="shared" si="1"/>
        <v>132725.261467431</v>
      </c>
      <c r="E100" s="213" t="s">
        <v>424</v>
      </c>
      <c r="F100" s="215">
        <v>180.911843644622</v>
      </c>
    </row>
    <row r="101" spans="1:6">
      <c r="A101" s="50" t="s">
        <v>226</v>
      </c>
      <c r="B101" s="50">
        <f t="shared" si="1"/>
        <v>16095.828896634199</v>
      </c>
      <c r="E101" s="213" t="s">
        <v>539</v>
      </c>
      <c r="F101" s="212">
        <v>1798533.91509114</v>
      </c>
    </row>
    <row r="102" spans="1:6">
      <c r="A102" s="50" t="s">
        <v>136</v>
      </c>
      <c r="B102" s="50">
        <f t="shared" si="1"/>
        <v>12236.250784133601</v>
      </c>
      <c r="E102" s="213" t="s">
        <v>396</v>
      </c>
      <c r="F102" s="212">
        <v>9007.1591957421606</v>
      </c>
    </row>
    <row r="103" spans="1:6">
      <c r="A103" s="50" t="s">
        <v>187</v>
      </c>
      <c r="B103" s="50">
        <f t="shared" si="1"/>
        <v>1018007.0569496</v>
      </c>
      <c r="E103" s="213" t="s">
        <v>120</v>
      </c>
      <c r="F103" s="215">
        <v>105960.225688145</v>
      </c>
    </row>
    <row r="104" spans="1:6">
      <c r="A104" s="50" t="s">
        <v>21</v>
      </c>
      <c r="B104" s="50">
        <f t="shared" si="1"/>
        <v>249991.512236526</v>
      </c>
      <c r="E104" s="213" t="s">
        <v>354</v>
      </c>
      <c r="F104" s="212">
        <v>8543.4235026133993</v>
      </c>
    </row>
    <row r="105" spans="1:6">
      <c r="A105" s="50" t="s">
        <v>22</v>
      </c>
      <c r="B105" s="50">
        <f t="shared" si="1"/>
        <v>14013.022092064501</v>
      </c>
      <c r="E105" s="213" t="s">
        <v>540</v>
      </c>
      <c r="F105" s="212">
        <v>18827.1485300151</v>
      </c>
    </row>
    <row r="106" spans="1:6">
      <c r="A106" s="50" t="s">
        <v>321</v>
      </c>
      <c r="B106" s="50">
        <f t="shared" si="1"/>
        <v>14950.9498752729</v>
      </c>
      <c r="E106" s="213" t="s">
        <v>121</v>
      </c>
      <c r="F106" s="212">
        <v>38872.546228565297</v>
      </c>
    </row>
    <row r="107" spans="1:6">
      <c r="A107" s="50" t="s">
        <v>188</v>
      </c>
      <c r="B107" s="50">
        <f t="shared" si="1"/>
        <v>440776.97153601499</v>
      </c>
      <c r="E107" s="213" t="s">
        <v>122</v>
      </c>
      <c r="F107" s="212">
        <v>18076.6248401841</v>
      </c>
    </row>
    <row r="108" spans="1:6">
      <c r="A108" s="50" t="s">
        <v>23</v>
      </c>
      <c r="B108" s="50">
        <f t="shared" si="1"/>
        <v>482437.01979045395</v>
      </c>
      <c r="E108" s="213" t="s">
        <v>403</v>
      </c>
      <c r="F108" s="212">
        <v>2518.4688910391301</v>
      </c>
    </row>
    <row r="109" spans="1:6">
      <c r="A109" s="50" t="s">
        <v>24</v>
      </c>
      <c r="B109" s="50">
        <f t="shared" si="1"/>
        <v>85868.626527958404</v>
      </c>
      <c r="E109" s="213" t="s">
        <v>318</v>
      </c>
      <c r="F109" s="212">
        <v>3486.7413700000002</v>
      </c>
    </row>
    <row r="110" spans="1:6">
      <c r="A110" s="50" t="s">
        <v>25</v>
      </c>
      <c r="B110" s="50">
        <f t="shared" si="1"/>
        <v>346343.17048607202</v>
      </c>
      <c r="E110" s="213" t="s">
        <v>322</v>
      </c>
      <c r="F110" s="212">
        <v>41879.579677174697</v>
      </c>
    </row>
    <row r="111" spans="1:6">
      <c r="A111" s="50" t="s">
        <v>26</v>
      </c>
      <c r="B111" s="50">
        <f t="shared" si="1"/>
        <v>63605.065799999997</v>
      </c>
      <c r="E111" s="213" t="s">
        <v>223</v>
      </c>
      <c r="F111" s="215">
        <v>6427.24894344939</v>
      </c>
    </row>
    <row r="112" spans="1:6">
      <c r="A112" s="50" t="s">
        <v>9</v>
      </c>
      <c r="B112" s="50">
        <f t="shared" si="1"/>
        <v>26594.277245782003</v>
      </c>
      <c r="E112" s="213" t="s">
        <v>13</v>
      </c>
      <c r="F112" s="212">
        <v>65503.849704599699</v>
      </c>
    </row>
    <row r="113" spans="1:6">
      <c r="A113" s="50" t="s">
        <v>27</v>
      </c>
      <c r="B113" s="50">
        <f t="shared" si="1"/>
        <v>38986.810989001096</v>
      </c>
      <c r="E113" s="213" t="s">
        <v>185</v>
      </c>
      <c r="F113" s="212">
        <v>86710.803337099394</v>
      </c>
    </row>
    <row r="114" spans="1:6">
      <c r="A114" s="50" t="s">
        <v>28</v>
      </c>
      <c r="B114" s="50">
        <f t="shared" si="1"/>
        <v>223249.49750038699</v>
      </c>
      <c r="E114" s="213" t="s">
        <v>507</v>
      </c>
      <c r="F114" s="212">
        <v>29905.190181750098</v>
      </c>
    </row>
    <row r="115" spans="1:6">
      <c r="A115" s="50" t="s">
        <v>29</v>
      </c>
      <c r="B115" s="50">
        <f t="shared" si="1"/>
        <v>394086.41934305604</v>
      </c>
      <c r="E115" s="213" t="s">
        <v>336</v>
      </c>
      <c r="F115" s="212">
        <v>14637.400395688999</v>
      </c>
    </row>
    <row r="116" spans="1:6">
      <c r="A116" s="50" t="s">
        <v>30</v>
      </c>
      <c r="B116" s="50">
        <f t="shared" si="1"/>
        <v>674048.26639736898</v>
      </c>
      <c r="E116" s="213" t="s">
        <v>327</v>
      </c>
      <c r="F116" s="212">
        <v>12626.718073743901</v>
      </c>
    </row>
    <row r="117" spans="1:6">
      <c r="A117" s="50" t="s">
        <v>189</v>
      </c>
      <c r="B117" s="50">
        <f t="shared" si="1"/>
        <v>249886.46435475201</v>
      </c>
      <c r="E117" s="213" t="s">
        <v>14</v>
      </c>
      <c r="F117" s="212">
        <v>372701.35882026399</v>
      </c>
    </row>
    <row r="118" spans="1:6">
      <c r="A118" s="50" t="s">
        <v>74</v>
      </c>
      <c r="B118" s="50">
        <f t="shared" si="1"/>
        <v>179570.78355054901</v>
      </c>
      <c r="E118" s="213" t="s">
        <v>399</v>
      </c>
      <c r="F118" s="212">
        <v>4889.6669316385496</v>
      </c>
    </row>
    <row r="119" spans="1:6">
      <c r="A119" s="50" t="s">
        <v>291</v>
      </c>
      <c r="B119" s="50">
        <v>35200</v>
      </c>
      <c r="E119" s="213" t="s">
        <v>325</v>
      </c>
      <c r="F119" s="212">
        <v>19143.741503148201</v>
      </c>
    </row>
    <row r="120" spans="1:6">
      <c r="A120" s="50" t="s">
        <v>0</v>
      </c>
      <c r="B120" s="50">
        <f t="shared" si="1"/>
        <v>284087.56369579799</v>
      </c>
      <c r="E120" s="213" t="s">
        <v>186</v>
      </c>
      <c r="F120" s="212">
        <v>17189.730469555401</v>
      </c>
    </row>
    <row r="121" spans="1:6">
      <c r="A121" s="50" t="s">
        <v>1</v>
      </c>
      <c r="B121" s="50">
        <v>1775799.9193529801</v>
      </c>
      <c r="E121" s="213" t="s">
        <v>423</v>
      </c>
      <c r="F121" s="212">
        <v>248.66560000000001</v>
      </c>
    </row>
    <row r="122" spans="1:6">
      <c r="A122" s="50" t="s">
        <v>227</v>
      </c>
      <c r="B122" s="50">
        <f t="shared" si="1"/>
        <v>11070.3565194804</v>
      </c>
      <c r="E122" s="213" t="s">
        <v>397</v>
      </c>
      <c r="F122" s="212">
        <v>8227.58074049889</v>
      </c>
    </row>
    <row r="123" spans="1:6">
      <c r="A123" s="50" t="s">
        <v>2</v>
      </c>
      <c r="B123" s="50">
        <f t="shared" si="1"/>
        <v>833541.23656931496</v>
      </c>
      <c r="E123" s="213" t="s">
        <v>15</v>
      </c>
      <c r="F123" s="212">
        <v>11156.6577696974</v>
      </c>
    </row>
    <row r="124" spans="1:6">
      <c r="A124" s="50" t="s">
        <v>135</v>
      </c>
      <c r="B124" s="50">
        <f t="shared" si="1"/>
        <v>27625.3883521688</v>
      </c>
      <c r="E124" s="213" t="s">
        <v>16</v>
      </c>
      <c r="F124" s="212">
        <v>1293037.8663601698</v>
      </c>
    </row>
    <row r="125" spans="1:6">
      <c r="A125" s="50" t="s">
        <v>147</v>
      </c>
      <c r="B125" s="50">
        <f t="shared" si="1"/>
        <v>63068.134601125399</v>
      </c>
      <c r="E125" s="213" t="s">
        <v>421</v>
      </c>
      <c r="F125" s="212">
        <v>404.17804975397803</v>
      </c>
    </row>
    <row r="126" spans="1:6">
      <c r="A126" s="50" t="s">
        <v>285</v>
      </c>
      <c r="B126" s="50">
        <v>24800</v>
      </c>
      <c r="E126" s="213" t="s">
        <v>17</v>
      </c>
      <c r="F126" s="212">
        <v>13679.2213332052</v>
      </c>
    </row>
    <row r="127" spans="1:6">
      <c r="A127" s="50" t="s">
        <v>3</v>
      </c>
      <c r="B127" s="50">
        <f t="shared" si="1"/>
        <v>396986.89988835104</v>
      </c>
      <c r="E127" s="213" t="s">
        <v>448</v>
      </c>
      <c r="F127" s="215">
        <v>6816.2193032552796</v>
      </c>
    </row>
    <row r="128" spans="1:6">
      <c r="A128" s="50" t="s">
        <v>61</v>
      </c>
      <c r="B128" s="50">
        <v>114870.706410165</v>
      </c>
      <c r="E128" s="213" t="s">
        <v>63</v>
      </c>
      <c r="F128" s="212">
        <v>15098.022828610599</v>
      </c>
    </row>
    <row r="129" spans="1:6">
      <c r="A129" s="157" t="s">
        <v>190</v>
      </c>
      <c r="B129" s="50">
        <f t="shared" si="1"/>
        <v>61526.331889499001</v>
      </c>
      <c r="E129" s="213" t="s">
        <v>8</v>
      </c>
      <c r="F129" s="212">
        <v>5809.1709617828501</v>
      </c>
    </row>
    <row r="130" spans="1:6">
      <c r="A130" s="128" t="s">
        <v>411</v>
      </c>
      <c r="B130" s="50">
        <f t="shared" si="1"/>
        <v>1645.21388162016</v>
      </c>
      <c r="E130" s="213" t="s">
        <v>18</v>
      </c>
      <c r="F130" s="212">
        <v>132725.261467431</v>
      </c>
    </row>
    <row r="131" spans="1:6">
      <c r="A131" s="50" t="s">
        <v>76</v>
      </c>
      <c r="B131" s="50">
        <f t="shared" si="1"/>
        <v>419946.42812600802</v>
      </c>
      <c r="E131" s="213" t="s">
        <v>226</v>
      </c>
      <c r="F131" s="212">
        <v>16095.828896634199</v>
      </c>
    </row>
    <row r="132" spans="1:6">
      <c r="A132" s="50" t="s">
        <v>138</v>
      </c>
      <c r="B132" s="50">
        <f t="shared" ref="B132:B158" si="2">VLOOKUP(A132,$E$2:$F$214,2,FALSE)</f>
        <v>1425276.5862829199</v>
      </c>
      <c r="E132" s="213" t="s">
        <v>335</v>
      </c>
      <c r="F132" s="212">
        <v>65067.808984679199</v>
      </c>
    </row>
    <row r="133" spans="1:6">
      <c r="A133" s="50" t="s">
        <v>134</v>
      </c>
      <c r="B133" s="50">
        <f t="shared" si="2"/>
        <v>84518.83039261571</v>
      </c>
      <c r="E133" s="213" t="s">
        <v>136</v>
      </c>
      <c r="F133" s="212">
        <v>12236.250784133601</v>
      </c>
    </row>
    <row r="134" spans="1:6">
      <c r="A134" s="50" t="s">
        <v>191</v>
      </c>
      <c r="B134" s="50">
        <v>11900</v>
      </c>
      <c r="E134" s="213" t="s">
        <v>541</v>
      </c>
      <c r="F134" s="212">
        <v>133.21889693260698</v>
      </c>
    </row>
    <row r="135" spans="1:6">
      <c r="A135" s="50" t="s">
        <v>10</v>
      </c>
      <c r="B135" s="50">
        <v>8100</v>
      </c>
      <c r="E135" s="213" t="s">
        <v>389</v>
      </c>
      <c r="F135" s="212">
        <v>36288.830373410601</v>
      </c>
    </row>
    <row r="136" spans="1:6">
      <c r="A136" s="50" t="s">
        <v>33</v>
      </c>
      <c r="B136" s="50">
        <f t="shared" si="2"/>
        <v>2862.1319796954299</v>
      </c>
      <c r="E136" s="213" t="s">
        <v>187</v>
      </c>
      <c r="F136" s="212">
        <v>1018007.0569496</v>
      </c>
    </row>
    <row r="137" spans="1:6">
      <c r="A137" s="50" t="s">
        <v>398</v>
      </c>
      <c r="B137" s="50">
        <v>4941.3731820826097</v>
      </c>
      <c r="E137" s="213" t="s">
        <v>552</v>
      </c>
      <c r="F137" s="215">
        <v>9435.5299272471002</v>
      </c>
    </row>
    <row r="138" spans="1:6">
      <c r="A138" s="50" t="s">
        <v>34</v>
      </c>
      <c r="B138" s="50">
        <f t="shared" si="2"/>
        <v>627437.89888729004</v>
      </c>
      <c r="E138" s="213" t="s">
        <v>21</v>
      </c>
      <c r="F138" s="212">
        <v>249991.512236526</v>
      </c>
    </row>
    <row r="139" spans="1:6">
      <c r="A139" s="50" t="s">
        <v>35</v>
      </c>
      <c r="B139" s="50">
        <f t="shared" si="2"/>
        <v>812866.92886747001</v>
      </c>
      <c r="E139" s="213" t="s">
        <v>22</v>
      </c>
      <c r="F139" s="212">
        <v>14013.022092064501</v>
      </c>
    </row>
    <row r="140" spans="1:6">
      <c r="A140" s="50" t="s">
        <v>64</v>
      </c>
      <c r="B140" s="50">
        <v>689000</v>
      </c>
      <c r="E140" s="213" t="s">
        <v>321</v>
      </c>
      <c r="F140" s="212">
        <v>14950.9498752729</v>
      </c>
    </row>
    <row r="141" spans="1:6">
      <c r="A141" s="50" t="s">
        <v>395</v>
      </c>
      <c r="B141" s="50">
        <f t="shared" si="2"/>
        <v>8746.2706364014211</v>
      </c>
      <c r="E141" s="213" t="s">
        <v>188</v>
      </c>
      <c r="F141" s="212">
        <v>440776.97153601499</v>
      </c>
    </row>
    <row r="142" spans="1:6">
      <c r="A142" s="128" t="s">
        <v>332</v>
      </c>
      <c r="B142" s="50">
        <f t="shared" si="2"/>
        <v>67775.101794347807</v>
      </c>
      <c r="E142" s="213" t="s">
        <v>477</v>
      </c>
      <c r="F142" s="212">
        <v>13879.2691515718</v>
      </c>
    </row>
    <row r="143" spans="1:6">
      <c r="A143" s="50" t="s">
        <v>65</v>
      </c>
      <c r="B143" s="50">
        <f t="shared" si="2"/>
        <v>505981.655622305</v>
      </c>
      <c r="E143" s="213" t="s">
        <v>449</v>
      </c>
      <c r="F143" s="215">
        <v>1182</v>
      </c>
    </row>
    <row r="144" spans="1:6">
      <c r="A144" s="50" t="s">
        <v>324</v>
      </c>
      <c r="B144" s="50">
        <f t="shared" si="2"/>
        <v>8413.2005676151002</v>
      </c>
      <c r="E144" s="213" t="s">
        <v>23</v>
      </c>
      <c r="F144" s="212">
        <v>482437.01979045395</v>
      </c>
    </row>
    <row r="145" spans="1:6">
      <c r="A145" s="50" t="s">
        <v>11</v>
      </c>
      <c r="B145" s="50">
        <f t="shared" si="2"/>
        <v>21391.802311011797</v>
      </c>
      <c r="E145" s="213" t="s">
        <v>24</v>
      </c>
      <c r="F145" s="212">
        <v>85868.626527958404</v>
      </c>
    </row>
    <row r="146" spans="1:6">
      <c r="A146" s="50" t="s">
        <v>77</v>
      </c>
      <c r="B146" s="50">
        <f t="shared" si="2"/>
        <v>46840.042941492204</v>
      </c>
      <c r="E146" s="213" t="s">
        <v>25</v>
      </c>
      <c r="F146" s="212">
        <v>346343.17048607202</v>
      </c>
    </row>
    <row r="147" spans="1:6">
      <c r="A147" s="50" t="s">
        <v>66</v>
      </c>
      <c r="B147" s="50">
        <v>815271.75172442303</v>
      </c>
      <c r="E147" s="213" t="s">
        <v>422</v>
      </c>
      <c r="F147" s="215">
        <v>257.7</v>
      </c>
    </row>
    <row r="148" spans="1:6">
      <c r="A148" s="50" t="s">
        <v>292</v>
      </c>
      <c r="B148" s="50">
        <f t="shared" si="2"/>
        <v>943.269768</v>
      </c>
      <c r="E148" s="213" t="s">
        <v>26</v>
      </c>
      <c r="F148" s="212">
        <v>63605.065799999997</v>
      </c>
    </row>
    <row r="149" spans="1:6">
      <c r="A149" s="50" t="s">
        <v>228</v>
      </c>
      <c r="B149" s="50">
        <f t="shared" si="2"/>
        <v>40434.701516952795</v>
      </c>
      <c r="E149" s="213" t="s">
        <v>9</v>
      </c>
      <c r="F149" s="212">
        <v>26594.277245782003</v>
      </c>
    </row>
    <row r="150" spans="1:6">
      <c r="A150" s="50" t="s">
        <v>68</v>
      </c>
      <c r="B150" s="50">
        <f t="shared" si="2"/>
        <v>200085.53774435399</v>
      </c>
      <c r="E150" s="213" t="s">
        <v>27</v>
      </c>
      <c r="F150" s="212">
        <v>38986.810989001096</v>
      </c>
    </row>
    <row r="151" spans="1:6">
      <c r="A151" s="50" t="s">
        <v>60</v>
      </c>
      <c r="B151" s="50">
        <f t="shared" si="2"/>
        <v>358868.76517492399</v>
      </c>
      <c r="E151" s="213" t="s">
        <v>28</v>
      </c>
      <c r="F151" s="212">
        <v>223249.49750038699</v>
      </c>
    </row>
    <row r="152" spans="1:6">
      <c r="A152" s="50" t="s">
        <v>57</v>
      </c>
      <c r="B152" s="50">
        <f t="shared" si="2"/>
        <v>3186859.7391850199</v>
      </c>
      <c r="E152" s="213" t="s">
        <v>29</v>
      </c>
      <c r="F152" s="212">
        <v>394086.41934305604</v>
      </c>
    </row>
    <row r="153" spans="1:6">
      <c r="A153" s="50" t="s">
        <v>12</v>
      </c>
      <c r="B153" s="50">
        <v>22996100</v>
      </c>
      <c r="E153" s="213" t="s">
        <v>30</v>
      </c>
      <c r="F153" s="212">
        <v>674048.26639736898</v>
      </c>
    </row>
    <row r="154" spans="1:6">
      <c r="A154" s="50" t="s">
        <v>69</v>
      </c>
      <c r="B154" s="50">
        <f t="shared" si="2"/>
        <v>59319.547636087598</v>
      </c>
      <c r="E154" s="213" t="s">
        <v>189</v>
      </c>
      <c r="F154" s="212">
        <v>249886.46435475201</v>
      </c>
    </row>
    <row r="155" spans="1:6">
      <c r="A155" s="142" t="s">
        <v>387</v>
      </c>
      <c r="B155" s="50">
        <f t="shared" si="2"/>
        <v>69238.903106173791</v>
      </c>
      <c r="E155" s="213" t="s">
        <v>386</v>
      </c>
      <c r="F155" s="215">
        <v>103138.3</v>
      </c>
    </row>
    <row r="156" spans="1:6">
      <c r="A156" s="50" t="s">
        <v>70</v>
      </c>
      <c r="B156" s="50">
        <v>98400</v>
      </c>
      <c r="E156" s="213" t="s">
        <v>74</v>
      </c>
      <c r="F156" s="212">
        <v>179570.78355054901</v>
      </c>
    </row>
    <row r="157" spans="1:6">
      <c r="A157" s="50" t="s">
        <v>71</v>
      </c>
      <c r="B157" s="50">
        <f t="shared" si="2"/>
        <v>362637.52407096897</v>
      </c>
      <c r="E157" s="213" t="s">
        <v>0</v>
      </c>
      <c r="F157" s="212">
        <v>284087.56369579799</v>
      </c>
    </row>
    <row r="158" spans="1:6">
      <c r="A158" s="50" t="s">
        <v>192</v>
      </c>
      <c r="B158" s="50">
        <f t="shared" si="2"/>
        <v>21203.0590803507</v>
      </c>
      <c r="E158" s="213" t="s">
        <v>542</v>
      </c>
      <c r="F158" s="212">
        <v>1775799.9193529801</v>
      </c>
    </row>
    <row r="159" spans="1:6">
      <c r="E159" s="213" t="s">
        <v>227</v>
      </c>
      <c r="F159" s="212">
        <v>11070.3565194804</v>
      </c>
    </row>
    <row r="160" spans="1:6">
      <c r="E160" s="213" t="s">
        <v>415</v>
      </c>
      <c r="F160" s="212">
        <v>788.38997160306496</v>
      </c>
    </row>
    <row r="161" spans="1:6">
      <c r="A161" s="241" t="s">
        <v>337</v>
      </c>
      <c r="B161" s="50">
        <f t="shared" ref="B161:B180" si="3">VLOOKUP(A161,$E$2:$F$214,2,FALSE)</f>
        <v>167983.14173831101</v>
      </c>
      <c r="E161" s="213" t="s">
        <v>450</v>
      </c>
      <c r="F161" s="215">
        <v>1544.7137846767098</v>
      </c>
    </row>
    <row r="162" spans="1:6">
      <c r="A162" s="242" t="s">
        <v>338</v>
      </c>
      <c r="B162" s="243">
        <v>14007</v>
      </c>
      <c r="E162" s="214" t="s">
        <v>543</v>
      </c>
      <c r="F162" s="212">
        <v>547.09291503633403</v>
      </c>
    </row>
    <row r="163" spans="1:6">
      <c r="A163" s="241" t="s">
        <v>334</v>
      </c>
      <c r="B163" s="243">
        <v>2078</v>
      </c>
      <c r="E163" s="213" t="s">
        <v>2</v>
      </c>
      <c r="F163" s="212">
        <v>833541.23656931496</v>
      </c>
    </row>
    <row r="164" spans="1:6">
      <c r="A164" s="242" t="s">
        <v>317</v>
      </c>
      <c r="B164" s="50">
        <f t="shared" si="3"/>
        <v>15850.5203839941</v>
      </c>
      <c r="E164" s="213" t="s">
        <v>135</v>
      </c>
      <c r="F164" s="212">
        <v>27625.3883521688</v>
      </c>
    </row>
    <row r="165" spans="1:6">
      <c r="A165" s="241" t="s">
        <v>333</v>
      </c>
      <c r="B165" s="50">
        <f t="shared" si="3"/>
        <v>1638.51753316504</v>
      </c>
      <c r="E165" s="213" t="s">
        <v>147</v>
      </c>
      <c r="F165" s="212">
        <v>63068.134601125399</v>
      </c>
    </row>
    <row r="166" spans="1:6">
      <c r="A166" s="242" t="s">
        <v>330</v>
      </c>
      <c r="B166" s="50">
        <f t="shared" si="3"/>
        <v>7409.1799208633101</v>
      </c>
      <c r="E166" s="213" t="s">
        <v>408</v>
      </c>
      <c r="F166" s="212">
        <v>1320.0537930390301</v>
      </c>
    </row>
    <row r="167" spans="1:6">
      <c r="A167" s="241" t="s">
        <v>326</v>
      </c>
      <c r="B167" s="50">
        <f t="shared" si="3"/>
        <v>20944.392615080298</v>
      </c>
      <c r="E167" s="213" t="s">
        <v>329</v>
      </c>
      <c r="F167" s="212">
        <v>4200.38012432911</v>
      </c>
    </row>
    <row r="168" spans="1:6">
      <c r="A168" s="242" t="s">
        <v>328</v>
      </c>
      <c r="B168" s="243">
        <v>231548</v>
      </c>
      <c r="E168" s="213" t="s">
        <v>3</v>
      </c>
      <c r="F168" s="212">
        <v>396986.89988835104</v>
      </c>
    </row>
    <row r="169" spans="1:6">
      <c r="A169" s="241" t="s">
        <v>373</v>
      </c>
      <c r="B169" s="243">
        <v>28500</v>
      </c>
      <c r="E169" s="213" t="s">
        <v>544</v>
      </c>
      <c r="F169" s="212">
        <v>114870.706410165</v>
      </c>
    </row>
    <row r="170" spans="1:6">
      <c r="A170" s="242" t="s">
        <v>318</v>
      </c>
      <c r="B170" s="50">
        <f t="shared" si="3"/>
        <v>3486.7413700000002</v>
      </c>
      <c r="E170" s="213" t="s">
        <v>190</v>
      </c>
      <c r="F170" s="212">
        <v>61526.331889499001</v>
      </c>
    </row>
    <row r="171" spans="1:6">
      <c r="A171" s="241" t="s">
        <v>322</v>
      </c>
      <c r="B171" s="50">
        <f t="shared" si="3"/>
        <v>41879.579677174697</v>
      </c>
      <c r="E171" s="213" t="s">
        <v>411</v>
      </c>
      <c r="F171" s="212">
        <v>1645.21388162016</v>
      </c>
    </row>
    <row r="172" spans="1:6">
      <c r="A172" s="242" t="s">
        <v>336</v>
      </c>
      <c r="B172" s="50">
        <f t="shared" si="3"/>
        <v>14637.400395688999</v>
      </c>
      <c r="E172" s="213" t="s">
        <v>315</v>
      </c>
      <c r="F172" s="212">
        <v>7292.7218200000098</v>
      </c>
    </row>
    <row r="173" spans="1:6">
      <c r="A173" s="241" t="s">
        <v>327</v>
      </c>
      <c r="B173" s="50">
        <f t="shared" si="3"/>
        <v>12626.718073743901</v>
      </c>
      <c r="E173" s="213" t="s">
        <v>76</v>
      </c>
      <c r="F173" s="212">
        <v>419946.42812600802</v>
      </c>
    </row>
    <row r="174" spans="1:6">
      <c r="A174" s="242" t="s">
        <v>335</v>
      </c>
      <c r="B174" s="50">
        <f t="shared" si="3"/>
        <v>65067.808984679199</v>
      </c>
      <c r="E174" s="213" t="s">
        <v>138</v>
      </c>
      <c r="F174" s="212">
        <v>1425276.5862829199</v>
      </c>
    </row>
    <row r="175" spans="1:6">
      <c r="A175" s="241" t="s">
        <v>329</v>
      </c>
      <c r="B175" s="50">
        <f t="shared" si="3"/>
        <v>4200.38012432911</v>
      </c>
      <c r="E175" s="213" t="s">
        <v>134</v>
      </c>
      <c r="F175" s="212">
        <v>84518.83039261571</v>
      </c>
    </row>
    <row r="176" spans="1:6">
      <c r="A176" s="242" t="s">
        <v>315</v>
      </c>
      <c r="B176" s="50">
        <f t="shared" si="3"/>
        <v>7292.7218200000098</v>
      </c>
      <c r="E176" s="213" t="s">
        <v>414</v>
      </c>
      <c r="F176" s="212">
        <v>976.15066666666701</v>
      </c>
    </row>
    <row r="177" spans="1:6">
      <c r="A177" s="241" t="s">
        <v>319</v>
      </c>
      <c r="B177" s="50">
        <f t="shared" si="3"/>
        <v>34326.058557435899</v>
      </c>
      <c r="E177" s="213" t="s">
        <v>409</v>
      </c>
      <c r="F177" s="212">
        <v>1764.9011333333299</v>
      </c>
    </row>
    <row r="178" spans="1:6">
      <c r="A178" s="242" t="s">
        <v>316</v>
      </c>
      <c r="B178" s="243">
        <v>21450</v>
      </c>
      <c r="E178" s="213" t="s">
        <v>417</v>
      </c>
      <c r="F178" s="212">
        <v>889.775243378352</v>
      </c>
    </row>
    <row r="179" spans="1:6">
      <c r="A179" s="241" t="s">
        <v>323</v>
      </c>
      <c r="B179" s="243">
        <v>21062</v>
      </c>
      <c r="E179" s="213" t="s">
        <v>319</v>
      </c>
      <c r="F179" s="212">
        <v>34326.058557435899</v>
      </c>
    </row>
    <row r="180" spans="1:6">
      <c r="A180" s="242" t="s">
        <v>320</v>
      </c>
      <c r="B180" s="50">
        <f t="shared" si="3"/>
        <v>26217.726717338599</v>
      </c>
      <c r="E180" s="213" t="s">
        <v>33</v>
      </c>
      <c r="F180" s="212">
        <v>2862.1319796954299</v>
      </c>
    </row>
    <row r="181" spans="1:6">
      <c r="E181" s="213" t="s">
        <v>34</v>
      </c>
      <c r="F181" s="212">
        <v>627437.89888729004</v>
      </c>
    </row>
    <row r="182" spans="1:6">
      <c r="E182" s="213" t="s">
        <v>35</v>
      </c>
      <c r="F182" s="212">
        <v>812866.92886747001</v>
      </c>
    </row>
    <row r="183" spans="1:6">
      <c r="E183" s="213" t="s">
        <v>395</v>
      </c>
      <c r="F183" s="212">
        <v>8746.2706364014211</v>
      </c>
    </row>
    <row r="184" spans="1:6">
      <c r="E184" s="214" t="s">
        <v>332</v>
      </c>
      <c r="F184" s="212">
        <v>67775.101794347807</v>
      </c>
    </row>
    <row r="185" spans="1:6">
      <c r="E185" s="213" t="s">
        <v>65</v>
      </c>
      <c r="F185" s="212">
        <v>505981.655622305</v>
      </c>
    </row>
    <row r="186" spans="1:6">
      <c r="E186" s="213" t="s">
        <v>407</v>
      </c>
      <c r="F186" s="212">
        <v>1959.1347438354101</v>
      </c>
    </row>
    <row r="187" spans="1:6">
      <c r="E187" s="213" t="s">
        <v>324</v>
      </c>
      <c r="F187" s="212">
        <v>8413.2005676151002</v>
      </c>
    </row>
    <row r="188" spans="1:6">
      <c r="E188" s="213" t="s">
        <v>420</v>
      </c>
      <c r="F188" s="215">
        <v>488.82996407081998</v>
      </c>
    </row>
    <row r="189" spans="1:6">
      <c r="E189" s="213" t="s">
        <v>11</v>
      </c>
      <c r="F189" s="212">
        <v>21391.802311011797</v>
      </c>
    </row>
    <row r="190" spans="1:6">
      <c r="E190" s="213" t="s">
        <v>77</v>
      </c>
      <c r="F190" s="212">
        <v>46840.042941492204</v>
      </c>
    </row>
    <row r="191" spans="1:6">
      <c r="E191" s="213" t="s">
        <v>551</v>
      </c>
      <c r="F191" s="212">
        <v>815271.75172442303</v>
      </c>
    </row>
    <row r="192" spans="1:6">
      <c r="E192" s="213" t="s">
        <v>67</v>
      </c>
      <c r="F192" s="215">
        <v>45231.428571428594</v>
      </c>
    </row>
    <row r="193" spans="5:6">
      <c r="E193" s="213" t="s">
        <v>292</v>
      </c>
      <c r="F193" s="212">
        <v>943.269768</v>
      </c>
    </row>
    <row r="194" spans="5:6">
      <c r="E194" s="213" t="s">
        <v>425</v>
      </c>
      <c r="F194" s="212">
        <v>63.100961538461497</v>
      </c>
    </row>
    <row r="195" spans="5:6">
      <c r="E195" s="213" t="s">
        <v>228</v>
      </c>
      <c r="F195" s="212">
        <v>40434.701516952795</v>
      </c>
    </row>
    <row r="196" spans="5:6">
      <c r="E196" s="213" t="s">
        <v>68</v>
      </c>
      <c r="F196" s="212">
        <v>200085.53774435399</v>
      </c>
    </row>
    <row r="197" spans="5:6">
      <c r="E197" s="213" t="s">
        <v>60</v>
      </c>
      <c r="F197" s="215">
        <v>358868.76517492399</v>
      </c>
    </row>
    <row r="198" spans="5:6">
      <c r="E198" s="213" t="s">
        <v>57</v>
      </c>
      <c r="F198" s="212">
        <v>3186859.7391850199</v>
      </c>
    </row>
    <row r="199" spans="5:6">
      <c r="E199" s="213" t="s">
        <v>356</v>
      </c>
      <c r="F199" s="212">
        <v>22996100</v>
      </c>
    </row>
    <row r="200" spans="5:6">
      <c r="E200" s="213" t="s">
        <v>69</v>
      </c>
      <c r="F200" s="212">
        <v>59319.547636087598</v>
      </c>
    </row>
    <row r="201" spans="5:6">
      <c r="E201" s="213" t="s">
        <v>387</v>
      </c>
      <c r="F201" s="212">
        <v>69238.903106173791</v>
      </c>
    </row>
    <row r="202" spans="5:6">
      <c r="E202" s="213" t="s">
        <v>416</v>
      </c>
      <c r="F202" s="212">
        <v>983.46925684962901</v>
      </c>
    </row>
    <row r="203" spans="5:6">
      <c r="E203" s="213" t="s">
        <v>71</v>
      </c>
      <c r="F203" s="212">
        <v>362637.52407096897</v>
      </c>
    </row>
    <row r="204" spans="5:6">
      <c r="E204" s="180" t="s">
        <v>71</v>
      </c>
      <c r="F204" s="181">
        <v>261.89999999999998</v>
      </c>
    </row>
    <row r="205" spans="5:6">
      <c r="E205" s="213" t="s">
        <v>451</v>
      </c>
      <c r="F205" s="215">
        <v>4204</v>
      </c>
    </row>
    <row r="206" spans="5:6">
      <c r="E206" s="180" t="s">
        <v>451</v>
      </c>
      <c r="F206" s="182">
        <v>3.9</v>
      </c>
    </row>
    <row r="207" spans="5:6">
      <c r="E207" s="213" t="s">
        <v>392</v>
      </c>
      <c r="F207" s="212">
        <v>18036.8</v>
      </c>
    </row>
    <row r="208" spans="5:6">
      <c r="E208" s="180" t="s">
        <v>392</v>
      </c>
      <c r="F208" s="182">
        <v>14.6</v>
      </c>
    </row>
    <row r="209" spans="5:6">
      <c r="E209" s="213" t="s">
        <v>388</v>
      </c>
      <c r="F209" s="212">
        <v>21061.691629536901</v>
      </c>
    </row>
    <row r="210" spans="5:6">
      <c r="E210" s="180" t="s">
        <v>388</v>
      </c>
      <c r="F210" s="182">
        <v>27.6</v>
      </c>
    </row>
    <row r="211" spans="5:6">
      <c r="E211" s="213" t="s">
        <v>192</v>
      </c>
      <c r="F211" s="212">
        <v>21203.0590803507</v>
      </c>
    </row>
    <row r="212" spans="5:6">
      <c r="E212" s="180" t="s">
        <v>192</v>
      </c>
      <c r="F212" s="181">
        <v>23.1</v>
      </c>
    </row>
    <row r="213" spans="5:6">
      <c r="E213" s="213" t="s">
        <v>320</v>
      </c>
      <c r="F213" s="212">
        <v>26217.726717338599</v>
      </c>
    </row>
    <row r="214" spans="5:6">
      <c r="E214" s="180" t="s">
        <v>320</v>
      </c>
      <c r="F214" s="181">
        <v>21.4</v>
      </c>
    </row>
  </sheetData>
  <sortState xmlns:xlrd2="http://schemas.microsoft.com/office/spreadsheetml/2017/richdata2" ref="E2:F214">
    <sortCondition ref="E2:E214"/>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8"/>
  <sheetViews>
    <sheetView topLeftCell="A29" workbookViewId="0">
      <selection activeCell="L64" sqref="L64"/>
    </sheetView>
  </sheetViews>
  <sheetFormatPr baseColWidth="10" defaultRowHeight="13"/>
  <cols>
    <col min="1" max="1" width="27" bestFit="1" customWidth="1"/>
    <col min="2" max="2" width="16" style="25" customWidth="1"/>
    <col min="3" max="3" width="16" style="25" bestFit="1" customWidth="1"/>
    <col min="5" max="5" width="28" bestFit="1" customWidth="1"/>
    <col min="6" max="7" width="10.83203125" style="25"/>
  </cols>
  <sheetData>
    <row r="1" spans="1:16" ht="48" customHeight="1">
      <c r="A1" s="66" t="s">
        <v>75</v>
      </c>
      <c r="B1" s="67" t="s">
        <v>270</v>
      </c>
      <c r="C1" s="68" t="s">
        <v>293</v>
      </c>
      <c r="E1" s="15" t="s">
        <v>75</v>
      </c>
      <c r="F1" s="4" t="s">
        <v>234</v>
      </c>
      <c r="G1" s="4" t="s">
        <v>233</v>
      </c>
      <c r="L1" t="s">
        <v>500</v>
      </c>
      <c r="M1" t="s">
        <v>501</v>
      </c>
      <c r="P1" s="187" t="s">
        <v>233</v>
      </c>
    </row>
    <row r="2" spans="1:16" ht="19">
      <c r="A2" s="46" t="s">
        <v>272</v>
      </c>
      <c r="B2" s="69" t="str">
        <f>G2</f>
        <v>NA</v>
      </c>
      <c r="C2" s="68" t="str">
        <f>F2</f>
        <v>Aa2</v>
      </c>
      <c r="E2" s="144" t="s">
        <v>272</v>
      </c>
      <c r="F2" s="170" t="str">
        <f t="shared" ref="F2:F65" si="0">VLOOKUP(E2,$K$2:$M$153,2,FALSE)</f>
        <v>Aa2</v>
      </c>
      <c r="G2" s="170" t="s">
        <v>143</v>
      </c>
      <c r="K2" s="224" t="s">
        <v>272</v>
      </c>
      <c r="L2" s="225" t="s">
        <v>45</v>
      </c>
      <c r="M2" s="225" t="s">
        <v>45</v>
      </c>
      <c r="O2" s="101" t="s">
        <v>4</v>
      </c>
      <c r="P2" s="229" t="s">
        <v>196</v>
      </c>
    </row>
    <row r="3" spans="1:16" ht="19">
      <c r="A3" s="46" t="s">
        <v>4</v>
      </c>
      <c r="B3" s="178" t="str">
        <f t="shared" ref="B3:B66" si="1">G3</f>
        <v>B+</v>
      </c>
      <c r="C3" s="179" t="str">
        <f t="shared" ref="C3:C66" si="2">F3</f>
        <v>B1</v>
      </c>
      <c r="E3" s="144" t="s">
        <v>4</v>
      </c>
      <c r="F3" s="170" t="str">
        <f t="shared" si="0"/>
        <v>B1</v>
      </c>
      <c r="G3" s="170" t="str">
        <f t="shared" ref="G3:G66" si="3">VLOOKUP(E3,$O$2:$P$157,2,FALSE)</f>
        <v>B+</v>
      </c>
      <c r="K3" s="224" t="s">
        <v>4</v>
      </c>
      <c r="L3" s="225" t="s">
        <v>48</v>
      </c>
      <c r="M3" s="225" t="s">
        <v>48</v>
      </c>
      <c r="O3" s="101" t="s">
        <v>197</v>
      </c>
      <c r="P3" s="229" t="s">
        <v>202</v>
      </c>
    </row>
    <row r="4" spans="1:16" ht="19">
      <c r="A4" s="46" t="s">
        <v>286</v>
      </c>
      <c r="B4" s="178" t="str">
        <f t="shared" si="1"/>
        <v>BBB+</v>
      </c>
      <c r="C4" s="179" t="str">
        <f t="shared" si="2"/>
        <v>Baa2</v>
      </c>
      <c r="E4" s="176" t="s">
        <v>197</v>
      </c>
      <c r="F4" s="170" t="str">
        <f t="shared" si="0"/>
        <v>Baa2</v>
      </c>
      <c r="G4" s="170" t="str">
        <f t="shared" si="3"/>
        <v>BBB+</v>
      </c>
      <c r="K4" s="224" t="s">
        <v>197</v>
      </c>
      <c r="L4" s="225" t="s">
        <v>83</v>
      </c>
      <c r="M4" s="225" t="s">
        <v>83</v>
      </c>
      <c r="O4" s="101" t="s">
        <v>131</v>
      </c>
      <c r="P4" s="229" t="s">
        <v>200</v>
      </c>
    </row>
    <row r="5" spans="1:16" ht="19">
      <c r="A5" s="46" t="s">
        <v>131</v>
      </c>
      <c r="B5" s="178" t="str">
        <f t="shared" si="1"/>
        <v>B-</v>
      </c>
      <c r="C5" s="179" t="str">
        <f t="shared" si="2"/>
        <v>B3</v>
      </c>
      <c r="E5" s="144" t="s">
        <v>131</v>
      </c>
      <c r="F5" s="170" t="str">
        <f t="shared" si="0"/>
        <v>B3</v>
      </c>
      <c r="G5" s="170" t="str">
        <f t="shared" si="3"/>
        <v>B-</v>
      </c>
      <c r="K5" s="224" t="s">
        <v>131</v>
      </c>
      <c r="L5" s="225" t="s">
        <v>78</v>
      </c>
      <c r="M5" s="225" t="s">
        <v>78</v>
      </c>
      <c r="O5" s="101" t="s">
        <v>84</v>
      </c>
      <c r="P5" s="230" t="s">
        <v>528</v>
      </c>
    </row>
    <row r="6" spans="1:16" ht="19">
      <c r="A6" s="46" t="s">
        <v>84</v>
      </c>
      <c r="B6" s="178" t="str">
        <f t="shared" si="1"/>
        <v>CCC+ </v>
      </c>
      <c r="C6" s="179" t="str">
        <f t="shared" si="2"/>
        <v>Ca</v>
      </c>
      <c r="E6" s="171" t="s">
        <v>84</v>
      </c>
      <c r="F6" s="170" t="str">
        <f t="shared" si="0"/>
        <v>Ca</v>
      </c>
      <c r="G6" s="170" t="str">
        <f t="shared" si="3"/>
        <v>CCC+ </v>
      </c>
      <c r="K6" s="226" t="s">
        <v>84</v>
      </c>
      <c r="L6" s="227" t="s">
        <v>346</v>
      </c>
      <c r="M6" s="227" t="s">
        <v>346</v>
      </c>
      <c r="O6" s="101" t="s">
        <v>19</v>
      </c>
      <c r="P6" s="229" t="s">
        <v>510</v>
      </c>
    </row>
    <row r="7" spans="1:16" ht="19">
      <c r="A7" s="46" t="s">
        <v>19</v>
      </c>
      <c r="B7" s="178" t="str">
        <f t="shared" si="1"/>
        <v>B+ </v>
      </c>
      <c r="C7" s="179" t="str">
        <f t="shared" si="2"/>
        <v>Ba3</v>
      </c>
      <c r="E7" s="144" t="s">
        <v>19</v>
      </c>
      <c r="F7" s="170" t="str">
        <f t="shared" si="0"/>
        <v>Ba3</v>
      </c>
      <c r="G7" s="170" t="str">
        <f t="shared" si="3"/>
        <v>B+ </v>
      </c>
      <c r="K7" s="224" t="s">
        <v>19</v>
      </c>
      <c r="L7" s="225" t="s">
        <v>81</v>
      </c>
      <c r="M7" s="225" t="s">
        <v>81</v>
      </c>
      <c r="O7" s="101" t="s">
        <v>201</v>
      </c>
      <c r="P7" s="229" t="s">
        <v>206</v>
      </c>
    </row>
    <row r="8" spans="1:16" ht="19">
      <c r="A8" s="46" t="s">
        <v>201</v>
      </c>
      <c r="B8" s="178" t="str">
        <f t="shared" si="1"/>
        <v>BBB</v>
      </c>
      <c r="C8" s="179" t="str">
        <f t="shared" si="2"/>
        <v>NA</v>
      </c>
      <c r="E8" s="176" t="s">
        <v>201</v>
      </c>
      <c r="F8" s="170" t="s">
        <v>143</v>
      </c>
      <c r="G8" s="170" t="str">
        <f t="shared" si="3"/>
        <v>BBB</v>
      </c>
      <c r="K8" s="224" t="s">
        <v>85</v>
      </c>
      <c r="L8" s="225" t="s">
        <v>47</v>
      </c>
      <c r="M8" s="225" t="s">
        <v>47</v>
      </c>
      <c r="O8" s="101" t="s">
        <v>85</v>
      </c>
      <c r="P8" s="231" t="s">
        <v>203</v>
      </c>
    </row>
    <row r="9" spans="1:16" ht="19">
      <c r="A9" s="46" t="s">
        <v>85</v>
      </c>
      <c r="B9" s="178" t="str">
        <f t="shared" si="1"/>
        <v>AAA</v>
      </c>
      <c r="C9" s="179" t="str">
        <f t="shared" si="2"/>
        <v>Aaa</v>
      </c>
      <c r="E9" s="144" t="s">
        <v>85</v>
      </c>
      <c r="F9" s="170" t="str">
        <f t="shared" si="0"/>
        <v>Aaa</v>
      </c>
      <c r="G9" s="170" t="str">
        <f t="shared" si="3"/>
        <v>AAA</v>
      </c>
      <c r="K9" s="228" t="s">
        <v>176</v>
      </c>
      <c r="L9" s="225" t="s">
        <v>44</v>
      </c>
      <c r="M9" s="225" t="s">
        <v>44</v>
      </c>
      <c r="O9" s="101" t="s">
        <v>176</v>
      </c>
      <c r="P9" s="231" t="s">
        <v>204</v>
      </c>
    </row>
    <row r="10" spans="1:16" ht="19">
      <c r="A10" s="46" t="s">
        <v>176</v>
      </c>
      <c r="B10" s="178" t="str">
        <f t="shared" si="1"/>
        <v>AA+</v>
      </c>
      <c r="C10" s="179" t="str">
        <f t="shared" si="2"/>
        <v>Aa1</v>
      </c>
      <c r="E10" s="172" t="s">
        <v>176</v>
      </c>
      <c r="F10" s="170" t="str">
        <f t="shared" si="0"/>
        <v>Aa1</v>
      </c>
      <c r="G10" s="170" t="str">
        <f t="shared" si="3"/>
        <v>AA+</v>
      </c>
      <c r="K10" s="224" t="s">
        <v>20</v>
      </c>
      <c r="L10" s="225" t="s">
        <v>79</v>
      </c>
      <c r="M10" s="225" t="s">
        <v>79</v>
      </c>
      <c r="O10" s="101" t="s">
        <v>20</v>
      </c>
      <c r="P10" s="229" t="s">
        <v>216</v>
      </c>
    </row>
    <row r="11" spans="1:16" ht="19">
      <c r="A11" s="46" t="s">
        <v>20</v>
      </c>
      <c r="B11" s="178" t="str">
        <f t="shared" si="1"/>
        <v>BB+</v>
      </c>
      <c r="C11" s="179" t="str">
        <f t="shared" si="2"/>
        <v>Ba1</v>
      </c>
      <c r="E11" s="144" t="s">
        <v>20</v>
      </c>
      <c r="F11" s="170" t="str">
        <f t="shared" si="0"/>
        <v>Ba1</v>
      </c>
      <c r="G11" s="170" t="str">
        <f t="shared" si="3"/>
        <v>BB+</v>
      </c>
      <c r="K11" s="228" t="s">
        <v>86</v>
      </c>
      <c r="L11" s="225" t="s">
        <v>48</v>
      </c>
      <c r="M11" s="225" t="s">
        <v>48</v>
      </c>
      <c r="O11" s="101" t="s">
        <v>86</v>
      </c>
      <c r="P11" s="229" t="s">
        <v>196</v>
      </c>
    </row>
    <row r="12" spans="1:16" ht="19">
      <c r="A12" s="46" t="s">
        <v>86</v>
      </c>
      <c r="B12" s="178" t="str">
        <f t="shared" si="1"/>
        <v>B+</v>
      </c>
      <c r="C12" s="179" t="str">
        <f t="shared" si="2"/>
        <v>B1</v>
      </c>
      <c r="E12" s="172" t="s">
        <v>86</v>
      </c>
      <c r="F12" s="170" t="str">
        <f t="shared" si="0"/>
        <v>B1</v>
      </c>
      <c r="G12" s="170" t="str">
        <f t="shared" si="3"/>
        <v>B+</v>
      </c>
      <c r="K12" s="224" t="s">
        <v>502</v>
      </c>
      <c r="L12" s="225" t="s">
        <v>565</v>
      </c>
      <c r="M12" s="225" t="s">
        <v>565</v>
      </c>
      <c r="O12" s="101" t="s">
        <v>87</v>
      </c>
      <c r="P12" s="229" t="s">
        <v>510</v>
      </c>
    </row>
    <row r="13" spans="1:16" ht="19">
      <c r="A13" s="46" t="s">
        <v>87</v>
      </c>
      <c r="B13" s="178" t="str">
        <f t="shared" si="1"/>
        <v>B+ </v>
      </c>
      <c r="C13" s="179" t="str">
        <f t="shared" si="2"/>
        <v>B2</v>
      </c>
      <c r="E13" s="144" t="s">
        <v>87</v>
      </c>
      <c r="F13" s="170" t="str">
        <f t="shared" si="0"/>
        <v>B2</v>
      </c>
      <c r="G13" s="170" t="str">
        <f t="shared" si="3"/>
        <v>B+ </v>
      </c>
      <c r="K13" s="224" t="s">
        <v>87</v>
      </c>
      <c r="L13" s="225" t="s">
        <v>49</v>
      </c>
      <c r="M13" s="225" t="s">
        <v>49</v>
      </c>
      <c r="O13" s="101" t="s">
        <v>132</v>
      </c>
      <c r="P13" s="229" t="s">
        <v>199</v>
      </c>
    </row>
    <row r="14" spans="1:16" ht="19">
      <c r="A14" s="46" t="s">
        <v>132</v>
      </c>
      <c r="B14" s="178" t="str">
        <f t="shared" si="1"/>
        <v>BB-</v>
      </c>
      <c r="C14" s="179" t="str">
        <f t="shared" si="2"/>
        <v>Ba3</v>
      </c>
      <c r="E14" s="144" t="s">
        <v>132</v>
      </c>
      <c r="F14" s="170" t="str">
        <f t="shared" si="0"/>
        <v>Ba3</v>
      </c>
      <c r="G14" s="170" t="str">
        <f t="shared" si="3"/>
        <v>BB-</v>
      </c>
      <c r="K14" s="224" t="s">
        <v>503</v>
      </c>
      <c r="L14" s="225" t="s">
        <v>565</v>
      </c>
      <c r="M14" s="225" t="s">
        <v>565</v>
      </c>
      <c r="O14" s="101" t="s">
        <v>88</v>
      </c>
      <c r="P14" s="229" t="s">
        <v>200</v>
      </c>
    </row>
    <row r="15" spans="1:16" ht="19">
      <c r="A15" s="46" t="s">
        <v>88</v>
      </c>
      <c r="B15" s="178" t="str">
        <f t="shared" si="1"/>
        <v>B-</v>
      </c>
      <c r="C15" s="179" t="str">
        <f t="shared" si="2"/>
        <v>Caa1</v>
      </c>
      <c r="E15" s="144" t="s">
        <v>88</v>
      </c>
      <c r="F15" s="170" t="str">
        <f t="shared" si="0"/>
        <v>Caa1</v>
      </c>
      <c r="G15" s="170" t="str">
        <f t="shared" si="3"/>
        <v>B-</v>
      </c>
      <c r="K15" s="224" t="s">
        <v>132</v>
      </c>
      <c r="L15" s="225" t="s">
        <v>81</v>
      </c>
      <c r="M15" s="225" t="s">
        <v>81</v>
      </c>
      <c r="O15" s="101" t="s">
        <v>5</v>
      </c>
      <c r="P15" s="230" t="s">
        <v>557</v>
      </c>
    </row>
    <row r="16" spans="1:16" ht="19">
      <c r="A16" s="46" t="s">
        <v>5</v>
      </c>
      <c r="B16" s="178" t="str">
        <f t="shared" si="1"/>
        <v>SD</v>
      </c>
      <c r="C16" s="179" t="str">
        <f t="shared" si="2"/>
        <v>Ca</v>
      </c>
      <c r="E16" s="144" t="s">
        <v>5</v>
      </c>
      <c r="F16" s="170" t="str">
        <f t="shared" si="0"/>
        <v>Ca</v>
      </c>
      <c r="G16" s="170" t="str">
        <f t="shared" si="3"/>
        <v>SD</v>
      </c>
      <c r="K16" s="224" t="s">
        <v>88</v>
      </c>
      <c r="L16" s="225" t="s">
        <v>100</v>
      </c>
      <c r="M16" s="225" t="s">
        <v>100</v>
      </c>
      <c r="O16" s="101" t="s">
        <v>177</v>
      </c>
      <c r="P16" s="231" t="s">
        <v>207</v>
      </c>
    </row>
    <row r="17" spans="1:16" ht="19">
      <c r="A17" s="46" t="s">
        <v>177</v>
      </c>
      <c r="B17" s="178" t="str">
        <f t="shared" si="1"/>
        <v>AA</v>
      </c>
      <c r="C17" s="179" t="str">
        <f t="shared" si="2"/>
        <v>Aa3</v>
      </c>
      <c r="E17" s="144" t="s">
        <v>177</v>
      </c>
      <c r="F17" s="170" t="str">
        <f t="shared" si="0"/>
        <v>Aa3</v>
      </c>
      <c r="G17" s="170" t="str">
        <f t="shared" si="3"/>
        <v>AA</v>
      </c>
      <c r="K17" s="224" t="s">
        <v>5</v>
      </c>
      <c r="L17" s="225" t="s">
        <v>346</v>
      </c>
      <c r="M17" s="225" t="s">
        <v>346</v>
      </c>
      <c r="O17" s="101" t="s">
        <v>89</v>
      </c>
      <c r="P17" s="229" t="s">
        <v>200</v>
      </c>
    </row>
    <row r="18" spans="1:16" ht="19">
      <c r="A18" s="46" t="s">
        <v>89</v>
      </c>
      <c r="B18" s="178" t="str">
        <f t="shared" si="1"/>
        <v>B-</v>
      </c>
      <c r="C18" s="179" t="str">
        <f t="shared" si="2"/>
        <v>Caa2</v>
      </c>
      <c r="E18" s="144" t="s">
        <v>89</v>
      </c>
      <c r="F18" s="170" t="str">
        <f t="shared" si="0"/>
        <v>Caa2</v>
      </c>
      <c r="G18" s="170" t="str">
        <f t="shared" si="3"/>
        <v>B-</v>
      </c>
      <c r="K18" s="224" t="s">
        <v>177</v>
      </c>
      <c r="L18" s="225" t="s">
        <v>46</v>
      </c>
      <c r="M18" s="225" t="s">
        <v>46</v>
      </c>
      <c r="O18" s="101" t="s">
        <v>208</v>
      </c>
      <c r="P18" s="229" t="s">
        <v>196</v>
      </c>
    </row>
    <row r="19" spans="1:16" ht="19">
      <c r="A19" s="46" t="s">
        <v>208</v>
      </c>
      <c r="B19" s="178" t="str">
        <f t="shared" si="1"/>
        <v>B+</v>
      </c>
      <c r="C19" s="179" t="str">
        <f t="shared" si="2"/>
        <v>B1</v>
      </c>
      <c r="E19" s="144" t="s">
        <v>208</v>
      </c>
      <c r="F19" s="170" t="str">
        <f t="shared" si="0"/>
        <v>B1</v>
      </c>
      <c r="G19" s="170" t="str">
        <f t="shared" si="3"/>
        <v>B+</v>
      </c>
      <c r="K19" s="224" t="s">
        <v>89</v>
      </c>
      <c r="L19" s="225" t="s">
        <v>58</v>
      </c>
      <c r="M19" s="225" t="s">
        <v>58</v>
      </c>
      <c r="O19" s="101" t="s">
        <v>90</v>
      </c>
      <c r="P19" s="231" t="s">
        <v>222</v>
      </c>
    </row>
    <row r="20" spans="1:16" ht="19">
      <c r="A20" s="46" t="s">
        <v>90</v>
      </c>
      <c r="B20" s="178" t="str">
        <f t="shared" si="1"/>
        <v>A+</v>
      </c>
      <c r="C20" s="179" t="str">
        <f t="shared" si="2"/>
        <v>A2</v>
      </c>
      <c r="E20" s="144" t="s">
        <v>90</v>
      </c>
      <c r="F20" s="170" t="str">
        <f t="shared" si="0"/>
        <v>A2</v>
      </c>
      <c r="G20" s="170" t="str">
        <f t="shared" si="3"/>
        <v>A+</v>
      </c>
      <c r="K20" s="224" t="s">
        <v>208</v>
      </c>
      <c r="L20" s="225" t="s">
        <v>48</v>
      </c>
      <c r="M20" s="225" t="s">
        <v>48</v>
      </c>
      <c r="O20" s="101" t="s">
        <v>91</v>
      </c>
      <c r="P20" s="229" t="s">
        <v>209</v>
      </c>
    </row>
    <row r="21" spans="1:16" ht="19">
      <c r="A21" s="46" t="s">
        <v>91</v>
      </c>
      <c r="B21" s="178" t="str">
        <f t="shared" si="1"/>
        <v>B</v>
      </c>
      <c r="C21" s="179" t="str">
        <f t="shared" si="2"/>
        <v>B2</v>
      </c>
      <c r="E21" s="144" t="s">
        <v>91</v>
      </c>
      <c r="F21" s="170" t="str">
        <f t="shared" si="0"/>
        <v>B2</v>
      </c>
      <c r="G21" s="170" t="str">
        <f t="shared" si="3"/>
        <v>B</v>
      </c>
      <c r="K21" s="224" t="s">
        <v>90</v>
      </c>
      <c r="L21" s="225" t="s">
        <v>42</v>
      </c>
      <c r="M21" s="225" t="s">
        <v>42</v>
      </c>
      <c r="O21" s="101" t="s">
        <v>7</v>
      </c>
      <c r="P21" s="229" t="s">
        <v>209</v>
      </c>
    </row>
    <row r="22" spans="1:16" ht="19">
      <c r="A22" s="46" t="s">
        <v>7</v>
      </c>
      <c r="B22" s="178" t="str">
        <f t="shared" si="1"/>
        <v>B</v>
      </c>
      <c r="C22" s="179" t="str">
        <f t="shared" si="2"/>
        <v>B3</v>
      </c>
      <c r="E22" s="144" t="s">
        <v>7</v>
      </c>
      <c r="F22" s="170" t="str">
        <f t="shared" si="0"/>
        <v>B3</v>
      </c>
      <c r="G22" s="170" t="str">
        <f t="shared" si="3"/>
        <v>B</v>
      </c>
      <c r="K22" s="224" t="s">
        <v>91</v>
      </c>
      <c r="L22" s="225" t="s">
        <v>49</v>
      </c>
      <c r="M22" s="225" t="s">
        <v>49</v>
      </c>
      <c r="O22" s="101" t="s">
        <v>123</v>
      </c>
      <c r="P22" s="229" t="s">
        <v>202</v>
      </c>
    </row>
    <row r="23" spans="1:16" ht="19">
      <c r="A23" s="46" t="s">
        <v>123</v>
      </c>
      <c r="B23" s="178" t="str">
        <f t="shared" si="1"/>
        <v>BBB+</v>
      </c>
      <c r="C23" s="179" t="str">
        <f t="shared" si="2"/>
        <v>A3</v>
      </c>
      <c r="E23" s="171" t="s">
        <v>123</v>
      </c>
      <c r="F23" s="170" t="str">
        <f t="shared" si="0"/>
        <v>A3</v>
      </c>
      <c r="G23" s="170" t="str">
        <f t="shared" si="3"/>
        <v>BBB+</v>
      </c>
      <c r="K23" s="224" t="s">
        <v>7</v>
      </c>
      <c r="L23" s="225" t="s">
        <v>78</v>
      </c>
      <c r="M23" s="225" t="s">
        <v>78</v>
      </c>
      <c r="O23" s="101" t="s">
        <v>92</v>
      </c>
      <c r="P23" s="229" t="s">
        <v>199</v>
      </c>
    </row>
    <row r="24" spans="1:16" ht="19">
      <c r="A24" s="46" t="s">
        <v>92</v>
      </c>
      <c r="B24" s="178" t="str">
        <f t="shared" si="1"/>
        <v>BB-</v>
      </c>
      <c r="C24" s="179" t="str">
        <f t="shared" si="2"/>
        <v>Ba2</v>
      </c>
      <c r="E24" s="144" t="s">
        <v>92</v>
      </c>
      <c r="F24" s="170" t="str">
        <f t="shared" si="0"/>
        <v>Ba2</v>
      </c>
      <c r="G24" s="170" t="str">
        <f t="shared" si="3"/>
        <v>BB-</v>
      </c>
      <c r="K24" s="226" t="s">
        <v>123</v>
      </c>
      <c r="L24" s="227" t="s">
        <v>43</v>
      </c>
      <c r="M24" s="227" t="s">
        <v>43</v>
      </c>
      <c r="O24" s="101" t="s">
        <v>94</v>
      </c>
      <c r="P24" s="229" t="s">
        <v>206</v>
      </c>
    </row>
    <row r="25" spans="1:16" ht="19">
      <c r="A25" s="46" t="s">
        <v>94</v>
      </c>
      <c r="B25" s="178" t="str">
        <f t="shared" si="1"/>
        <v>BBB</v>
      </c>
      <c r="C25" s="179" t="str">
        <f t="shared" si="2"/>
        <v>Baa1</v>
      </c>
      <c r="E25" s="144" t="s">
        <v>94</v>
      </c>
      <c r="F25" s="170" t="str">
        <f t="shared" si="0"/>
        <v>Baa1</v>
      </c>
      <c r="G25" s="170" t="str">
        <f t="shared" si="3"/>
        <v>BBB</v>
      </c>
      <c r="K25" s="224" t="s">
        <v>92</v>
      </c>
      <c r="L25" s="225" t="s">
        <v>80</v>
      </c>
      <c r="M25" s="225" t="s">
        <v>80</v>
      </c>
      <c r="O25" s="101" t="s">
        <v>211</v>
      </c>
      <c r="P25" s="230" t="s">
        <v>218</v>
      </c>
    </row>
    <row r="26" spans="1:16" ht="19">
      <c r="A26" s="46" t="s">
        <v>211</v>
      </c>
      <c r="B26" s="178" t="str">
        <f t="shared" si="1"/>
        <v>CCC+</v>
      </c>
      <c r="C26" s="179" t="str">
        <f t="shared" si="2"/>
        <v>NA</v>
      </c>
      <c r="E26" s="176" t="s">
        <v>211</v>
      </c>
      <c r="F26" s="170" t="s">
        <v>143</v>
      </c>
      <c r="G26" s="170" t="str">
        <f t="shared" si="3"/>
        <v>CCC+</v>
      </c>
      <c r="K26" s="224" t="s">
        <v>94</v>
      </c>
      <c r="L26" s="225" t="s">
        <v>82</v>
      </c>
      <c r="M26" s="225" t="s">
        <v>82</v>
      </c>
      <c r="O26" s="101" t="s">
        <v>6</v>
      </c>
      <c r="P26" s="231" t="s">
        <v>143</v>
      </c>
    </row>
    <row r="27" spans="1:16" ht="19">
      <c r="A27" s="46" t="s">
        <v>6</v>
      </c>
      <c r="B27" s="178" t="str">
        <f t="shared" si="1"/>
        <v>NA</v>
      </c>
      <c r="C27" s="179" t="str">
        <f t="shared" si="2"/>
        <v>B2</v>
      </c>
      <c r="E27" s="144" t="s">
        <v>6</v>
      </c>
      <c r="F27" s="170" t="str">
        <f t="shared" si="0"/>
        <v>B2</v>
      </c>
      <c r="G27" s="170" t="str">
        <f t="shared" si="3"/>
        <v>NA</v>
      </c>
      <c r="K27" s="224" t="s">
        <v>6</v>
      </c>
      <c r="L27" s="225" t="s">
        <v>49</v>
      </c>
      <c r="M27" s="225" t="s">
        <v>49</v>
      </c>
      <c r="O27" s="101" t="s">
        <v>212</v>
      </c>
      <c r="P27" s="229" t="s">
        <v>200</v>
      </c>
    </row>
    <row r="28" spans="1:16" ht="19">
      <c r="A28" s="46" t="s">
        <v>212</v>
      </c>
      <c r="B28" s="178" t="str">
        <f t="shared" si="1"/>
        <v>B-</v>
      </c>
      <c r="C28" s="179" t="str">
        <f t="shared" si="2"/>
        <v>B2</v>
      </c>
      <c r="E28" s="171" t="s">
        <v>212</v>
      </c>
      <c r="F28" s="170" t="str">
        <f t="shared" si="0"/>
        <v>B2</v>
      </c>
      <c r="G28" s="170" t="str">
        <f t="shared" si="3"/>
        <v>B-</v>
      </c>
      <c r="K28" s="226" t="s">
        <v>212</v>
      </c>
      <c r="L28" s="225" t="s">
        <v>49</v>
      </c>
      <c r="M28" s="225" t="s">
        <v>49</v>
      </c>
      <c r="O28" s="101" t="s">
        <v>95</v>
      </c>
      <c r="P28" s="231" t="s">
        <v>203</v>
      </c>
    </row>
    <row r="29" spans="1:16" ht="19">
      <c r="A29" s="46" t="s">
        <v>95</v>
      </c>
      <c r="B29" s="178" t="str">
        <f t="shared" si="1"/>
        <v>AAA</v>
      </c>
      <c r="C29" s="179" t="str">
        <f t="shared" si="2"/>
        <v>Aaa</v>
      </c>
      <c r="E29" s="144" t="s">
        <v>95</v>
      </c>
      <c r="F29" s="170" t="str">
        <f t="shared" si="0"/>
        <v>Aaa</v>
      </c>
      <c r="G29" s="170" t="str">
        <f t="shared" si="3"/>
        <v>AAA</v>
      </c>
      <c r="K29" s="224" t="s">
        <v>95</v>
      </c>
      <c r="L29" s="225" t="s">
        <v>47</v>
      </c>
      <c r="M29" s="225" t="s">
        <v>47</v>
      </c>
      <c r="O29" s="101" t="s">
        <v>213</v>
      </c>
      <c r="P29" s="229" t="s">
        <v>200</v>
      </c>
    </row>
    <row r="30" spans="1:16" ht="19">
      <c r="A30" s="46" t="s">
        <v>213</v>
      </c>
      <c r="B30" s="178" t="str">
        <f t="shared" si="1"/>
        <v>B-</v>
      </c>
      <c r="C30" s="179" t="str">
        <f t="shared" si="2"/>
        <v>NA</v>
      </c>
      <c r="E30" s="176" t="s">
        <v>213</v>
      </c>
      <c r="F30" s="170" t="s">
        <v>143</v>
      </c>
      <c r="G30" s="170" t="str">
        <f t="shared" si="3"/>
        <v>B-</v>
      </c>
      <c r="K30" s="224" t="s">
        <v>55</v>
      </c>
      <c r="L30" s="225" t="s">
        <v>46</v>
      </c>
      <c r="M30" s="225" t="s">
        <v>46</v>
      </c>
      <c r="O30" s="101" t="s">
        <v>555</v>
      </c>
      <c r="P30" s="230" t="s">
        <v>143</v>
      </c>
    </row>
    <row r="31" spans="1:16" ht="19">
      <c r="A31" s="46" t="s">
        <v>55</v>
      </c>
      <c r="B31" s="178" t="str">
        <f t="shared" si="1"/>
        <v>NA</v>
      </c>
      <c r="C31" s="179" t="str">
        <f t="shared" si="2"/>
        <v>Aa3</v>
      </c>
      <c r="E31" s="144" t="s">
        <v>55</v>
      </c>
      <c r="F31" s="170" t="str">
        <f t="shared" si="0"/>
        <v>Aa3</v>
      </c>
      <c r="G31" s="170" t="s">
        <v>143</v>
      </c>
      <c r="K31" s="224" t="s">
        <v>504</v>
      </c>
      <c r="L31" s="225" t="s">
        <v>565</v>
      </c>
      <c r="M31" s="225" t="s">
        <v>565</v>
      </c>
      <c r="O31" s="101" t="s">
        <v>96</v>
      </c>
      <c r="P31" s="231" t="s">
        <v>224</v>
      </c>
    </row>
    <row r="32" spans="1:16" ht="19">
      <c r="A32" s="46" t="s">
        <v>96</v>
      </c>
      <c r="B32" s="178" t="str">
        <f t="shared" si="1"/>
        <v>A</v>
      </c>
      <c r="C32" s="179" t="str">
        <f t="shared" si="2"/>
        <v>A2</v>
      </c>
      <c r="E32" s="144" t="s">
        <v>96</v>
      </c>
      <c r="F32" s="170" t="str">
        <f t="shared" si="0"/>
        <v>A2</v>
      </c>
      <c r="G32" s="170" t="str">
        <f t="shared" si="3"/>
        <v>A</v>
      </c>
      <c r="K32" s="224" t="s">
        <v>96</v>
      </c>
      <c r="L32" s="225" t="s">
        <v>42</v>
      </c>
      <c r="M32" s="225" t="s">
        <v>42</v>
      </c>
      <c r="O32" s="101" t="s">
        <v>97</v>
      </c>
      <c r="P32" s="231" t="s">
        <v>222</v>
      </c>
    </row>
    <row r="33" spans="1:16" ht="19">
      <c r="A33" s="46" t="s">
        <v>97</v>
      </c>
      <c r="B33" s="178" t="str">
        <f t="shared" si="1"/>
        <v>A+</v>
      </c>
      <c r="C33" s="179" t="str">
        <f t="shared" si="2"/>
        <v>A1</v>
      </c>
      <c r="E33" s="144" t="s">
        <v>97</v>
      </c>
      <c r="F33" s="170" t="str">
        <f t="shared" si="0"/>
        <v>A1</v>
      </c>
      <c r="G33" s="170" t="str">
        <f t="shared" si="3"/>
        <v>A+</v>
      </c>
      <c r="K33" s="224" t="s">
        <v>97</v>
      </c>
      <c r="L33" s="225" t="s">
        <v>41</v>
      </c>
      <c r="M33" s="225" t="s">
        <v>41</v>
      </c>
      <c r="O33" s="101" t="s">
        <v>50</v>
      </c>
      <c r="P33" s="229" t="s">
        <v>216</v>
      </c>
    </row>
    <row r="34" spans="1:16" ht="19">
      <c r="A34" s="46" t="s">
        <v>50</v>
      </c>
      <c r="B34" s="178" t="str">
        <f t="shared" si="1"/>
        <v>BB+</v>
      </c>
      <c r="C34" s="179" t="str">
        <f t="shared" si="2"/>
        <v>Baa2</v>
      </c>
      <c r="E34" s="144" t="s">
        <v>50</v>
      </c>
      <c r="F34" s="170" t="str">
        <f t="shared" si="0"/>
        <v>Baa2</v>
      </c>
      <c r="G34" s="170" t="str">
        <f t="shared" si="3"/>
        <v>BB+</v>
      </c>
      <c r="K34" s="224" t="s">
        <v>50</v>
      </c>
      <c r="L34" s="225" t="s">
        <v>83</v>
      </c>
      <c r="M34" s="225" t="s">
        <v>83</v>
      </c>
      <c r="O34" s="101" t="s">
        <v>498</v>
      </c>
      <c r="P34" s="229" t="s">
        <v>200</v>
      </c>
    </row>
    <row r="35" spans="1:16" ht="19">
      <c r="A35" s="46" t="s">
        <v>287</v>
      </c>
      <c r="B35" s="178" t="str">
        <f t="shared" si="1"/>
        <v>B-</v>
      </c>
      <c r="C35" s="179" t="str">
        <f t="shared" si="2"/>
        <v>B3</v>
      </c>
      <c r="E35" s="46" t="s">
        <v>287</v>
      </c>
      <c r="F35" s="170" t="s">
        <v>78</v>
      </c>
      <c r="G35" s="170" t="s">
        <v>200</v>
      </c>
      <c r="K35" s="224" t="s">
        <v>56</v>
      </c>
      <c r="L35" s="225" t="s">
        <v>49</v>
      </c>
      <c r="M35" s="225" t="s">
        <v>49</v>
      </c>
      <c r="O35" s="101" t="s">
        <v>56</v>
      </c>
      <c r="P35" s="229" t="s">
        <v>209</v>
      </c>
    </row>
    <row r="36" spans="1:16" ht="19">
      <c r="A36" s="46" t="s">
        <v>288</v>
      </c>
      <c r="B36" s="178" t="str">
        <f t="shared" si="1"/>
        <v>CCC+</v>
      </c>
      <c r="C36" s="179" t="str">
        <f t="shared" si="2"/>
        <v>Caa2</v>
      </c>
      <c r="E36" s="46" t="s">
        <v>288</v>
      </c>
      <c r="F36" s="170" t="s">
        <v>58</v>
      </c>
      <c r="G36" s="170" t="s">
        <v>218</v>
      </c>
      <c r="K36" s="224" t="s">
        <v>372</v>
      </c>
      <c r="L36" s="225" t="s">
        <v>81</v>
      </c>
      <c r="M36" s="225" t="s">
        <v>81</v>
      </c>
      <c r="O36" s="101" t="s">
        <v>98</v>
      </c>
      <c r="P36" s="229" t="s">
        <v>202</v>
      </c>
    </row>
    <row r="37" spans="1:16" ht="19">
      <c r="A37" s="46" t="s">
        <v>214</v>
      </c>
      <c r="B37" s="178" t="str">
        <f t="shared" si="1"/>
        <v>NA</v>
      </c>
      <c r="C37" s="179" t="str">
        <f t="shared" si="2"/>
        <v>B1</v>
      </c>
      <c r="E37" s="177" t="s">
        <v>214</v>
      </c>
      <c r="F37" s="170" t="s">
        <v>48</v>
      </c>
      <c r="G37" s="170" t="s">
        <v>143</v>
      </c>
      <c r="K37" s="224" t="s">
        <v>98</v>
      </c>
      <c r="L37" s="225" t="s">
        <v>83</v>
      </c>
      <c r="M37" s="225" t="s">
        <v>83</v>
      </c>
      <c r="O37" s="101" t="s">
        <v>99</v>
      </c>
      <c r="P37" s="230" t="s">
        <v>143</v>
      </c>
    </row>
    <row r="38" spans="1:16" ht="19">
      <c r="A38" s="46" t="s">
        <v>56</v>
      </c>
      <c r="B38" s="178" t="str">
        <f t="shared" si="1"/>
        <v>B</v>
      </c>
      <c r="C38" s="179" t="str">
        <f t="shared" si="2"/>
        <v>B2</v>
      </c>
      <c r="E38" s="144" t="s">
        <v>56</v>
      </c>
      <c r="F38" s="170" t="str">
        <f t="shared" si="0"/>
        <v>B2</v>
      </c>
      <c r="G38" s="170" t="str">
        <f t="shared" si="3"/>
        <v>B</v>
      </c>
      <c r="K38" s="224" t="s">
        <v>99</v>
      </c>
      <c r="L38" s="225" t="s">
        <v>346</v>
      </c>
      <c r="M38" s="225" t="s">
        <v>346</v>
      </c>
      <c r="O38" s="101" t="s">
        <v>178</v>
      </c>
      <c r="P38" s="229" t="s">
        <v>206</v>
      </c>
    </row>
    <row r="39" spans="1:16" ht="19">
      <c r="A39" s="46" t="s">
        <v>283</v>
      </c>
      <c r="B39" s="178" t="str">
        <f t="shared" si="1"/>
        <v>BB-</v>
      </c>
      <c r="C39" s="179" t="str">
        <f t="shared" si="2"/>
        <v>Ba3</v>
      </c>
      <c r="E39" s="144" t="s">
        <v>372</v>
      </c>
      <c r="F39" s="170" t="str">
        <f t="shared" si="0"/>
        <v>Ba3</v>
      </c>
      <c r="G39" s="170" t="s">
        <v>199</v>
      </c>
      <c r="K39" s="224" t="s">
        <v>178</v>
      </c>
      <c r="L39" s="225" t="s">
        <v>79</v>
      </c>
      <c r="M39" s="225" t="s">
        <v>79</v>
      </c>
      <c r="O39" s="101" t="s">
        <v>101</v>
      </c>
      <c r="P39" s="231" t="s">
        <v>210</v>
      </c>
    </row>
    <row r="40" spans="1:16" ht="19">
      <c r="A40" s="46" t="s">
        <v>98</v>
      </c>
      <c r="B40" s="178" t="str">
        <f t="shared" si="1"/>
        <v>BBB+</v>
      </c>
      <c r="C40" s="179" t="str">
        <f t="shared" si="2"/>
        <v>Baa2</v>
      </c>
      <c r="E40" s="144" t="s">
        <v>98</v>
      </c>
      <c r="F40" s="170" t="str">
        <f t="shared" si="0"/>
        <v>Baa2</v>
      </c>
      <c r="G40" s="170" t="str">
        <f t="shared" si="3"/>
        <v>BBB+</v>
      </c>
      <c r="K40" s="224" t="s">
        <v>101</v>
      </c>
      <c r="L40" s="225" t="s">
        <v>46</v>
      </c>
      <c r="M40" s="225" t="s">
        <v>46</v>
      </c>
      <c r="O40" s="101" t="s">
        <v>102</v>
      </c>
      <c r="P40" s="231" t="s">
        <v>203</v>
      </c>
    </row>
    <row r="41" spans="1:16" ht="19">
      <c r="A41" s="46" t="s">
        <v>99</v>
      </c>
      <c r="B41" s="178" t="str">
        <f t="shared" si="1"/>
        <v>NA</v>
      </c>
      <c r="C41" s="179" t="str">
        <f t="shared" si="2"/>
        <v>Ca</v>
      </c>
      <c r="E41" s="144" t="s">
        <v>99</v>
      </c>
      <c r="F41" s="170" t="str">
        <f t="shared" si="0"/>
        <v>Ca</v>
      </c>
      <c r="G41" s="170" t="s">
        <v>143</v>
      </c>
      <c r="K41" s="224" t="s">
        <v>505</v>
      </c>
      <c r="L41" s="225" t="s">
        <v>78</v>
      </c>
      <c r="M41" s="225" t="s">
        <v>78</v>
      </c>
      <c r="O41" s="101" t="s">
        <v>103</v>
      </c>
      <c r="P41" s="229" t="s">
        <v>215</v>
      </c>
    </row>
    <row r="42" spans="1:16" ht="19">
      <c r="A42" s="46" t="s">
        <v>217</v>
      </c>
      <c r="B42" s="178" t="str">
        <f t="shared" si="1"/>
        <v>Baa2</v>
      </c>
      <c r="C42" s="179" t="str">
        <f t="shared" si="2"/>
        <v>BBB</v>
      </c>
      <c r="E42" s="177" t="s">
        <v>217</v>
      </c>
      <c r="F42" s="170" t="s">
        <v>206</v>
      </c>
      <c r="G42" s="170" t="s">
        <v>83</v>
      </c>
      <c r="K42" s="224" t="s">
        <v>102</v>
      </c>
      <c r="L42" s="225" t="s">
        <v>47</v>
      </c>
      <c r="M42" s="225" t="s">
        <v>47</v>
      </c>
      <c r="O42" s="101" t="s">
        <v>104</v>
      </c>
      <c r="P42" s="229" t="s">
        <v>200</v>
      </c>
    </row>
    <row r="43" spans="1:16" ht="19">
      <c r="A43" s="46" t="s">
        <v>178</v>
      </c>
      <c r="B43" s="178" t="str">
        <f t="shared" si="1"/>
        <v>BBB</v>
      </c>
      <c r="C43" s="179" t="str">
        <f t="shared" si="2"/>
        <v>Ba1</v>
      </c>
      <c r="E43" s="144" t="s">
        <v>178</v>
      </c>
      <c r="F43" s="170" t="str">
        <f t="shared" si="0"/>
        <v>Ba1</v>
      </c>
      <c r="G43" s="170" t="str">
        <f t="shared" si="3"/>
        <v>BBB</v>
      </c>
      <c r="K43" s="228" t="s">
        <v>103</v>
      </c>
      <c r="L43" s="225" t="s">
        <v>81</v>
      </c>
      <c r="M43" s="225" t="s">
        <v>81</v>
      </c>
      <c r="O43" s="101" t="s">
        <v>105</v>
      </c>
      <c r="P43" s="229" t="s">
        <v>209</v>
      </c>
    </row>
    <row r="44" spans="1:16" ht="19">
      <c r="A44" s="46" t="s">
        <v>101</v>
      </c>
      <c r="B44" s="178" t="str">
        <f t="shared" si="1"/>
        <v>AA-</v>
      </c>
      <c r="C44" s="179" t="str">
        <f t="shared" si="2"/>
        <v>Aa3</v>
      </c>
      <c r="E44" s="144" t="s">
        <v>101</v>
      </c>
      <c r="F44" s="170" t="str">
        <f t="shared" si="0"/>
        <v>Aa3</v>
      </c>
      <c r="G44" s="170" t="str">
        <f t="shared" si="3"/>
        <v>AA-</v>
      </c>
      <c r="K44" s="224" t="s">
        <v>104</v>
      </c>
      <c r="L44" s="225" t="s">
        <v>62</v>
      </c>
      <c r="M44" s="225" t="s">
        <v>565</v>
      </c>
      <c r="O44" s="101" t="s">
        <v>31</v>
      </c>
      <c r="P44" s="230" t="s">
        <v>528</v>
      </c>
    </row>
    <row r="45" spans="1:16" ht="19">
      <c r="A45" s="46" t="s">
        <v>102</v>
      </c>
      <c r="B45" s="178" t="str">
        <f t="shared" si="1"/>
        <v>AAA</v>
      </c>
      <c r="C45" s="179" t="str">
        <f t="shared" si="2"/>
        <v>Aaa</v>
      </c>
      <c r="E45" s="144" t="s">
        <v>102</v>
      </c>
      <c r="F45" s="170" t="str">
        <f t="shared" si="0"/>
        <v>Aaa</v>
      </c>
      <c r="G45" s="170" t="str">
        <f t="shared" si="3"/>
        <v>AAA</v>
      </c>
      <c r="K45" s="224" t="s">
        <v>105</v>
      </c>
      <c r="L45" s="225" t="s">
        <v>49</v>
      </c>
      <c r="M45" s="225" t="s">
        <v>49</v>
      </c>
      <c r="O45" s="101" t="s">
        <v>106</v>
      </c>
      <c r="P45" s="231" t="s">
        <v>567</v>
      </c>
    </row>
    <row r="46" spans="1:16" ht="19">
      <c r="A46" s="46" t="s">
        <v>103</v>
      </c>
      <c r="B46" s="178" t="str">
        <f t="shared" si="1"/>
        <v>BB</v>
      </c>
      <c r="C46" s="179" t="str">
        <f t="shared" si="2"/>
        <v>Ba3</v>
      </c>
      <c r="E46" s="172" t="s">
        <v>103</v>
      </c>
      <c r="F46" s="170" t="str">
        <f t="shared" si="0"/>
        <v>Ba3</v>
      </c>
      <c r="G46" s="170" t="str">
        <f t="shared" si="3"/>
        <v>BB</v>
      </c>
      <c r="K46" s="224" t="s">
        <v>31</v>
      </c>
      <c r="L46" s="225" t="s">
        <v>62</v>
      </c>
      <c r="M46" s="225" t="s">
        <v>565</v>
      </c>
      <c r="N46" s="25" t="e">
        <v>#N/A</v>
      </c>
      <c r="O46" s="101" t="s">
        <v>284</v>
      </c>
      <c r="P46" s="230" t="s">
        <v>530</v>
      </c>
    </row>
    <row r="47" spans="1:16" ht="19">
      <c r="A47" s="46" t="s">
        <v>104</v>
      </c>
      <c r="B47" s="178" t="str">
        <f t="shared" si="1"/>
        <v>B-</v>
      </c>
      <c r="C47" s="179" t="str">
        <f t="shared" si="2"/>
        <v>Caa3</v>
      </c>
      <c r="E47" s="144" t="s">
        <v>104</v>
      </c>
      <c r="F47" s="170" t="str">
        <f t="shared" si="0"/>
        <v>Caa3</v>
      </c>
      <c r="G47" s="170" t="str">
        <f t="shared" si="3"/>
        <v>B-</v>
      </c>
      <c r="K47" s="224" t="s">
        <v>106</v>
      </c>
      <c r="L47" s="225" t="s">
        <v>41</v>
      </c>
      <c r="M47" s="225" t="s">
        <v>41</v>
      </c>
      <c r="O47" s="101" t="s">
        <v>512</v>
      </c>
      <c r="P47" s="231" t="s">
        <v>207</v>
      </c>
    </row>
    <row r="48" spans="1:16" ht="19">
      <c r="A48" s="46" t="s">
        <v>105</v>
      </c>
      <c r="B48" s="178" t="str">
        <f t="shared" si="1"/>
        <v>B</v>
      </c>
      <c r="C48" s="179" t="str">
        <f t="shared" si="2"/>
        <v>B2</v>
      </c>
      <c r="E48" s="144" t="s">
        <v>105</v>
      </c>
      <c r="F48" s="170" t="str">
        <f t="shared" si="0"/>
        <v>B2</v>
      </c>
      <c r="G48" s="170" t="str">
        <f t="shared" si="3"/>
        <v>B</v>
      </c>
      <c r="K48" s="224" t="s">
        <v>496</v>
      </c>
      <c r="L48" s="225" t="s">
        <v>78</v>
      </c>
      <c r="M48" s="225" t="s">
        <v>78</v>
      </c>
      <c r="O48" s="101" t="s">
        <v>219</v>
      </c>
      <c r="P48" s="229" t="s">
        <v>196</v>
      </c>
    </row>
    <row r="49" spans="1:16" ht="19">
      <c r="A49" s="46" t="s">
        <v>31</v>
      </c>
      <c r="B49" s="178" t="str">
        <f t="shared" si="1"/>
        <v>CCC+ </v>
      </c>
      <c r="C49" s="179" t="str">
        <f t="shared" si="2"/>
        <v>Caa3</v>
      </c>
      <c r="E49" s="144" t="s">
        <v>31</v>
      </c>
      <c r="F49" s="170" t="str">
        <f t="shared" si="0"/>
        <v>Caa3</v>
      </c>
      <c r="G49" s="170" t="str">
        <f t="shared" si="3"/>
        <v>CCC+ </v>
      </c>
      <c r="K49" s="224" t="s">
        <v>284</v>
      </c>
      <c r="L49" s="225" t="s">
        <v>58</v>
      </c>
      <c r="M49" s="225" t="s">
        <v>58</v>
      </c>
      <c r="O49" s="101" t="s">
        <v>179</v>
      </c>
      <c r="P49" s="231" t="s">
        <v>204</v>
      </c>
    </row>
    <row r="50" spans="1:16" ht="19">
      <c r="A50" s="46" t="s">
        <v>106</v>
      </c>
      <c r="B50" s="178" t="str">
        <f t="shared" si="1"/>
        <v>AA- </v>
      </c>
      <c r="C50" s="179" t="str">
        <f t="shared" si="2"/>
        <v>A1</v>
      </c>
      <c r="E50" s="144" t="s">
        <v>106</v>
      </c>
      <c r="F50" s="170" t="str">
        <f t="shared" si="0"/>
        <v>A1</v>
      </c>
      <c r="G50" s="170" t="str">
        <f t="shared" si="3"/>
        <v>AA- </v>
      </c>
      <c r="K50" s="224" t="s">
        <v>219</v>
      </c>
      <c r="L50" s="225" t="s">
        <v>48</v>
      </c>
      <c r="M50" s="225" t="s">
        <v>48</v>
      </c>
      <c r="O50" s="101" t="s">
        <v>180</v>
      </c>
      <c r="P50" s="231" t="s">
        <v>568</v>
      </c>
    </row>
    <row r="51" spans="1:16" ht="19">
      <c r="A51" s="46" t="s">
        <v>284</v>
      </c>
      <c r="B51" s="178" t="str">
        <f t="shared" si="1"/>
        <v>CCC </v>
      </c>
      <c r="C51" s="179" t="str">
        <f t="shared" si="2"/>
        <v>Caa2</v>
      </c>
      <c r="E51" s="144" t="s">
        <v>284</v>
      </c>
      <c r="F51" s="170" t="str">
        <f t="shared" si="0"/>
        <v>Caa2</v>
      </c>
      <c r="G51" s="170" t="str">
        <f t="shared" si="3"/>
        <v>CCC </v>
      </c>
      <c r="K51" s="224" t="s">
        <v>179</v>
      </c>
      <c r="L51" s="225" t="s">
        <v>44</v>
      </c>
      <c r="M51" s="225" t="s">
        <v>44</v>
      </c>
      <c r="O51" s="101" t="s">
        <v>220</v>
      </c>
      <c r="P51" s="231" t="s">
        <v>143</v>
      </c>
    </row>
    <row r="52" spans="1:16" ht="19">
      <c r="A52" s="46" t="s">
        <v>219</v>
      </c>
      <c r="B52" s="178" t="str">
        <f t="shared" si="1"/>
        <v>B+</v>
      </c>
      <c r="C52" s="179" t="str">
        <f t="shared" si="2"/>
        <v>B1</v>
      </c>
      <c r="E52" s="144" t="s">
        <v>219</v>
      </c>
      <c r="F52" s="170" t="str">
        <f t="shared" si="0"/>
        <v>B1</v>
      </c>
      <c r="G52" s="170" t="str">
        <f t="shared" si="3"/>
        <v>B+</v>
      </c>
      <c r="K52" s="224" t="s">
        <v>180</v>
      </c>
      <c r="L52" s="225" t="s">
        <v>45</v>
      </c>
      <c r="M52" s="225" t="s">
        <v>45</v>
      </c>
      <c r="O52" s="101" t="s">
        <v>133</v>
      </c>
      <c r="P52" s="229" t="s">
        <v>215</v>
      </c>
    </row>
    <row r="53" spans="1:16" ht="19">
      <c r="A53" s="46" t="s">
        <v>179</v>
      </c>
      <c r="B53" s="178" t="str">
        <f t="shared" si="1"/>
        <v>AA+</v>
      </c>
      <c r="C53" s="179" t="str">
        <f t="shared" si="2"/>
        <v>Aa1</v>
      </c>
      <c r="E53" s="144" t="s">
        <v>179</v>
      </c>
      <c r="F53" s="170" t="str">
        <f t="shared" si="0"/>
        <v>Aa1</v>
      </c>
      <c r="G53" s="170" t="str">
        <f t="shared" si="3"/>
        <v>AA+</v>
      </c>
      <c r="K53" s="224" t="s">
        <v>220</v>
      </c>
      <c r="L53" s="225" t="s">
        <v>100</v>
      </c>
      <c r="M53" s="225" t="s">
        <v>100</v>
      </c>
      <c r="O53" s="101" t="s">
        <v>181</v>
      </c>
      <c r="P53" s="231" t="s">
        <v>203</v>
      </c>
    </row>
    <row r="54" spans="1:16" ht="19">
      <c r="A54" s="46" t="s">
        <v>180</v>
      </c>
      <c r="B54" s="178" t="str">
        <f t="shared" si="1"/>
        <v>AA </v>
      </c>
      <c r="C54" s="179" t="str">
        <f t="shared" si="2"/>
        <v>Aa2</v>
      </c>
      <c r="E54" s="144" t="s">
        <v>180</v>
      </c>
      <c r="F54" s="170" t="str">
        <f t="shared" si="0"/>
        <v>Aa2</v>
      </c>
      <c r="G54" s="170" t="str">
        <f t="shared" si="3"/>
        <v>AA </v>
      </c>
      <c r="K54" s="224" t="s">
        <v>133</v>
      </c>
      <c r="L54" s="225" t="s">
        <v>80</v>
      </c>
      <c r="M54" s="225" t="s">
        <v>80</v>
      </c>
      <c r="O54" s="101" t="s">
        <v>221</v>
      </c>
      <c r="P54" s="230" t="s">
        <v>557</v>
      </c>
    </row>
    <row r="55" spans="1:16" ht="19">
      <c r="A55" s="46" t="s">
        <v>220</v>
      </c>
      <c r="B55" s="178" t="str">
        <f t="shared" si="1"/>
        <v>NA</v>
      </c>
      <c r="C55" s="179" t="str">
        <f t="shared" si="2"/>
        <v>Caa1</v>
      </c>
      <c r="E55" s="144" t="s">
        <v>220</v>
      </c>
      <c r="F55" s="170" t="str">
        <f t="shared" si="0"/>
        <v>Caa1</v>
      </c>
      <c r="G55" s="170" t="str">
        <f t="shared" si="3"/>
        <v>NA</v>
      </c>
      <c r="K55" s="224" t="s">
        <v>181</v>
      </c>
      <c r="L55" s="225" t="s">
        <v>47</v>
      </c>
      <c r="M55" s="225" t="s">
        <v>47</v>
      </c>
      <c r="O55" s="101" t="s">
        <v>182</v>
      </c>
      <c r="P55" s="229" t="s">
        <v>216</v>
      </c>
    </row>
    <row r="56" spans="1:16" ht="19">
      <c r="A56" s="46" t="s">
        <v>133</v>
      </c>
      <c r="B56" s="178" t="str">
        <f t="shared" si="1"/>
        <v>BB</v>
      </c>
      <c r="C56" s="179" t="str">
        <f t="shared" si="2"/>
        <v>Ba2</v>
      </c>
      <c r="E56" s="144" t="s">
        <v>133</v>
      </c>
      <c r="F56" s="170" t="str">
        <f t="shared" si="0"/>
        <v>Ba2</v>
      </c>
      <c r="G56" s="170" t="str">
        <f t="shared" si="3"/>
        <v>BB</v>
      </c>
      <c r="K56" s="224" t="s">
        <v>221</v>
      </c>
      <c r="L56" s="225" t="s">
        <v>346</v>
      </c>
      <c r="M56" s="225" t="s">
        <v>346</v>
      </c>
      <c r="O56" s="101" t="s">
        <v>412</v>
      </c>
      <c r="P56" s="230" t="s">
        <v>513</v>
      </c>
    </row>
    <row r="57" spans="1:16" ht="19">
      <c r="A57" s="46" t="s">
        <v>181</v>
      </c>
      <c r="B57" s="178" t="str">
        <f t="shared" si="1"/>
        <v>AAA</v>
      </c>
      <c r="C57" s="179" t="str">
        <f t="shared" si="2"/>
        <v>Aaa</v>
      </c>
      <c r="E57" s="144" t="s">
        <v>181</v>
      </c>
      <c r="F57" s="170" t="str">
        <f t="shared" si="0"/>
        <v>Aaa</v>
      </c>
      <c r="G57" s="170" t="str">
        <f t="shared" si="3"/>
        <v>AAA</v>
      </c>
      <c r="K57" s="224" t="s">
        <v>182</v>
      </c>
      <c r="L57" s="225" t="s">
        <v>81</v>
      </c>
      <c r="M57" s="225" t="s">
        <v>81</v>
      </c>
      <c r="O57" s="101" t="s">
        <v>107</v>
      </c>
      <c r="P57" s="229" t="s">
        <v>556</v>
      </c>
    </row>
    <row r="58" spans="1:16" ht="19">
      <c r="A58" s="46" t="s">
        <v>221</v>
      </c>
      <c r="B58" s="178" t="str">
        <f t="shared" si="1"/>
        <v>SD</v>
      </c>
      <c r="C58" s="179" t="str">
        <f t="shared" si="2"/>
        <v>Ca</v>
      </c>
      <c r="E58" s="144" t="s">
        <v>221</v>
      </c>
      <c r="F58" s="170" t="str">
        <f t="shared" si="0"/>
        <v>Ca</v>
      </c>
      <c r="G58" s="170" t="str">
        <f t="shared" si="3"/>
        <v>SD</v>
      </c>
      <c r="K58" s="224" t="s">
        <v>107</v>
      </c>
      <c r="L58" s="225" t="s">
        <v>79</v>
      </c>
      <c r="M58" s="225" t="s">
        <v>79</v>
      </c>
      <c r="O58" s="101" t="s">
        <v>108</v>
      </c>
      <c r="P58" s="229" t="s">
        <v>556</v>
      </c>
    </row>
    <row r="59" spans="1:16" ht="19">
      <c r="A59" s="46" t="s">
        <v>182</v>
      </c>
      <c r="B59" s="178" t="str">
        <f t="shared" si="1"/>
        <v>BB+</v>
      </c>
      <c r="C59" s="179" t="str">
        <f t="shared" si="2"/>
        <v>Ba3</v>
      </c>
      <c r="E59" s="144" t="s">
        <v>182</v>
      </c>
      <c r="F59" s="170" t="str">
        <f t="shared" si="0"/>
        <v>Ba3</v>
      </c>
      <c r="G59" s="170" t="str">
        <f t="shared" si="3"/>
        <v>BB+</v>
      </c>
      <c r="K59" s="224" t="s">
        <v>472</v>
      </c>
      <c r="L59" s="225" t="s">
        <v>565</v>
      </c>
      <c r="M59" s="225" t="s">
        <v>565</v>
      </c>
      <c r="O59" s="101" t="s">
        <v>59</v>
      </c>
      <c r="P59" s="231" t="s">
        <v>204</v>
      </c>
    </row>
    <row r="60" spans="1:16" ht="19">
      <c r="A60" s="46" t="s">
        <v>107</v>
      </c>
      <c r="B60" s="178" t="str">
        <f t="shared" si="1"/>
        <v>BB- </v>
      </c>
      <c r="C60" s="179" t="str">
        <f t="shared" si="2"/>
        <v>Ba1</v>
      </c>
      <c r="E60" s="144" t="s">
        <v>107</v>
      </c>
      <c r="F60" s="170" t="str">
        <f t="shared" si="0"/>
        <v>Ba1</v>
      </c>
      <c r="G60" s="170" t="str">
        <f t="shared" si="3"/>
        <v>BB- </v>
      </c>
      <c r="K60" s="224" t="s">
        <v>108</v>
      </c>
      <c r="L60" s="225" t="s">
        <v>48</v>
      </c>
      <c r="M60" s="225" t="s">
        <v>48</v>
      </c>
      <c r="O60" s="101" t="s">
        <v>109</v>
      </c>
      <c r="P60" s="229" t="s">
        <v>514</v>
      </c>
    </row>
    <row r="61" spans="1:16" ht="19">
      <c r="A61" s="46" t="s">
        <v>289</v>
      </c>
      <c r="B61" s="178" t="str">
        <f t="shared" si="1"/>
        <v>AAA</v>
      </c>
      <c r="C61" s="179" t="str">
        <f t="shared" si="2"/>
        <v>Aaa</v>
      </c>
      <c r="E61" s="144" t="s">
        <v>472</v>
      </c>
      <c r="F61" s="170" t="s">
        <v>47</v>
      </c>
      <c r="G61" s="170" t="s">
        <v>203</v>
      </c>
      <c r="K61" s="224" t="s">
        <v>506</v>
      </c>
      <c r="L61" s="225" t="s">
        <v>46</v>
      </c>
      <c r="M61" s="225" t="s">
        <v>46</v>
      </c>
      <c r="O61" s="101" t="s">
        <v>110</v>
      </c>
      <c r="P61" s="231" t="s">
        <v>224</v>
      </c>
    </row>
    <row r="62" spans="1:16" ht="19">
      <c r="A62" s="46" t="s">
        <v>108</v>
      </c>
      <c r="B62" s="178" t="str">
        <f t="shared" si="1"/>
        <v>BB- </v>
      </c>
      <c r="C62" s="179" t="str">
        <f t="shared" si="2"/>
        <v>B1</v>
      </c>
      <c r="E62" s="144" t="s">
        <v>108</v>
      </c>
      <c r="F62" s="170" t="str">
        <f t="shared" si="0"/>
        <v>B1</v>
      </c>
      <c r="G62" s="170" t="str">
        <f t="shared" si="3"/>
        <v>BB- </v>
      </c>
      <c r="K62" s="224" t="s">
        <v>109</v>
      </c>
      <c r="L62" s="225" t="s">
        <v>83</v>
      </c>
      <c r="M62" s="225" t="s">
        <v>83</v>
      </c>
      <c r="O62" s="101" t="s">
        <v>111</v>
      </c>
      <c r="P62" s="229" t="s">
        <v>205</v>
      </c>
    </row>
    <row r="63" spans="1:16" ht="19">
      <c r="A63" s="46" t="s">
        <v>59</v>
      </c>
      <c r="B63" s="178" t="str">
        <f t="shared" si="1"/>
        <v>AA+</v>
      </c>
      <c r="C63" s="179" t="str">
        <f t="shared" si="2"/>
        <v>Aa3</v>
      </c>
      <c r="E63" s="144" t="s">
        <v>59</v>
      </c>
      <c r="F63" s="170" t="s">
        <v>46</v>
      </c>
      <c r="G63" s="170" t="str">
        <f t="shared" si="3"/>
        <v>AA+</v>
      </c>
      <c r="K63" s="224" t="s">
        <v>110</v>
      </c>
      <c r="L63" s="225" t="s">
        <v>42</v>
      </c>
      <c r="M63" s="225" t="s">
        <v>42</v>
      </c>
      <c r="O63" s="101" t="s">
        <v>112</v>
      </c>
      <c r="P63" s="229" t="s">
        <v>206</v>
      </c>
    </row>
    <row r="64" spans="1:16" ht="19">
      <c r="A64" s="46" t="s">
        <v>109</v>
      </c>
      <c r="B64" s="178" t="str">
        <f t="shared" si="1"/>
        <v>BBB </v>
      </c>
      <c r="C64" s="179" t="str">
        <f t="shared" si="2"/>
        <v>Baa2</v>
      </c>
      <c r="E64" s="144" t="s">
        <v>109</v>
      </c>
      <c r="F64" s="170" t="str">
        <f t="shared" si="0"/>
        <v>Baa2</v>
      </c>
      <c r="G64" s="170" t="str">
        <f t="shared" si="3"/>
        <v>BBB </v>
      </c>
      <c r="K64" s="224" t="s">
        <v>111</v>
      </c>
      <c r="L64" s="225" t="s">
        <v>124</v>
      </c>
      <c r="M64" s="225" t="s">
        <v>124</v>
      </c>
      <c r="O64" s="101" t="s">
        <v>331</v>
      </c>
      <c r="P64" s="229" t="s">
        <v>200</v>
      </c>
    </row>
    <row r="65" spans="1:16" ht="19">
      <c r="A65" s="46" t="s">
        <v>110</v>
      </c>
      <c r="B65" s="178" t="str">
        <f t="shared" si="1"/>
        <v>A</v>
      </c>
      <c r="C65" s="179" t="str">
        <f t="shared" si="2"/>
        <v>A2</v>
      </c>
      <c r="E65" s="144" t="s">
        <v>110</v>
      </c>
      <c r="F65" s="170" t="str">
        <f t="shared" si="0"/>
        <v>A2</v>
      </c>
      <c r="G65" s="170" t="str">
        <f t="shared" si="3"/>
        <v>A</v>
      </c>
      <c r="K65" s="224" t="s">
        <v>112</v>
      </c>
      <c r="L65" s="225" t="s">
        <v>83</v>
      </c>
      <c r="M65" s="225" t="s">
        <v>83</v>
      </c>
      <c r="O65" s="101" t="s">
        <v>183</v>
      </c>
      <c r="P65" s="231" t="s">
        <v>567</v>
      </c>
    </row>
    <row r="66" spans="1:16" ht="19">
      <c r="A66" s="46" t="s">
        <v>111</v>
      </c>
      <c r="B66" s="178" t="str">
        <f t="shared" si="1"/>
        <v>BBB-</v>
      </c>
      <c r="C66" s="179" t="str">
        <f t="shared" si="2"/>
        <v>Baa3</v>
      </c>
      <c r="E66" s="144" t="s">
        <v>111</v>
      </c>
      <c r="F66" s="170" t="str">
        <f t="shared" ref="F66:F129" si="4">VLOOKUP(E66,$K$2:$M$153,2,FALSE)</f>
        <v>Baa3</v>
      </c>
      <c r="G66" s="170" t="str">
        <f t="shared" si="3"/>
        <v>BBB-</v>
      </c>
      <c r="K66" s="224" t="s">
        <v>331</v>
      </c>
      <c r="L66" s="225" t="s">
        <v>100</v>
      </c>
      <c r="M66" s="225" t="s">
        <v>100</v>
      </c>
      <c r="O66" s="101" t="s">
        <v>113</v>
      </c>
      <c r="P66" s="231" t="s">
        <v>511</v>
      </c>
    </row>
    <row r="67" spans="1:16" ht="19">
      <c r="A67" s="46" t="s">
        <v>112</v>
      </c>
      <c r="B67" s="178" t="str">
        <f t="shared" ref="B67:B130" si="5">G67</f>
        <v>BBB</v>
      </c>
      <c r="C67" s="179" t="str">
        <f t="shared" ref="C67:C130" si="6">F67</f>
        <v>Baa2</v>
      </c>
      <c r="E67" s="144" t="s">
        <v>112</v>
      </c>
      <c r="F67" s="170" t="str">
        <f t="shared" si="4"/>
        <v>Baa2</v>
      </c>
      <c r="G67" s="170" t="str">
        <f t="shared" ref="G67:G130" si="7">VLOOKUP(E67,$O$2:$P$157,2,FALSE)</f>
        <v>BBB</v>
      </c>
      <c r="K67" s="224" t="s">
        <v>183</v>
      </c>
      <c r="L67" s="225" t="s">
        <v>41</v>
      </c>
      <c r="M67" s="225" t="s">
        <v>41</v>
      </c>
      <c r="O67" s="101" t="s">
        <v>114</v>
      </c>
      <c r="P67" s="231" t="s">
        <v>210</v>
      </c>
    </row>
    <row r="68" spans="1:16" ht="19">
      <c r="A68" s="46" t="s">
        <v>331</v>
      </c>
      <c r="B68" s="178" t="str">
        <f t="shared" si="5"/>
        <v>B-</v>
      </c>
      <c r="C68" s="179" t="str">
        <f t="shared" si="6"/>
        <v>Caa1</v>
      </c>
      <c r="E68" s="144" t="s">
        <v>331</v>
      </c>
      <c r="F68" s="170" t="str">
        <f t="shared" si="4"/>
        <v>Caa1</v>
      </c>
      <c r="G68" s="170" t="str">
        <f t="shared" si="7"/>
        <v>B-</v>
      </c>
      <c r="K68" s="224" t="s">
        <v>113</v>
      </c>
      <c r="L68" s="225" t="s">
        <v>46</v>
      </c>
      <c r="M68" s="225" t="s">
        <v>46</v>
      </c>
      <c r="O68" s="101" t="s">
        <v>145</v>
      </c>
      <c r="P68" s="229" t="s">
        <v>206</v>
      </c>
    </row>
    <row r="69" spans="1:16" ht="19">
      <c r="A69" s="46" t="s">
        <v>183</v>
      </c>
      <c r="B69" s="178" t="str">
        <f t="shared" si="5"/>
        <v>AA- </v>
      </c>
      <c r="C69" s="179" t="str">
        <f t="shared" si="6"/>
        <v>A1</v>
      </c>
      <c r="E69" s="144" t="s">
        <v>183</v>
      </c>
      <c r="F69" s="170" t="str">
        <f t="shared" si="4"/>
        <v>A1</v>
      </c>
      <c r="G69" s="170" t="str">
        <f t="shared" si="7"/>
        <v>AA- </v>
      </c>
      <c r="K69" s="224" t="s">
        <v>114</v>
      </c>
      <c r="L69" s="225" t="s">
        <v>41</v>
      </c>
      <c r="M69" s="225" t="s">
        <v>41</v>
      </c>
      <c r="O69" s="101" t="s">
        <v>459</v>
      </c>
      <c r="P69" s="229" t="s">
        <v>199</v>
      </c>
    </row>
    <row r="70" spans="1:16" ht="19">
      <c r="A70" s="46" t="s">
        <v>113</v>
      </c>
      <c r="B70" s="178" t="str">
        <f t="shared" si="5"/>
        <v>N/A</v>
      </c>
      <c r="C70" s="179" t="str">
        <f t="shared" si="6"/>
        <v>Aa3</v>
      </c>
      <c r="E70" s="144" t="s">
        <v>113</v>
      </c>
      <c r="F70" s="170" t="str">
        <f t="shared" si="4"/>
        <v>Aa3</v>
      </c>
      <c r="G70" s="170" t="str">
        <f t="shared" si="7"/>
        <v>N/A</v>
      </c>
      <c r="K70" s="224" t="s">
        <v>145</v>
      </c>
      <c r="L70" s="225" t="s">
        <v>124</v>
      </c>
      <c r="M70" s="225" t="s">
        <v>124</v>
      </c>
      <c r="O70" s="101" t="s">
        <v>115</v>
      </c>
      <c r="P70" s="229" t="s">
        <v>196</v>
      </c>
    </row>
    <row r="71" spans="1:16" ht="19">
      <c r="A71" s="46" t="s">
        <v>114</v>
      </c>
      <c r="B71" s="178" t="str">
        <f t="shared" si="5"/>
        <v>AA-</v>
      </c>
      <c r="C71" s="179" t="str">
        <f t="shared" si="6"/>
        <v>A1</v>
      </c>
      <c r="E71" s="144" t="s">
        <v>114</v>
      </c>
      <c r="F71" s="170" t="str">
        <f t="shared" si="4"/>
        <v>A1</v>
      </c>
      <c r="G71" s="170" t="str">
        <f t="shared" si="7"/>
        <v>AA-</v>
      </c>
      <c r="K71" s="224" t="s">
        <v>115</v>
      </c>
      <c r="L71" s="225" t="s">
        <v>49</v>
      </c>
      <c r="M71" s="225" t="s">
        <v>49</v>
      </c>
      <c r="O71" s="101" t="s">
        <v>116</v>
      </c>
      <c r="P71" s="231" t="s">
        <v>222</v>
      </c>
    </row>
    <row r="72" spans="1:16" ht="19">
      <c r="A72" s="46" t="s">
        <v>145</v>
      </c>
      <c r="B72" s="178" t="str">
        <f t="shared" si="5"/>
        <v>BBB</v>
      </c>
      <c r="C72" s="179" t="str">
        <f t="shared" si="6"/>
        <v>Baa3</v>
      </c>
      <c r="E72" s="144" t="s">
        <v>145</v>
      </c>
      <c r="F72" s="170" t="str">
        <f t="shared" si="4"/>
        <v>Baa3</v>
      </c>
      <c r="G72" s="170" t="str">
        <f t="shared" si="7"/>
        <v>BBB</v>
      </c>
      <c r="K72" s="224" t="s">
        <v>116</v>
      </c>
      <c r="L72" s="225" t="s">
        <v>41</v>
      </c>
      <c r="M72" s="225" t="s">
        <v>41</v>
      </c>
      <c r="O72" s="101" t="s">
        <v>117</v>
      </c>
      <c r="P72" s="229" t="s">
        <v>196</v>
      </c>
    </row>
    <row r="73" spans="1:16" ht="19">
      <c r="A73" s="46" t="s">
        <v>115</v>
      </c>
      <c r="B73" s="178" t="str">
        <f t="shared" si="5"/>
        <v>B+</v>
      </c>
      <c r="C73" s="179" t="str">
        <f t="shared" si="6"/>
        <v>B2</v>
      </c>
      <c r="E73" s="144" t="s">
        <v>115</v>
      </c>
      <c r="F73" s="170" t="str">
        <f t="shared" si="4"/>
        <v>B2</v>
      </c>
      <c r="G73" s="170" t="str">
        <f t="shared" si="7"/>
        <v>B+</v>
      </c>
      <c r="K73" s="224" t="s">
        <v>452</v>
      </c>
      <c r="L73" s="225" t="s">
        <v>565</v>
      </c>
      <c r="M73" s="225" t="s">
        <v>565</v>
      </c>
      <c r="O73" s="101" t="s">
        <v>118</v>
      </c>
      <c r="P73" s="229" t="s">
        <v>529</v>
      </c>
    </row>
    <row r="74" spans="1:16" ht="19">
      <c r="A74" s="46" t="s">
        <v>116</v>
      </c>
      <c r="B74" s="178" t="str">
        <f t="shared" si="5"/>
        <v>A+</v>
      </c>
      <c r="C74" s="179" t="str">
        <f t="shared" si="6"/>
        <v>A1</v>
      </c>
      <c r="E74" s="144" t="s">
        <v>116</v>
      </c>
      <c r="F74" s="170" t="str">
        <f t="shared" si="4"/>
        <v>A1</v>
      </c>
      <c r="G74" s="170" t="str">
        <f t="shared" si="7"/>
        <v>A+</v>
      </c>
      <c r="K74" s="224" t="s">
        <v>117</v>
      </c>
      <c r="L74" s="225" t="s">
        <v>48</v>
      </c>
      <c r="M74" s="225" t="s">
        <v>48</v>
      </c>
      <c r="O74" s="101" t="s">
        <v>184</v>
      </c>
      <c r="P74" s="229" t="s">
        <v>209</v>
      </c>
    </row>
    <row r="75" spans="1:16" ht="19">
      <c r="A75" s="46" t="s">
        <v>290</v>
      </c>
      <c r="B75" s="178" t="str">
        <f t="shared" si="5"/>
        <v>AAA</v>
      </c>
      <c r="C75" s="179" t="str">
        <f t="shared" si="6"/>
        <v>Aaa</v>
      </c>
      <c r="E75" s="144" t="s">
        <v>452</v>
      </c>
      <c r="F75" s="170" t="s">
        <v>47</v>
      </c>
      <c r="G75" s="170" t="s">
        <v>203</v>
      </c>
      <c r="K75" s="226" t="s">
        <v>118</v>
      </c>
      <c r="L75" s="227" t="s">
        <v>83</v>
      </c>
      <c r="M75" s="227" t="s">
        <v>83</v>
      </c>
      <c r="O75" s="101" t="s">
        <v>120</v>
      </c>
      <c r="P75" s="231" t="s">
        <v>222</v>
      </c>
    </row>
    <row r="76" spans="1:16" ht="19">
      <c r="A76" s="46" t="s">
        <v>117</v>
      </c>
      <c r="B76" s="178" t="str">
        <f t="shared" si="5"/>
        <v>B+</v>
      </c>
      <c r="C76" s="179" t="str">
        <f t="shared" si="6"/>
        <v>B1</v>
      </c>
      <c r="E76" s="144" t="s">
        <v>117</v>
      </c>
      <c r="F76" s="170" t="str">
        <f t="shared" si="4"/>
        <v>B1</v>
      </c>
      <c r="G76" s="170" t="str">
        <f t="shared" si="7"/>
        <v>B+</v>
      </c>
      <c r="K76" s="224" t="s">
        <v>184</v>
      </c>
      <c r="L76" s="225" t="s">
        <v>49</v>
      </c>
      <c r="M76" s="225" t="s">
        <v>49</v>
      </c>
      <c r="O76" s="101" t="s">
        <v>353</v>
      </c>
      <c r="P76" s="230" t="s">
        <v>277</v>
      </c>
    </row>
    <row r="77" spans="1:16" ht="19">
      <c r="A77" s="46" t="s">
        <v>118</v>
      </c>
      <c r="B77" s="178" t="str">
        <f t="shared" si="5"/>
        <v>BBB- </v>
      </c>
      <c r="C77" s="179" t="str">
        <f t="shared" si="6"/>
        <v>Baa2</v>
      </c>
      <c r="E77" s="171" t="s">
        <v>118</v>
      </c>
      <c r="F77" s="170" t="str">
        <f t="shared" si="4"/>
        <v>Baa2</v>
      </c>
      <c r="G77" s="170" t="str">
        <f t="shared" si="7"/>
        <v>BBB- </v>
      </c>
      <c r="K77" s="224" t="s">
        <v>119</v>
      </c>
      <c r="L77" s="225" t="s">
        <v>45</v>
      </c>
      <c r="M77" s="225" t="s">
        <v>45</v>
      </c>
      <c r="O77" s="101" t="s">
        <v>343</v>
      </c>
      <c r="P77" s="230" t="s">
        <v>143</v>
      </c>
    </row>
    <row r="78" spans="1:16" ht="19">
      <c r="A78" s="46" t="s">
        <v>184</v>
      </c>
      <c r="B78" s="178" t="str">
        <f t="shared" si="5"/>
        <v>B</v>
      </c>
      <c r="C78" s="179" t="str">
        <f t="shared" si="6"/>
        <v>B2</v>
      </c>
      <c r="E78" s="144" t="s">
        <v>184</v>
      </c>
      <c r="F78" s="170" t="str">
        <f t="shared" si="4"/>
        <v>B2</v>
      </c>
      <c r="G78" s="170" t="str">
        <f t="shared" si="7"/>
        <v>B</v>
      </c>
      <c r="K78" s="224" t="s">
        <v>120</v>
      </c>
      <c r="L78" s="225" t="s">
        <v>41</v>
      </c>
      <c r="M78" s="225" t="s">
        <v>41</v>
      </c>
      <c r="O78" s="101" t="s">
        <v>121</v>
      </c>
      <c r="P78" s="231" t="s">
        <v>531</v>
      </c>
    </row>
    <row r="79" spans="1:16" ht="19">
      <c r="A79" s="46" t="s">
        <v>119</v>
      </c>
      <c r="B79" s="178" t="str">
        <f t="shared" si="5"/>
        <v>AA</v>
      </c>
      <c r="C79" s="179" t="str">
        <f t="shared" si="6"/>
        <v>Aa2</v>
      </c>
      <c r="E79" s="144" t="s">
        <v>119</v>
      </c>
      <c r="F79" s="170" t="str">
        <f t="shared" si="4"/>
        <v>Aa2</v>
      </c>
      <c r="G79" s="170" t="s">
        <v>207</v>
      </c>
      <c r="K79" s="224" t="s">
        <v>354</v>
      </c>
      <c r="L79" s="225" t="s">
        <v>78</v>
      </c>
      <c r="M79" s="225" t="s">
        <v>78</v>
      </c>
      <c r="O79" s="101" t="s">
        <v>122</v>
      </c>
      <c r="P79" s="230" t="s">
        <v>515</v>
      </c>
    </row>
    <row r="80" spans="1:16" ht="19">
      <c r="A80" s="46" t="s">
        <v>120</v>
      </c>
      <c r="B80" s="178" t="str">
        <f t="shared" si="5"/>
        <v>A+</v>
      </c>
      <c r="C80" s="179" t="str">
        <f t="shared" si="6"/>
        <v>A1</v>
      </c>
      <c r="E80" s="144" t="s">
        <v>120</v>
      </c>
      <c r="F80" s="170" t="str">
        <f t="shared" si="4"/>
        <v>A1</v>
      </c>
      <c r="G80" s="170" t="str">
        <f t="shared" si="7"/>
        <v>A+</v>
      </c>
      <c r="K80" s="224" t="s">
        <v>343</v>
      </c>
      <c r="L80" s="225" t="s">
        <v>62</v>
      </c>
      <c r="M80" s="225" t="s">
        <v>62</v>
      </c>
      <c r="O80" s="101" t="s">
        <v>403</v>
      </c>
      <c r="P80" s="230" t="s">
        <v>143</v>
      </c>
    </row>
    <row r="81" spans="1:16" ht="19">
      <c r="A81" t="s">
        <v>353</v>
      </c>
      <c r="B81" s="178" t="str">
        <f t="shared" si="5"/>
        <v>NA</v>
      </c>
      <c r="C81" s="179" t="str">
        <f t="shared" si="6"/>
        <v>B3</v>
      </c>
      <c r="E81" s="144" t="s">
        <v>354</v>
      </c>
      <c r="F81" s="170" t="str">
        <f t="shared" si="4"/>
        <v>B3</v>
      </c>
      <c r="G81" s="170" t="s">
        <v>143</v>
      </c>
      <c r="K81" s="224" t="s">
        <v>121</v>
      </c>
      <c r="L81" s="225" t="s">
        <v>43</v>
      </c>
      <c r="M81" s="225" t="s">
        <v>43</v>
      </c>
      <c r="O81" s="101" t="s">
        <v>223</v>
      </c>
      <c r="P81" s="231" t="s">
        <v>203</v>
      </c>
    </row>
    <row r="82" spans="1:16" ht="19">
      <c r="A82" t="str">
        <f>E82</f>
        <v>Laos</v>
      </c>
      <c r="B82" s="178" t="str">
        <f t="shared" si="5"/>
        <v>NA</v>
      </c>
      <c r="C82" s="179" t="str">
        <f t="shared" si="6"/>
        <v>Caa3</v>
      </c>
      <c r="E82" s="144" t="s">
        <v>343</v>
      </c>
      <c r="F82" s="170" t="str">
        <f t="shared" si="4"/>
        <v>Caa3</v>
      </c>
      <c r="G82" s="170" t="s">
        <v>143</v>
      </c>
      <c r="K82" s="224" t="s">
        <v>122</v>
      </c>
      <c r="L82" s="225" t="s">
        <v>137</v>
      </c>
      <c r="M82" s="225" t="s">
        <v>137</v>
      </c>
      <c r="O82" s="101" t="s">
        <v>13</v>
      </c>
      <c r="P82" s="231" t="s">
        <v>531</v>
      </c>
    </row>
    <row r="83" spans="1:16" ht="19">
      <c r="A83" s="46" t="s">
        <v>121</v>
      </c>
      <c r="B83" s="178" t="str">
        <f t="shared" si="5"/>
        <v>A+ </v>
      </c>
      <c r="C83" s="179" t="str">
        <f t="shared" si="6"/>
        <v>A3</v>
      </c>
      <c r="E83" s="144" t="s">
        <v>121</v>
      </c>
      <c r="F83" s="170" t="str">
        <f t="shared" si="4"/>
        <v>A3</v>
      </c>
      <c r="G83" s="170" t="str">
        <f t="shared" si="7"/>
        <v>A+ </v>
      </c>
      <c r="K83" s="224" t="s">
        <v>223</v>
      </c>
      <c r="L83" s="225" t="s">
        <v>565</v>
      </c>
      <c r="M83" s="225" t="s">
        <v>565</v>
      </c>
      <c r="O83" s="101" t="s">
        <v>185</v>
      </c>
      <c r="P83" s="231" t="s">
        <v>203</v>
      </c>
    </row>
    <row r="84" spans="1:16" ht="19">
      <c r="A84" s="46" t="s">
        <v>122</v>
      </c>
      <c r="B84" s="178" t="str">
        <f t="shared" si="5"/>
        <v>D</v>
      </c>
      <c r="C84" s="179" t="str">
        <f t="shared" si="6"/>
        <v>C</v>
      </c>
      <c r="E84" s="144" t="s">
        <v>122</v>
      </c>
      <c r="F84" s="170" t="str">
        <f t="shared" si="4"/>
        <v>C</v>
      </c>
      <c r="G84" s="170" t="str">
        <f t="shared" si="7"/>
        <v>D</v>
      </c>
      <c r="K84" s="224" t="s">
        <v>13</v>
      </c>
      <c r="L84" s="225" t="s">
        <v>42</v>
      </c>
      <c r="M84" s="225" t="s">
        <v>42</v>
      </c>
      <c r="O84" s="101" t="s">
        <v>355</v>
      </c>
      <c r="P84" s="230" t="s">
        <v>143</v>
      </c>
    </row>
    <row r="85" spans="1:16" ht="19">
      <c r="A85" s="46" t="s">
        <v>223</v>
      </c>
      <c r="B85" s="178" t="str">
        <f t="shared" si="5"/>
        <v>AAA</v>
      </c>
      <c r="C85" s="179" t="str">
        <f t="shared" si="6"/>
        <v>NA</v>
      </c>
      <c r="E85" s="144" t="s">
        <v>223</v>
      </c>
      <c r="F85" s="170" t="s">
        <v>143</v>
      </c>
      <c r="G85" s="170" t="str">
        <f t="shared" si="7"/>
        <v>AAA</v>
      </c>
      <c r="K85" s="224" t="s">
        <v>185</v>
      </c>
      <c r="L85" s="225" t="s">
        <v>47</v>
      </c>
      <c r="M85" s="225" t="s">
        <v>47</v>
      </c>
      <c r="O85" s="101" t="s">
        <v>146</v>
      </c>
      <c r="P85" s="229" t="s">
        <v>199</v>
      </c>
    </row>
    <row r="86" spans="1:16" ht="19">
      <c r="A86" s="46" t="s">
        <v>13</v>
      </c>
      <c r="B86" s="178" t="str">
        <f t="shared" si="5"/>
        <v>A+ </v>
      </c>
      <c r="C86" s="179" t="str">
        <f t="shared" si="6"/>
        <v>A2</v>
      </c>
      <c r="E86" s="144" t="s">
        <v>13</v>
      </c>
      <c r="F86" s="170" t="str">
        <f t="shared" si="4"/>
        <v>A2</v>
      </c>
      <c r="G86" s="170" t="str">
        <f t="shared" si="7"/>
        <v>A+ </v>
      </c>
      <c r="K86" s="224" t="s">
        <v>507</v>
      </c>
      <c r="L86" s="225" t="s">
        <v>46</v>
      </c>
      <c r="M86" s="225" t="s">
        <v>46</v>
      </c>
      <c r="O86" s="101" t="s">
        <v>336</v>
      </c>
      <c r="P86" s="229" t="s">
        <v>200</v>
      </c>
    </row>
    <row r="87" spans="1:16" ht="19">
      <c r="A87" s="46" t="s">
        <v>185</v>
      </c>
      <c r="B87" s="178" t="str">
        <f t="shared" si="5"/>
        <v>AAA</v>
      </c>
      <c r="C87" s="179" t="str">
        <f t="shared" si="6"/>
        <v>Aaa</v>
      </c>
      <c r="E87" s="144" t="s">
        <v>185</v>
      </c>
      <c r="F87" s="170" t="str">
        <f t="shared" si="4"/>
        <v>Aaa</v>
      </c>
      <c r="G87" s="170" t="str">
        <f t="shared" si="7"/>
        <v>AAA</v>
      </c>
      <c r="K87" s="224" t="s">
        <v>14</v>
      </c>
      <c r="L87" s="225" t="s">
        <v>43</v>
      </c>
      <c r="M87" s="225" t="s">
        <v>43</v>
      </c>
      <c r="O87" s="101" t="s">
        <v>14</v>
      </c>
      <c r="P87" s="231" t="s">
        <v>198</v>
      </c>
    </row>
    <row r="88" spans="1:16" ht="19">
      <c r="A88" s="46" t="s">
        <v>32</v>
      </c>
      <c r="B88" s="178" t="str">
        <f t="shared" si="5"/>
        <v>NA</v>
      </c>
      <c r="C88" s="179" t="str">
        <f t="shared" si="6"/>
        <v>Aa3</v>
      </c>
      <c r="E88" s="144" t="s">
        <v>32</v>
      </c>
      <c r="F88" s="170" t="s">
        <v>46</v>
      </c>
      <c r="G88" s="170" t="s">
        <v>143</v>
      </c>
      <c r="K88" s="224" t="s">
        <v>399</v>
      </c>
      <c r="L88" s="225" t="s">
        <v>100</v>
      </c>
      <c r="M88" s="225" t="s">
        <v>100</v>
      </c>
      <c r="O88" s="101" t="s">
        <v>399</v>
      </c>
      <c r="P88" s="230" t="s">
        <v>143</v>
      </c>
    </row>
    <row r="89" spans="1:16" ht="19">
      <c r="A89" s="46" t="s">
        <v>146</v>
      </c>
      <c r="B89" s="178" t="str">
        <f t="shared" si="5"/>
        <v>BB-</v>
      </c>
      <c r="C89" s="179" t="str">
        <f t="shared" si="6"/>
        <v>NA</v>
      </c>
      <c r="E89" s="176" t="s">
        <v>146</v>
      </c>
      <c r="F89" s="170" t="s">
        <v>143</v>
      </c>
      <c r="G89" s="170" t="str">
        <f t="shared" si="7"/>
        <v>BB-</v>
      </c>
      <c r="K89" s="224" t="s">
        <v>325</v>
      </c>
      <c r="L89" s="225" t="s">
        <v>58</v>
      </c>
      <c r="M89" s="225" t="s">
        <v>58</v>
      </c>
      <c r="O89" s="101" t="s">
        <v>325</v>
      </c>
      <c r="P89" s="230" t="s">
        <v>143</v>
      </c>
    </row>
    <row r="90" spans="1:16" ht="19">
      <c r="A90" s="46" t="s">
        <v>14</v>
      </c>
      <c r="B90" s="178" t="str">
        <f t="shared" si="5"/>
        <v>A-</v>
      </c>
      <c r="C90" s="179" t="str">
        <f t="shared" si="6"/>
        <v>A3</v>
      </c>
      <c r="E90" s="144" t="s">
        <v>14</v>
      </c>
      <c r="F90" s="170" t="str">
        <f t="shared" si="4"/>
        <v>A3</v>
      </c>
      <c r="G90" s="170" t="str">
        <f t="shared" si="7"/>
        <v>A-</v>
      </c>
      <c r="K90" s="224" t="s">
        <v>186</v>
      </c>
      <c r="L90" s="225" t="s">
        <v>42</v>
      </c>
      <c r="M90" s="225" t="s">
        <v>42</v>
      </c>
      <c r="O90" s="101" t="s">
        <v>186</v>
      </c>
      <c r="P90" s="231" t="s">
        <v>198</v>
      </c>
    </row>
    <row r="91" spans="1:16" ht="19">
      <c r="A91" s="46" t="s">
        <v>399</v>
      </c>
      <c r="B91" s="178" t="str">
        <f t="shared" si="5"/>
        <v>NA</v>
      </c>
      <c r="C91" s="179" t="str">
        <f t="shared" si="6"/>
        <v>Caa1</v>
      </c>
      <c r="E91" s="144" t="s">
        <v>399</v>
      </c>
      <c r="F91" s="170" t="str">
        <f t="shared" si="4"/>
        <v>Caa1</v>
      </c>
      <c r="G91" s="170" t="str">
        <f t="shared" si="7"/>
        <v>NA</v>
      </c>
      <c r="K91" s="224" t="s">
        <v>15</v>
      </c>
      <c r="L91" s="225" t="s">
        <v>124</v>
      </c>
      <c r="M91" s="225" t="s">
        <v>124</v>
      </c>
      <c r="O91" s="101" t="s">
        <v>15</v>
      </c>
      <c r="P91" s="230" t="s">
        <v>143</v>
      </c>
    </row>
    <row r="92" spans="1:16" ht="19">
      <c r="A92" s="141" t="s">
        <v>325</v>
      </c>
      <c r="B92" s="178" t="str">
        <f t="shared" si="5"/>
        <v>NA</v>
      </c>
      <c r="C92" s="179" t="str">
        <f t="shared" si="6"/>
        <v>Caa2</v>
      </c>
      <c r="E92" s="144" t="s">
        <v>325</v>
      </c>
      <c r="F92" s="170" t="str">
        <f t="shared" si="4"/>
        <v>Caa2</v>
      </c>
      <c r="G92" s="170" t="str">
        <f t="shared" si="7"/>
        <v>NA</v>
      </c>
      <c r="K92" s="224" t="s">
        <v>16</v>
      </c>
      <c r="L92" s="225" t="s">
        <v>83</v>
      </c>
      <c r="M92" s="225" t="s">
        <v>83</v>
      </c>
      <c r="O92" s="101" t="s">
        <v>16</v>
      </c>
      <c r="P92" s="229" t="s">
        <v>206</v>
      </c>
    </row>
    <row r="93" spans="1:16" ht="19">
      <c r="A93" s="46" t="s">
        <v>186</v>
      </c>
      <c r="B93" s="178" t="str">
        <f t="shared" si="5"/>
        <v>A-</v>
      </c>
      <c r="C93" s="179" t="str">
        <f t="shared" si="6"/>
        <v>A2</v>
      </c>
      <c r="E93" s="144" t="s">
        <v>186</v>
      </c>
      <c r="F93" s="170" t="str">
        <f t="shared" si="4"/>
        <v>A2</v>
      </c>
      <c r="G93" s="170" t="str">
        <f t="shared" si="7"/>
        <v>A-</v>
      </c>
      <c r="K93" s="224" t="s">
        <v>17</v>
      </c>
      <c r="L93" s="225" t="s">
        <v>78</v>
      </c>
      <c r="M93" s="225" t="s">
        <v>78</v>
      </c>
      <c r="O93" s="101" t="s">
        <v>17</v>
      </c>
      <c r="P93" s="230" t="s">
        <v>143</v>
      </c>
    </row>
    <row r="94" spans="1:16" ht="19">
      <c r="A94" s="46" t="s">
        <v>15</v>
      </c>
      <c r="B94" s="178" t="str">
        <f t="shared" si="5"/>
        <v>NA</v>
      </c>
      <c r="C94" s="179" t="str">
        <f t="shared" si="6"/>
        <v>Baa3</v>
      </c>
      <c r="E94" s="144" t="s">
        <v>15</v>
      </c>
      <c r="F94" s="170" t="str">
        <f t="shared" si="4"/>
        <v>Baa3</v>
      </c>
      <c r="G94" s="170" t="str">
        <f t="shared" si="7"/>
        <v>NA</v>
      </c>
      <c r="K94" s="224" t="s">
        <v>63</v>
      </c>
      <c r="L94" s="225" t="s">
        <v>78</v>
      </c>
      <c r="M94" s="225" t="s">
        <v>78</v>
      </c>
      <c r="O94" s="101" t="s">
        <v>63</v>
      </c>
      <c r="P94" s="229" t="s">
        <v>209</v>
      </c>
    </row>
    <row r="95" spans="1:16" ht="19">
      <c r="A95" s="46" t="s">
        <v>16</v>
      </c>
      <c r="B95" s="178" t="str">
        <f t="shared" si="5"/>
        <v>BBB</v>
      </c>
      <c r="C95" s="179" t="str">
        <f t="shared" si="6"/>
        <v>Baa2</v>
      </c>
      <c r="E95" s="144" t="s">
        <v>16</v>
      </c>
      <c r="F95" s="170" t="str">
        <f t="shared" si="4"/>
        <v>Baa2</v>
      </c>
      <c r="G95" s="170" t="str">
        <f t="shared" si="7"/>
        <v>BBB</v>
      </c>
      <c r="K95" s="224" t="s">
        <v>8</v>
      </c>
      <c r="L95" s="225" t="s">
        <v>48</v>
      </c>
      <c r="M95" s="225" t="s">
        <v>565</v>
      </c>
      <c r="O95" s="101" t="s">
        <v>8</v>
      </c>
      <c r="P95" s="229" t="s">
        <v>209</v>
      </c>
    </row>
    <row r="96" spans="1:16" ht="19">
      <c r="A96" s="46" t="s">
        <v>17</v>
      </c>
      <c r="B96" s="178" t="str">
        <f t="shared" si="5"/>
        <v>NA</v>
      </c>
      <c r="C96" s="179" t="str">
        <f t="shared" si="6"/>
        <v>B3</v>
      </c>
      <c r="E96" s="144" t="s">
        <v>17</v>
      </c>
      <c r="F96" s="170" t="str">
        <f t="shared" si="4"/>
        <v>B3</v>
      </c>
      <c r="G96" s="170" t="str">
        <f t="shared" si="7"/>
        <v>NA</v>
      </c>
      <c r="K96" s="224" t="s">
        <v>18</v>
      </c>
      <c r="L96" s="225" t="s">
        <v>79</v>
      </c>
      <c r="M96" s="225" t="s">
        <v>79</v>
      </c>
      <c r="O96" s="101" t="s">
        <v>225</v>
      </c>
      <c r="P96" s="229" t="s">
        <v>205</v>
      </c>
    </row>
    <row r="97" spans="1:16" ht="19">
      <c r="A97" s="46" t="s">
        <v>63</v>
      </c>
      <c r="B97" s="178" t="str">
        <f t="shared" si="5"/>
        <v>B</v>
      </c>
      <c r="C97" s="179" t="str">
        <f t="shared" si="6"/>
        <v>B3</v>
      </c>
      <c r="E97" s="144" t="s">
        <v>63</v>
      </c>
      <c r="F97" s="170" t="str">
        <f t="shared" si="4"/>
        <v>B3</v>
      </c>
      <c r="G97" s="170" t="str">
        <f t="shared" si="7"/>
        <v>B</v>
      </c>
      <c r="K97" s="228" t="s">
        <v>226</v>
      </c>
      <c r="L97" s="225" t="s">
        <v>58</v>
      </c>
      <c r="M97" s="225" t="s">
        <v>58</v>
      </c>
      <c r="O97" s="101" t="s">
        <v>18</v>
      </c>
      <c r="P97" s="229" t="s">
        <v>216</v>
      </c>
    </row>
    <row r="98" spans="1:16" ht="19">
      <c r="A98" s="46" t="s">
        <v>8</v>
      </c>
      <c r="B98" s="178" t="str">
        <f t="shared" si="5"/>
        <v>B</v>
      </c>
      <c r="C98" s="179" t="str">
        <f t="shared" si="6"/>
        <v>B1</v>
      </c>
      <c r="E98" s="144" t="s">
        <v>8</v>
      </c>
      <c r="F98" s="170" t="str">
        <f t="shared" si="4"/>
        <v>B1</v>
      </c>
      <c r="G98" s="170" t="str">
        <f t="shared" si="7"/>
        <v>B</v>
      </c>
      <c r="K98" s="224" t="s">
        <v>136</v>
      </c>
      <c r="L98" s="225" t="s">
        <v>48</v>
      </c>
      <c r="M98" s="225" t="s">
        <v>48</v>
      </c>
      <c r="O98" s="101" t="s">
        <v>226</v>
      </c>
      <c r="P98" s="230" t="s">
        <v>218</v>
      </c>
    </row>
    <row r="99" spans="1:16" ht="19">
      <c r="A99" s="46" t="s">
        <v>225</v>
      </c>
      <c r="B99" s="178" t="str">
        <f t="shared" si="5"/>
        <v>BBB-</v>
      </c>
      <c r="C99" s="179" t="str">
        <f t="shared" si="6"/>
        <v>NA</v>
      </c>
      <c r="E99" s="176" t="s">
        <v>225</v>
      </c>
      <c r="F99" s="170" t="s">
        <v>143</v>
      </c>
      <c r="G99" s="170" t="str">
        <f t="shared" si="7"/>
        <v>BBB-</v>
      </c>
      <c r="K99" s="224" t="s">
        <v>187</v>
      </c>
      <c r="L99" s="225" t="s">
        <v>47</v>
      </c>
      <c r="M99" s="225" t="s">
        <v>47</v>
      </c>
      <c r="O99" s="101" t="s">
        <v>136</v>
      </c>
      <c r="P99" s="230" t="s">
        <v>143</v>
      </c>
    </row>
    <row r="100" spans="1:16" ht="19">
      <c r="A100" s="46" t="s">
        <v>18</v>
      </c>
      <c r="B100" s="178" t="str">
        <f t="shared" si="5"/>
        <v>BB+</v>
      </c>
      <c r="C100" s="179" t="str">
        <f t="shared" si="6"/>
        <v>Ba1</v>
      </c>
      <c r="E100" s="144" t="s">
        <v>18</v>
      </c>
      <c r="F100" s="170" t="str">
        <f t="shared" si="4"/>
        <v>Ba1</v>
      </c>
      <c r="G100" s="170" t="str">
        <f t="shared" si="7"/>
        <v>BB+</v>
      </c>
      <c r="K100" s="224" t="s">
        <v>21</v>
      </c>
      <c r="L100" s="225" t="s">
        <v>47</v>
      </c>
      <c r="M100" s="225" t="s">
        <v>47</v>
      </c>
      <c r="O100" s="101" t="s">
        <v>187</v>
      </c>
      <c r="P100" s="231" t="s">
        <v>203</v>
      </c>
    </row>
    <row r="101" spans="1:16" ht="19">
      <c r="A101" s="46" t="s">
        <v>226</v>
      </c>
      <c r="B101" s="178" t="str">
        <f t="shared" si="5"/>
        <v>CCC+</v>
      </c>
      <c r="C101" s="179" t="str">
        <f t="shared" si="6"/>
        <v>Caa2</v>
      </c>
      <c r="E101" s="172" t="s">
        <v>226</v>
      </c>
      <c r="F101" s="170" t="str">
        <f t="shared" si="4"/>
        <v>Caa2</v>
      </c>
      <c r="G101" s="170" t="str">
        <f t="shared" si="7"/>
        <v>CCC+</v>
      </c>
      <c r="K101" s="224" t="s">
        <v>22</v>
      </c>
      <c r="L101" s="225" t="s">
        <v>78</v>
      </c>
      <c r="M101" s="225" t="s">
        <v>78</v>
      </c>
      <c r="O101" s="101" t="s">
        <v>21</v>
      </c>
      <c r="P101" s="231" t="s">
        <v>204</v>
      </c>
    </row>
    <row r="102" spans="1:16" ht="19">
      <c r="A102" s="46" t="s">
        <v>136</v>
      </c>
      <c r="B102" s="178" t="str">
        <f t="shared" si="5"/>
        <v>NA</v>
      </c>
      <c r="C102" s="179" t="str">
        <f t="shared" si="6"/>
        <v>B1</v>
      </c>
      <c r="E102" s="144" t="s">
        <v>136</v>
      </c>
      <c r="F102" s="170" t="str">
        <f t="shared" si="4"/>
        <v>B1</v>
      </c>
      <c r="G102" s="170" t="str">
        <f t="shared" si="7"/>
        <v>NA</v>
      </c>
      <c r="K102" s="224" t="s">
        <v>321</v>
      </c>
      <c r="L102" s="225" t="s">
        <v>78</v>
      </c>
      <c r="M102" s="225" t="s">
        <v>78</v>
      </c>
      <c r="O102" s="101" t="s">
        <v>22</v>
      </c>
      <c r="P102" s="229" t="s">
        <v>209</v>
      </c>
    </row>
    <row r="103" spans="1:16" ht="19">
      <c r="A103" s="46" t="s">
        <v>187</v>
      </c>
      <c r="B103" s="178" t="str">
        <f t="shared" si="5"/>
        <v>AAA</v>
      </c>
      <c r="C103" s="179" t="str">
        <f t="shared" si="6"/>
        <v>Aaa</v>
      </c>
      <c r="E103" s="144" t="s">
        <v>187</v>
      </c>
      <c r="F103" s="170" t="str">
        <f t="shared" si="4"/>
        <v>Aaa</v>
      </c>
      <c r="G103" s="170" t="str">
        <f t="shared" si="7"/>
        <v>AAA</v>
      </c>
      <c r="K103" s="224" t="s">
        <v>188</v>
      </c>
      <c r="L103" s="225" t="s">
        <v>78</v>
      </c>
      <c r="M103" s="225" t="s">
        <v>78</v>
      </c>
      <c r="O103" s="101" t="s">
        <v>321</v>
      </c>
      <c r="P103" s="230" t="s">
        <v>143</v>
      </c>
    </row>
    <row r="104" spans="1:16" ht="19">
      <c r="A104" s="46" t="s">
        <v>21</v>
      </c>
      <c r="B104" s="178" t="str">
        <f t="shared" si="5"/>
        <v>AA+</v>
      </c>
      <c r="C104" s="179" t="str">
        <f t="shared" si="6"/>
        <v>Aaa</v>
      </c>
      <c r="E104" s="144" t="s">
        <v>21</v>
      </c>
      <c r="F104" s="170" t="str">
        <f t="shared" si="4"/>
        <v>Aaa</v>
      </c>
      <c r="G104" s="170" t="str">
        <f t="shared" si="7"/>
        <v>AA+</v>
      </c>
      <c r="K104" s="224" t="s">
        <v>23</v>
      </c>
      <c r="L104" s="225" t="s">
        <v>47</v>
      </c>
      <c r="M104" s="225" t="s">
        <v>47</v>
      </c>
      <c r="O104" s="101" t="s">
        <v>188</v>
      </c>
      <c r="P104" s="229" t="s">
        <v>200</v>
      </c>
    </row>
    <row r="105" spans="1:16" ht="19">
      <c r="A105" s="46" t="s">
        <v>22</v>
      </c>
      <c r="B105" s="178" t="str">
        <f t="shared" si="5"/>
        <v>B</v>
      </c>
      <c r="C105" s="179" t="str">
        <f t="shared" si="6"/>
        <v>B3</v>
      </c>
      <c r="E105" s="144" t="s">
        <v>22</v>
      </c>
      <c r="F105" s="170" t="str">
        <f t="shared" si="4"/>
        <v>B3</v>
      </c>
      <c r="G105" s="170" t="str">
        <f t="shared" si="7"/>
        <v>B</v>
      </c>
      <c r="K105" s="224" t="s">
        <v>24</v>
      </c>
      <c r="L105" s="225" t="s">
        <v>81</v>
      </c>
      <c r="M105" s="225" t="s">
        <v>81</v>
      </c>
      <c r="O105" s="101" t="s">
        <v>23</v>
      </c>
      <c r="P105" s="231" t="s">
        <v>203</v>
      </c>
    </row>
    <row r="106" spans="1:16" ht="19">
      <c r="A106" s="102" t="s">
        <v>321</v>
      </c>
      <c r="B106" s="178" t="str">
        <f t="shared" si="5"/>
        <v>NA</v>
      </c>
      <c r="C106" s="179" t="str">
        <f t="shared" si="6"/>
        <v>B3</v>
      </c>
      <c r="E106" s="144" t="s">
        <v>321</v>
      </c>
      <c r="F106" s="170" t="str">
        <f t="shared" si="4"/>
        <v>B3</v>
      </c>
      <c r="G106" s="170" t="str">
        <f t="shared" si="7"/>
        <v>NA</v>
      </c>
      <c r="K106" s="224" t="s">
        <v>25</v>
      </c>
      <c r="L106" s="225" t="s">
        <v>100</v>
      </c>
      <c r="M106" s="225" t="s">
        <v>100</v>
      </c>
      <c r="O106" s="101" t="s">
        <v>24</v>
      </c>
      <c r="P106" s="229" t="s">
        <v>215</v>
      </c>
    </row>
    <row r="107" spans="1:16" ht="19">
      <c r="A107" s="46" t="s">
        <v>188</v>
      </c>
      <c r="B107" s="178" t="str">
        <f t="shared" si="5"/>
        <v>B-</v>
      </c>
      <c r="C107" s="179" t="str">
        <f t="shared" si="6"/>
        <v>B3</v>
      </c>
      <c r="E107" s="144" t="s">
        <v>188</v>
      </c>
      <c r="F107" s="170" t="str">
        <f t="shared" si="4"/>
        <v>B3</v>
      </c>
      <c r="G107" s="170" t="str">
        <f t="shared" si="7"/>
        <v>B-</v>
      </c>
      <c r="K107" s="224" t="s">
        <v>26</v>
      </c>
      <c r="L107" s="225" t="s">
        <v>83</v>
      </c>
      <c r="M107" s="225" t="s">
        <v>565</v>
      </c>
      <c r="O107" s="101" t="s">
        <v>25</v>
      </c>
      <c r="P107" s="230" t="s">
        <v>218</v>
      </c>
    </row>
    <row r="108" spans="1:16" ht="19">
      <c r="A108" s="46" t="s">
        <v>23</v>
      </c>
      <c r="B108" s="178" t="str">
        <f t="shared" si="5"/>
        <v>AAA</v>
      </c>
      <c r="C108" s="179" t="str">
        <f t="shared" si="6"/>
        <v>Aaa</v>
      </c>
      <c r="E108" s="144" t="s">
        <v>23</v>
      </c>
      <c r="F108" s="170" t="str">
        <f t="shared" si="4"/>
        <v>Aaa</v>
      </c>
      <c r="G108" s="170" t="str">
        <f t="shared" si="7"/>
        <v>AAA</v>
      </c>
      <c r="K108" s="224" t="s">
        <v>508</v>
      </c>
      <c r="L108" s="225" t="s">
        <v>565</v>
      </c>
      <c r="M108" s="225" t="s">
        <v>565</v>
      </c>
      <c r="O108" s="101" t="s">
        <v>26</v>
      </c>
      <c r="P108" s="229" t="s">
        <v>514</v>
      </c>
    </row>
    <row r="109" spans="1:16" ht="19">
      <c r="A109" s="46" t="s">
        <v>24</v>
      </c>
      <c r="B109" s="178" t="str">
        <f t="shared" si="5"/>
        <v>BB</v>
      </c>
      <c r="C109" s="179" t="str">
        <f t="shared" si="6"/>
        <v>Ba3</v>
      </c>
      <c r="E109" s="144" t="s">
        <v>24</v>
      </c>
      <c r="F109" s="170" t="str">
        <f t="shared" si="4"/>
        <v>Ba3</v>
      </c>
      <c r="G109" s="170" t="str">
        <f t="shared" si="7"/>
        <v>BB</v>
      </c>
      <c r="K109" s="226" t="s">
        <v>9</v>
      </c>
      <c r="L109" s="227" t="s">
        <v>49</v>
      </c>
      <c r="M109" s="227" t="s">
        <v>49</v>
      </c>
      <c r="O109" s="101" t="s">
        <v>9</v>
      </c>
      <c r="P109" s="229" t="s">
        <v>200</v>
      </c>
    </row>
    <row r="110" spans="1:16" ht="19">
      <c r="A110" s="46" t="s">
        <v>25</v>
      </c>
      <c r="B110" s="178" t="str">
        <f t="shared" si="5"/>
        <v>CCC+</v>
      </c>
      <c r="C110" s="179" t="str">
        <f t="shared" si="6"/>
        <v>Caa1</v>
      </c>
      <c r="E110" s="144" t="s">
        <v>25</v>
      </c>
      <c r="F110" s="170" t="str">
        <f t="shared" si="4"/>
        <v>Caa1</v>
      </c>
      <c r="G110" s="170" t="str">
        <f t="shared" si="7"/>
        <v>CCC+</v>
      </c>
      <c r="K110" s="224" t="s">
        <v>27</v>
      </c>
      <c r="L110" s="225" t="s">
        <v>79</v>
      </c>
      <c r="M110" s="225" t="s">
        <v>79</v>
      </c>
      <c r="O110" s="101" t="s">
        <v>27</v>
      </c>
      <c r="P110" s="229" t="s">
        <v>215</v>
      </c>
    </row>
    <row r="111" spans="1:16" ht="19">
      <c r="A111" s="46" t="s">
        <v>26</v>
      </c>
      <c r="B111" s="178" t="str">
        <f t="shared" si="5"/>
        <v>BBB </v>
      </c>
      <c r="C111" s="179" t="str">
        <f t="shared" si="6"/>
        <v>Baa2</v>
      </c>
      <c r="E111" s="144" t="s">
        <v>26</v>
      </c>
      <c r="F111" s="170" t="str">
        <f t="shared" si="4"/>
        <v>Baa2</v>
      </c>
      <c r="G111" s="170" t="str">
        <f t="shared" si="7"/>
        <v>BBB </v>
      </c>
      <c r="K111" s="224" t="s">
        <v>28</v>
      </c>
      <c r="L111" s="225" t="s">
        <v>82</v>
      </c>
      <c r="M111" s="225" t="s">
        <v>82</v>
      </c>
      <c r="O111" s="101" t="s">
        <v>532</v>
      </c>
      <c r="P111" s="229" t="s">
        <v>514</v>
      </c>
    </row>
    <row r="112" spans="1:16" ht="19">
      <c r="A112" s="46" t="s">
        <v>9</v>
      </c>
      <c r="B112" s="178" t="str">
        <f t="shared" si="5"/>
        <v>B-</v>
      </c>
      <c r="C112" s="179" t="str">
        <f t="shared" si="6"/>
        <v>B2</v>
      </c>
      <c r="E112" s="171" t="s">
        <v>9</v>
      </c>
      <c r="F112" s="170" t="str">
        <f t="shared" si="4"/>
        <v>B2</v>
      </c>
      <c r="G112" s="170" t="str">
        <f t="shared" si="7"/>
        <v>B-</v>
      </c>
      <c r="K112" s="224" t="s">
        <v>29</v>
      </c>
      <c r="L112" s="225" t="s">
        <v>83</v>
      </c>
      <c r="M112" s="225" t="s">
        <v>83</v>
      </c>
      <c r="O112" s="101" t="s">
        <v>29</v>
      </c>
      <c r="P112" s="229" t="s">
        <v>202</v>
      </c>
    </row>
    <row r="113" spans="1:16" ht="19">
      <c r="A113" s="46" t="s">
        <v>27</v>
      </c>
      <c r="B113" s="178" t="str">
        <f t="shared" si="5"/>
        <v>BB</v>
      </c>
      <c r="C113" s="179" t="str">
        <f t="shared" si="6"/>
        <v>Ba1</v>
      </c>
      <c r="E113" s="144" t="s">
        <v>27</v>
      </c>
      <c r="F113" s="170" t="str">
        <f t="shared" si="4"/>
        <v>Ba1</v>
      </c>
      <c r="G113" s="170" t="str">
        <f t="shared" si="7"/>
        <v>BB</v>
      </c>
      <c r="K113" s="224" t="s">
        <v>30</v>
      </c>
      <c r="L113" s="225" t="s">
        <v>42</v>
      </c>
      <c r="M113" s="225" t="s">
        <v>42</v>
      </c>
      <c r="O113" s="101" t="s">
        <v>30</v>
      </c>
      <c r="P113" s="231" t="s">
        <v>198</v>
      </c>
    </row>
    <row r="114" spans="1:16" ht="19">
      <c r="A114" s="46" t="s">
        <v>28</v>
      </c>
      <c r="B114" s="178" t="str">
        <f t="shared" si="5"/>
        <v>NA</v>
      </c>
      <c r="C114" s="179" t="str">
        <f t="shared" si="6"/>
        <v>Baa1</v>
      </c>
      <c r="E114" s="144" t="s">
        <v>28</v>
      </c>
      <c r="F114" s="170" t="str">
        <f t="shared" si="4"/>
        <v>Baa1</v>
      </c>
      <c r="G114" s="170" t="s">
        <v>143</v>
      </c>
      <c r="K114" s="224" t="s">
        <v>189</v>
      </c>
      <c r="L114" s="225" t="s">
        <v>83</v>
      </c>
      <c r="M114" s="225" t="s">
        <v>83</v>
      </c>
      <c r="O114" s="101" t="s">
        <v>189</v>
      </c>
      <c r="P114" s="229" t="s">
        <v>202</v>
      </c>
    </row>
    <row r="115" spans="1:16" ht="19">
      <c r="A115" s="46" t="s">
        <v>29</v>
      </c>
      <c r="B115" s="178" t="str">
        <f t="shared" si="5"/>
        <v>BBB+</v>
      </c>
      <c r="C115" s="179" t="str">
        <f t="shared" si="6"/>
        <v>Baa2</v>
      </c>
      <c r="E115" s="144" t="s">
        <v>29</v>
      </c>
      <c r="F115" s="170" t="str">
        <f t="shared" si="4"/>
        <v>Baa2</v>
      </c>
      <c r="G115" s="170" t="str">
        <f t="shared" si="7"/>
        <v>BBB+</v>
      </c>
      <c r="K115" s="224" t="s">
        <v>74</v>
      </c>
      <c r="L115" s="225" t="s">
        <v>46</v>
      </c>
      <c r="M115" s="225" t="s">
        <v>46</v>
      </c>
      <c r="O115" s="101" t="s">
        <v>386</v>
      </c>
      <c r="P115" s="230" t="s">
        <v>517</v>
      </c>
    </row>
    <row r="116" spans="1:16" ht="19">
      <c r="A116" s="46" t="s">
        <v>30</v>
      </c>
      <c r="B116" s="178" t="str">
        <f t="shared" si="5"/>
        <v>A-</v>
      </c>
      <c r="C116" s="179" t="str">
        <f t="shared" si="6"/>
        <v>A2</v>
      </c>
      <c r="E116" s="144" t="s">
        <v>30</v>
      </c>
      <c r="F116" s="170" t="str">
        <f t="shared" si="4"/>
        <v>A2</v>
      </c>
      <c r="G116" s="170" t="str">
        <f t="shared" si="7"/>
        <v>A-</v>
      </c>
      <c r="K116" s="224" t="s">
        <v>274</v>
      </c>
      <c r="L116" s="225" t="s">
        <v>58</v>
      </c>
      <c r="M116" s="225" t="s">
        <v>58</v>
      </c>
      <c r="O116" s="101" t="s">
        <v>74</v>
      </c>
      <c r="P116" s="231" t="s">
        <v>207</v>
      </c>
    </row>
    <row r="117" spans="1:16" ht="19">
      <c r="A117" s="46" t="s">
        <v>189</v>
      </c>
      <c r="B117" s="178" t="str">
        <f t="shared" si="5"/>
        <v>BBB+</v>
      </c>
      <c r="C117" s="179" t="str">
        <f t="shared" si="6"/>
        <v>Baa2</v>
      </c>
      <c r="E117" s="144" t="s">
        <v>189</v>
      </c>
      <c r="F117" s="170" t="str">
        <f t="shared" si="4"/>
        <v>Baa2</v>
      </c>
      <c r="G117" s="170" t="str">
        <f t="shared" si="7"/>
        <v>BBB+</v>
      </c>
      <c r="K117" s="224" t="s">
        <v>0</v>
      </c>
      <c r="L117" s="225" t="s">
        <v>124</v>
      </c>
      <c r="M117" s="225" t="s">
        <v>124</v>
      </c>
      <c r="O117" s="101" t="s">
        <v>274</v>
      </c>
      <c r="P117" s="230" t="s">
        <v>218</v>
      </c>
    </row>
    <row r="118" spans="1:16" ht="19">
      <c r="A118" s="46" t="s">
        <v>74</v>
      </c>
      <c r="B118" s="178" t="str">
        <f t="shared" si="5"/>
        <v>AA</v>
      </c>
      <c r="C118" s="179" t="str">
        <f t="shared" si="6"/>
        <v>Aa3</v>
      </c>
      <c r="E118" s="144" t="s">
        <v>74</v>
      </c>
      <c r="F118" s="170" t="str">
        <f t="shared" si="4"/>
        <v>Aa3</v>
      </c>
      <c r="G118" s="170" t="str">
        <f t="shared" si="7"/>
        <v>AA</v>
      </c>
      <c r="K118" s="226" t="s">
        <v>1</v>
      </c>
      <c r="L118" s="227" t="s">
        <v>100</v>
      </c>
      <c r="M118" s="227" t="s">
        <v>100</v>
      </c>
      <c r="O118" s="101" t="s">
        <v>0</v>
      </c>
      <c r="P118" s="229" t="s">
        <v>205</v>
      </c>
    </row>
    <row r="119" spans="1:16" ht="19">
      <c r="A119" s="46" t="s">
        <v>291</v>
      </c>
      <c r="B119" s="178" t="s">
        <v>198</v>
      </c>
      <c r="C119" s="179" t="s">
        <v>43</v>
      </c>
      <c r="E119" s="177" t="s">
        <v>291</v>
      </c>
      <c r="F119" s="170" t="s">
        <v>143</v>
      </c>
      <c r="G119" s="170" t="s">
        <v>143</v>
      </c>
      <c r="K119" s="226" t="s">
        <v>227</v>
      </c>
      <c r="L119" s="227" t="s">
        <v>49</v>
      </c>
      <c r="M119" s="227" t="s">
        <v>49</v>
      </c>
      <c r="O119" s="101" t="s">
        <v>1</v>
      </c>
      <c r="P119" s="230" t="s">
        <v>277</v>
      </c>
    </row>
    <row r="120" spans="1:16" ht="19">
      <c r="A120" s="46" t="s">
        <v>0</v>
      </c>
      <c r="B120" s="178" t="str">
        <f t="shared" si="5"/>
        <v>BBB-</v>
      </c>
      <c r="C120" s="179" t="str">
        <f t="shared" si="6"/>
        <v>Baa3</v>
      </c>
      <c r="E120" s="144" t="s">
        <v>0</v>
      </c>
      <c r="F120" s="170" t="str">
        <f t="shared" si="4"/>
        <v>Baa3</v>
      </c>
      <c r="G120" s="170" t="str">
        <f t="shared" si="7"/>
        <v>BBB-</v>
      </c>
      <c r="K120" s="224" t="s">
        <v>2</v>
      </c>
      <c r="L120" s="225" t="s">
        <v>41</v>
      </c>
      <c r="M120" s="225" t="s">
        <v>41</v>
      </c>
      <c r="O120" s="101" t="s">
        <v>227</v>
      </c>
      <c r="P120" s="229" t="s">
        <v>143</v>
      </c>
    </row>
    <row r="121" spans="1:16" ht="19">
      <c r="A121" s="46" t="s">
        <v>1</v>
      </c>
      <c r="B121" s="178" t="str">
        <f t="shared" si="5"/>
        <v>NA</v>
      </c>
      <c r="C121" s="179" t="str">
        <f t="shared" si="6"/>
        <v>Caa1</v>
      </c>
      <c r="E121" s="171" t="s">
        <v>1</v>
      </c>
      <c r="F121" s="170" t="s">
        <v>100</v>
      </c>
      <c r="G121" s="170" t="s">
        <v>143</v>
      </c>
      <c r="K121" s="224" t="s">
        <v>135</v>
      </c>
      <c r="L121" s="225" t="s">
        <v>81</v>
      </c>
      <c r="M121" s="225" t="s">
        <v>81</v>
      </c>
      <c r="O121" s="101" t="s">
        <v>450</v>
      </c>
      <c r="P121" s="230" t="s">
        <v>143</v>
      </c>
    </row>
    <row r="122" spans="1:16" ht="19">
      <c r="A122" s="46" t="s">
        <v>227</v>
      </c>
      <c r="B122" s="178" t="str">
        <f t="shared" si="5"/>
        <v>NA</v>
      </c>
      <c r="C122" s="179" t="str">
        <f t="shared" si="6"/>
        <v>B2</v>
      </c>
      <c r="E122" s="171" t="s">
        <v>227</v>
      </c>
      <c r="F122" s="170" t="str">
        <f t="shared" si="4"/>
        <v>B2</v>
      </c>
      <c r="G122" s="170" t="str">
        <f t="shared" si="7"/>
        <v>NA</v>
      </c>
      <c r="K122" s="224" t="s">
        <v>147</v>
      </c>
      <c r="L122" s="225" t="s">
        <v>80</v>
      </c>
      <c r="M122" s="225" t="s">
        <v>80</v>
      </c>
      <c r="O122" s="101" t="s">
        <v>2</v>
      </c>
      <c r="P122" s="231" t="s">
        <v>516</v>
      </c>
    </row>
    <row r="123" spans="1:16" ht="19">
      <c r="A123" s="46" t="s">
        <v>2</v>
      </c>
      <c r="B123" s="178" t="str">
        <f t="shared" si="5"/>
        <v>A- </v>
      </c>
      <c r="C123" s="179" t="str">
        <f t="shared" si="6"/>
        <v>A1</v>
      </c>
      <c r="E123" s="144" t="s">
        <v>2</v>
      </c>
      <c r="F123" s="170" t="str">
        <f t="shared" si="4"/>
        <v>A1</v>
      </c>
      <c r="G123" s="170" t="str">
        <f t="shared" si="7"/>
        <v>A- </v>
      </c>
      <c r="K123" s="224" t="s">
        <v>285</v>
      </c>
      <c r="L123" s="225" t="s">
        <v>79</v>
      </c>
      <c r="M123" s="225" t="s">
        <v>79</v>
      </c>
      <c r="O123" s="101" t="s">
        <v>135</v>
      </c>
      <c r="P123" s="229" t="s">
        <v>196</v>
      </c>
    </row>
    <row r="124" spans="1:16" ht="19">
      <c r="A124" s="46" t="s">
        <v>135</v>
      </c>
      <c r="B124" s="178" t="str">
        <f t="shared" si="5"/>
        <v>B+</v>
      </c>
      <c r="C124" s="179" t="str">
        <f t="shared" si="6"/>
        <v>Ba3</v>
      </c>
      <c r="E124" s="144" t="s">
        <v>135</v>
      </c>
      <c r="F124" s="170" t="str">
        <f t="shared" si="4"/>
        <v>Ba3</v>
      </c>
      <c r="G124" s="170" t="str">
        <f t="shared" si="7"/>
        <v>B+</v>
      </c>
      <c r="K124" s="224" t="s">
        <v>3</v>
      </c>
      <c r="L124" s="225" t="s">
        <v>47</v>
      </c>
      <c r="M124" s="225" t="s">
        <v>47</v>
      </c>
      <c r="O124" s="101" t="s">
        <v>147</v>
      </c>
      <c r="P124" s="229" t="s">
        <v>216</v>
      </c>
    </row>
    <row r="125" spans="1:16" ht="19">
      <c r="A125" s="46" t="s">
        <v>147</v>
      </c>
      <c r="B125" s="178" t="str">
        <f t="shared" si="5"/>
        <v>BB+</v>
      </c>
      <c r="C125" s="179" t="str">
        <f t="shared" si="6"/>
        <v>Ba2</v>
      </c>
      <c r="E125" s="144" t="s">
        <v>147</v>
      </c>
      <c r="F125" s="170" t="str">
        <f t="shared" si="4"/>
        <v>Ba2</v>
      </c>
      <c r="G125" s="170" t="str">
        <f t="shared" si="7"/>
        <v>BB+</v>
      </c>
      <c r="K125" s="224" t="s">
        <v>61</v>
      </c>
      <c r="L125" s="225" t="s">
        <v>42</v>
      </c>
      <c r="M125" s="225" t="s">
        <v>42</v>
      </c>
      <c r="O125" s="101" t="s">
        <v>408</v>
      </c>
      <c r="P125" s="230" t="s">
        <v>143</v>
      </c>
    </row>
    <row r="126" spans="1:16" ht="19">
      <c r="A126" s="46" t="s">
        <v>285</v>
      </c>
      <c r="B126" s="178" t="str">
        <f t="shared" si="5"/>
        <v>NA</v>
      </c>
      <c r="C126" s="179" t="str">
        <f t="shared" si="6"/>
        <v>Ba1</v>
      </c>
      <c r="E126" s="144" t="s">
        <v>285</v>
      </c>
      <c r="F126" s="170" t="str">
        <f t="shared" si="4"/>
        <v>Ba1</v>
      </c>
      <c r="G126" s="170" t="s">
        <v>143</v>
      </c>
      <c r="K126" s="224" t="s">
        <v>190</v>
      </c>
      <c r="L126" s="225" t="s">
        <v>43</v>
      </c>
      <c r="M126" s="225" t="s">
        <v>43</v>
      </c>
      <c r="O126" s="101" t="s">
        <v>518</v>
      </c>
      <c r="P126" s="231" t="s">
        <v>203</v>
      </c>
    </row>
    <row r="127" spans="1:16" ht="19">
      <c r="A127" s="46" t="s">
        <v>3</v>
      </c>
      <c r="B127" s="178" t="str">
        <f t="shared" si="5"/>
        <v>AAA</v>
      </c>
      <c r="C127" s="179" t="str">
        <f t="shared" si="6"/>
        <v>Aaa</v>
      </c>
      <c r="E127" s="144" t="s">
        <v>3</v>
      </c>
      <c r="F127" s="170" t="str">
        <f t="shared" si="4"/>
        <v>Aaa</v>
      </c>
      <c r="G127" s="170" t="s">
        <v>203</v>
      </c>
      <c r="K127" s="224" t="s">
        <v>411</v>
      </c>
      <c r="L127" s="225" t="s">
        <v>100</v>
      </c>
      <c r="M127" s="225" t="s">
        <v>100</v>
      </c>
      <c r="O127" s="101" t="s">
        <v>61</v>
      </c>
      <c r="P127" s="231" t="s">
        <v>531</v>
      </c>
    </row>
    <row r="128" spans="1:16" ht="19">
      <c r="A128" s="46" t="s">
        <v>61</v>
      </c>
      <c r="B128" s="178" t="str">
        <f t="shared" si="5"/>
        <v>A+ </v>
      </c>
      <c r="C128" s="179" t="str">
        <f t="shared" si="6"/>
        <v>A2</v>
      </c>
      <c r="E128" s="144" t="s">
        <v>61</v>
      </c>
      <c r="F128" s="170" t="str">
        <f t="shared" si="4"/>
        <v>A2</v>
      </c>
      <c r="G128" s="170" t="str">
        <f t="shared" si="7"/>
        <v>A+ </v>
      </c>
      <c r="K128" s="224" t="s">
        <v>76</v>
      </c>
      <c r="L128" s="225" t="s">
        <v>80</v>
      </c>
      <c r="M128" s="225" t="s">
        <v>80</v>
      </c>
      <c r="O128" s="101" t="s">
        <v>190</v>
      </c>
      <c r="P128" s="231" t="s">
        <v>210</v>
      </c>
    </row>
    <row r="129" spans="1:16" ht="19">
      <c r="A129" s="46" t="s">
        <v>190</v>
      </c>
      <c r="B129" s="178" t="str">
        <f t="shared" si="5"/>
        <v>AA-</v>
      </c>
      <c r="C129" s="179" t="str">
        <f t="shared" si="6"/>
        <v>A3</v>
      </c>
      <c r="E129" s="144" t="s">
        <v>190</v>
      </c>
      <c r="F129" s="170" t="str">
        <f t="shared" si="4"/>
        <v>A3</v>
      </c>
      <c r="G129" s="170" t="str">
        <f t="shared" si="7"/>
        <v>AA-</v>
      </c>
      <c r="K129" s="224" t="s">
        <v>138</v>
      </c>
      <c r="L129" s="225" t="s">
        <v>82</v>
      </c>
      <c r="M129" s="225" t="s">
        <v>82</v>
      </c>
      <c r="O129" s="101" t="s">
        <v>411</v>
      </c>
      <c r="P129" s="230" t="s">
        <v>143</v>
      </c>
    </row>
    <row r="130" spans="1:16" ht="19">
      <c r="A130" s="46" t="s">
        <v>411</v>
      </c>
      <c r="B130" s="178" t="str">
        <f t="shared" si="5"/>
        <v>NA</v>
      </c>
      <c r="C130" s="179" t="str">
        <f t="shared" si="6"/>
        <v>Caa1</v>
      </c>
      <c r="E130" s="144" t="s">
        <v>411</v>
      </c>
      <c r="F130" s="170" t="str">
        <f t="shared" ref="F130:F158" si="8">VLOOKUP(E130,$K$2:$M$153,2,FALSE)</f>
        <v>Caa1</v>
      </c>
      <c r="G130" s="170" t="str">
        <f t="shared" si="7"/>
        <v>NA</v>
      </c>
      <c r="K130" s="224" t="s">
        <v>134</v>
      </c>
      <c r="L130" s="225" t="s">
        <v>346</v>
      </c>
      <c r="M130" s="225" t="s">
        <v>565</v>
      </c>
      <c r="O130" s="101" t="s">
        <v>76</v>
      </c>
      <c r="P130" s="229" t="s">
        <v>556</v>
      </c>
    </row>
    <row r="131" spans="1:16" ht="19">
      <c r="A131" s="46" t="s">
        <v>76</v>
      </c>
      <c r="B131" s="178" t="str">
        <f t="shared" ref="B131:B158" si="9">G131</f>
        <v>BB- </v>
      </c>
      <c r="C131" s="179" t="str">
        <f t="shared" ref="C131:C158" si="10">F131</f>
        <v>Ba2</v>
      </c>
      <c r="E131" s="144" t="s">
        <v>76</v>
      </c>
      <c r="F131" s="170" t="str">
        <f t="shared" si="8"/>
        <v>Ba2</v>
      </c>
      <c r="G131" s="170" t="str">
        <f t="shared" ref="G131:G157" si="11">VLOOKUP(E131,$O$2:$P$157,2,FALSE)</f>
        <v>BB- </v>
      </c>
      <c r="K131" s="224" t="s">
        <v>453</v>
      </c>
      <c r="L131" s="225" t="s">
        <v>554</v>
      </c>
      <c r="M131" s="225" t="s">
        <v>554</v>
      </c>
      <c r="O131" s="101" t="s">
        <v>519</v>
      </c>
      <c r="P131" s="231" t="s">
        <v>207</v>
      </c>
    </row>
    <row r="132" spans="1:16" ht="19">
      <c r="A132" s="46" t="s">
        <v>138</v>
      </c>
      <c r="B132" s="178" t="str">
        <f t="shared" si="9"/>
        <v>A</v>
      </c>
      <c r="C132" s="179" t="str">
        <f t="shared" si="10"/>
        <v>Baa1</v>
      </c>
      <c r="E132" s="144" t="s">
        <v>138</v>
      </c>
      <c r="F132" s="170" t="str">
        <f t="shared" si="8"/>
        <v>Baa1</v>
      </c>
      <c r="G132" s="170" t="str">
        <f t="shared" si="11"/>
        <v>A</v>
      </c>
      <c r="K132" s="224" t="s">
        <v>10</v>
      </c>
      <c r="L132" s="225" t="s">
        <v>78</v>
      </c>
      <c r="M132" s="225" t="s">
        <v>78</v>
      </c>
      <c r="O132" s="101" t="s">
        <v>138</v>
      </c>
      <c r="P132" s="231" t="s">
        <v>224</v>
      </c>
    </row>
    <row r="133" spans="1:16" ht="19">
      <c r="A133" s="46" t="s">
        <v>134</v>
      </c>
      <c r="B133" s="178" t="str">
        <f t="shared" si="9"/>
        <v>SD</v>
      </c>
      <c r="C133" s="179" t="str">
        <f t="shared" si="10"/>
        <v>Ca</v>
      </c>
      <c r="E133" s="144" t="s">
        <v>134</v>
      </c>
      <c r="F133" s="170" t="str">
        <f t="shared" si="8"/>
        <v>Ca</v>
      </c>
      <c r="G133" s="170" t="str">
        <f t="shared" si="11"/>
        <v>SD</v>
      </c>
      <c r="K133" s="224" t="s">
        <v>33</v>
      </c>
      <c r="L133" s="225" t="s">
        <v>62</v>
      </c>
      <c r="M133" s="225" t="s">
        <v>62</v>
      </c>
      <c r="O133" s="101" t="s">
        <v>134</v>
      </c>
      <c r="P133" s="230" t="s">
        <v>557</v>
      </c>
    </row>
    <row r="134" spans="1:16" ht="19">
      <c r="A134" s="46" t="s">
        <v>191</v>
      </c>
      <c r="B134" s="178" t="s">
        <v>143</v>
      </c>
      <c r="C134" s="179" t="s">
        <v>80</v>
      </c>
      <c r="E134" s="144" t="s">
        <v>453</v>
      </c>
      <c r="F134" s="170" t="s">
        <v>143</v>
      </c>
      <c r="G134" s="170" t="s">
        <v>143</v>
      </c>
      <c r="K134" s="224" t="s">
        <v>34</v>
      </c>
      <c r="L134" s="225" t="s">
        <v>47</v>
      </c>
      <c r="M134" s="225" t="s">
        <v>47</v>
      </c>
      <c r="O134" s="101" t="s">
        <v>520</v>
      </c>
      <c r="P134" s="230" t="s">
        <v>143</v>
      </c>
    </row>
    <row r="135" spans="1:16" ht="19">
      <c r="A135" s="46" t="s">
        <v>10</v>
      </c>
      <c r="B135" s="178" t="str">
        <f t="shared" si="9"/>
        <v>NA</v>
      </c>
      <c r="C135" s="179" t="str">
        <f t="shared" si="10"/>
        <v>B3</v>
      </c>
      <c r="E135" s="144" t="s">
        <v>10</v>
      </c>
      <c r="F135" s="170" t="str">
        <f t="shared" si="8"/>
        <v>B3</v>
      </c>
      <c r="G135" s="170" t="s">
        <v>143</v>
      </c>
      <c r="K135" s="224" t="s">
        <v>35</v>
      </c>
      <c r="L135" s="225" t="s">
        <v>47</v>
      </c>
      <c r="M135" s="225" t="s">
        <v>47</v>
      </c>
      <c r="O135" s="101" t="s">
        <v>33</v>
      </c>
      <c r="P135" s="230" t="s">
        <v>557</v>
      </c>
    </row>
    <row r="136" spans="1:16" ht="19">
      <c r="A136" s="46" t="s">
        <v>33</v>
      </c>
      <c r="B136" s="178" t="str">
        <f t="shared" si="9"/>
        <v>NA</v>
      </c>
      <c r="C136" s="179" t="str">
        <f t="shared" si="10"/>
        <v>Caa3</v>
      </c>
      <c r="E136" s="144" t="s">
        <v>33</v>
      </c>
      <c r="F136" s="170" t="str">
        <f t="shared" si="8"/>
        <v>Caa3</v>
      </c>
      <c r="G136" s="170" t="s">
        <v>143</v>
      </c>
      <c r="K136" s="224" t="s">
        <v>509</v>
      </c>
      <c r="L136" s="225" t="s">
        <v>46</v>
      </c>
      <c r="M136" s="225" t="s">
        <v>46</v>
      </c>
      <c r="O136" s="101" t="s">
        <v>398</v>
      </c>
      <c r="P136" s="230" t="s">
        <v>143</v>
      </c>
    </row>
    <row r="137" spans="1:16" ht="19">
      <c r="A137" s="46" t="s">
        <v>398</v>
      </c>
      <c r="B137" s="178" t="str">
        <f t="shared" si="9"/>
        <v>NA</v>
      </c>
      <c r="C137" s="179" t="str">
        <f t="shared" si="10"/>
        <v>B3</v>
      </c>
      <c r="E137" s="144" t="s">
        <v>496</v>
      </c>
      <c r="F137" s="170" t="str">
        <f t="shared" si="8"/>
        <v>B3</v>
      </c>
      <c r="G137" s="170" t="s">
        <v>143</v>
      </c>
      <c r="K137" s="224" t="s">
        <v>395</v>
      </c>
      <c r="L137" s="225" t="s">
        <v>78</v>
      </c>
      <c r="M137" s="225" t="s">
        <v>78</v>
      </c>
      <c r="O137" s="101" t="s">
        <v>34</v>
      </c>
      <c r="P137" s="231" t="s">
        <v>203</v>
      </c>
    </row>
    <row r="138" spans="1:16" ht="19">
      <c r="A138" s="46" t="s">
        <v>34</v>
      </c>
      <c r="B138" s="178" t="str">
        <f t="shared" si="9"/>
        <v>AAA</v>
      </c>
      <c r="C138" s="179" t="str">
        <f t="shared" si="10"/>
        <v>Aaa</v>
      </c>
      <c r="E138" s="144" t="s">
        <v>34</v>
      </c>
      <c r="F138" s="170" t="str">
        <f t="shared" si="8"/>
        <v>Aaa</v>
      </c>
      <c r="G138" s="170" t="str">
        <f t="shared" si="11"/>
        <v>AAA</v>
      </c>
      <c r="K138" s="224" t="s">
        <v>332</v>
      </c>
      <c r="L138" s="225" t="s">
        <v>49</v>
      </c>
      <c r="M138" s="225" t="s">
        <v>49</v>
      </c>
      <c r="O138" s="101" t="s">
        <v>35</v>
      </c>
      <c r="P138" s="231" t="s">
        <v>203</v>
      </c>
    </row>
    <row r="139" spans="1:16" ht="19">
      <c r="A139" s="46" t="s">
        <v>35</v>
      </c>
      <c r="B139" s="178" t="str">
        <f t="shared" si="9"/>
        <v>AAA</v>
      </c>
      <c r="C139" s="179" t="str">
        <f t="shared" si="10"/>
        <v>Aaa</v>
      </c>
      <c r="E139" s="144" t="s">
        <v>35</v>
      </c>
      <c r="F139" s="170" t="str">
        <f t="shared" si="8"/>
        <v>Aaa</v>
      </c>
      <c r="G139" s="170" t="str">
        <f t="shared" si="11"/>
        <v>AAA</v>
      </c>
      <c r="K139" s="224" t="s">
        <v>65</v>
      </c>
      <c r="L139" s="225" t="s">
        <v>82</v>
      </c>
      <c r="M139" s="225" t="s">
        <v>82</v>
      </c>
      <c r="O139" s="101" t="s">
        <v>64</v>
      </c>
      <c r="P139" s="231" t="s">
        <v>204</v>
      </c>
    </row>
    <row r="140" spans="1:16" ht="19">
      <c r="A140" s="46" t="s">
        <v>64</v>
      </c>
      <c r="B140" s="178" t="str">
        <f t="shared" si="9"/>
        <v>AA+</v>
      </c>
      <c r="C140" s="179" t="str">
        <f t="shared" si="10"/>
        <v>Aa3</v>
      </c>
      <c r="E140" s="144" t="s">
        <v>64</v>
      </c>
      <c r="F140" s="170" t="s">
        <v>46</v>
      </c>
      <c r="G140" s="170" t="str">
        <f t="shared" si="11"/>
        <v>AA+</v>
      </c>
      <c r="K140" s="224" t="s">
        <v>324</v>
      </c>
      <c r="L140" s="225" t="s">
        <v>78</v>
      </c>
      <c r="M140" s="225" t="s">
        <v>78</v>
      </c>
      <c r="O140" s="101" t="s">
        <v>395</v>
      </c>
      <c r="P140" s="229" t="s">
        <v>200</v>
      </c>
    </row>
    <row r="141" spans="1:16" ht="19">
      <c r="A141" s="102" t="s">
        <v>395</v>
      </c>
      <c r="B141" s="178" t="str">
        <f t="shared" si="9"/>
        <v>B-</v>
      </c>
      <c r="C141" s="179" t="str">
        <f t="shared" si="10"/>
        <v>B3</v>
      </c>
      <c r="E141" s="144" t="s">
        <v>395</v>
      </c>
      <c r="F141" s="170" t="str">
        <f t="shared" si="8"/>
        <v>B3</v>
      </c>
      <c r="G141" s="170" t="str">
        <f t="shared" si="11"/>
        <v>B-</v>
      </c>
      <c r="K141" s="226" t="s">
        <v>11</v>
      </c>
      <c r="L141" s="225" t="s">
        <v>80</v>
      </c>
      <c r="M141" s="225" t="s">
        <v>80</v>
      </c>
      <c r="O141" s="101" t="s">
        <v>332</v>
      </c>
      <c r="P141" s="230"/>
    </row>
    <row r="142" spans="1:16" ht="19">
      <c r="A142" s="102" t="s">
        <v>332</v>
      </c>
      <c r="B142" s="178" t="str">
        <f t="shared" si="9"/>
        <v>NA</v>
      </c>
      <c r="C142" s="179" t="str">
        <f t="shared" si="10"/>
        <v>B2</v>
      </c>
      <c r="E142" s="144" t="s">
        <v>332</v>
      </c>
      <c r="F142" s="170" t="str">
        <f t="shared" si="8"/>
        <v>B2</v>
      </c>
      <c r="G142" s="170" t="s">
        <v>143</v>
      </c>
      <c r="K142" s="224" t="s">
        <v>77</v>
      </c>
      <c r="L142" s="225" t="s">
        <v>100</v>
      </c>
      <c r="M142" s="225" t="s">
        <v>100</v>
      </c>
      <c r="O142" s="101" t="s">
        <v>65</v>
      </c>
      <c r="P142" s="229" t="s">
        <v>202</v>
      </c>
    </row>
    <row r="143" spans="1:16" ht="19">
      <c r="A143" s="46" t="s">
        <v>65</v>
      </c>
      <c r="B143" s="178" t="str">
        <f t="shared" si="9"/>
        <v>BBB+</v>
      </c>
      <c r="C143" s="179" t="str">
        <f t="shared" si="10"/>
        <v>Baa1</v>
      </c>
      <c r="E143" s="144" t="s">
        <v>65</v>
      </c>
      <c r="F143" s="170" t="str">
        <f t="shared" si="8"/>
        <v>Baa1</v>
      </c>
      <c r="G143" s="170" t="str">
        <f t="shared" si="11"/>
        <v>BBB+</v>
      </c>
      <c r="K143" s="224" t="s">
        <v>566</v>
      </c>
      <c r="L143" s="225" t="s">
        <v>78</v>
      </c>
      <c r="M143" s="225" t="s">
        <v>78</v>
      </c>
      <c r="O143" s="101" t="s">
        <v>324</v>
      </c>
      <c r="P143" s="229" t="s">
        <v>209</v>
      </c>
    </row>
    <row r="144" spans="1:16" ht="19">
      <c r="A144" s="141" t="s">
        <v>324</v>
      </c>
      <c r="B144" s="178" t="str">
        <f t="shared" si="9"/>
        <v>B</v>
      </c>
      <c r="C144" s="179" t="str">
        <f t="shared" si="10"/>
        <v>B3</v>
      </c>
      <c r="E144" s="144" t="s">
        <v>324</v>
      </c>
      <c r="F144" s="170" t="str">
        <f t="shared" si="8"/>
        <v>B3</v>
      </c>
      <c r="G144" s="170" t="str">
        <f t="shared" si="11"/>
        <v>B</v>
      </c>
      <c r="K144" s="224" t="s">
        <v>228</v>
      </c>
      <c r="L144" s="225" t="s">
        <v>49</v>
      </c>
      <c r="M144" s="225" t="s">
        <v>49</v>
      </c>
      <c r="O144" s="101" t="s">
        <v>11</v>
      </c>
      <c r="P144" s="229" t="s">
        <v>205</v>
      </c>
    </row>
    <row r="145" spans="1:16" ht="19">
      <c r="A145" s="46" t="s">
        <v>11</v>
      </c>
      <c r="B145" s="178" t="str">
        <f t="shared" si="9"/>
        <v>BBB-</v>
      </c>
      <c r="C145" s="179" t="str">
        <f t="shared" si="10"/>
        <v>Ba2</v>
      </c>
      <c r="E145" s="171" t="s">
        <v>11</v>
      </c>
      <c r="F145" s="170" t="str">
        <f t="shared" si="8"/>
        <v>Ba2</v>
      </c>
      <c r="G145" s="170" t="str">
        <f t="shared" si="11"/>
        <v>BBB-</v>
      </c>
      <c r="K145" s="224" t="s">
        <v>68</v>
      </c>
      <c r="L145" s="225" t="s">
        <v>62</v>
      </c>
      <c r="M145" s="225" t="s">
        <v>62</v>
      </c>
      <c r="O145" s="101" t="s">
        <v>77</v>
      </c>
      <c r="P145" s="231" t="s">
        <v>511</v>
      </c>
    </row>
    <row r="146" spans="1:16" ht="19">
      <c r="A146" s="46" t="s">
        <v>77</v>
      </c>
      <c r="B146" s="178" t="str">
        <f t="shared" si="9"/>
        <v>N/A</v>
      </c>
      <c r="C146" s="179" t="str">
        <f t="shared" si="10"/>
        <v>Caa1</v>
      </c>
      <c r="E146" s="144" t="s">
        <v>77</v>
      </c>
      <c r="F146" s="170" t="str">
        <f t="shared" si="8"/>
        <v>Caa1</v>
      </c>
      <c r="G146" s="170" t="str">
        <f t="shared" si="11"/>
        <v>N/A</v>
      </c>
      <c r="K146" s="224" t="s">
        <v>60</v>
      </c>
      <c r="L146" s="225" t="s">
        <v>45</v>
      </c>
      <c r="M146" s="225" t="s">
        <v>45</v>
      </c>
      <c r="O146" s="101" t="s">
        <v>521</v>
      </c>
      <c r="P146" s="229" t="s">
        <v>209</v>
      </c>
    </row>
    <row r="147" spans="1:16" ht="19">
      <c r="A147" s="46" t="s">
        <v>66</v>
      </c>
      <c r="B147" s="178" t="str">
        <f t="shared" si="9"/>
        <v>B</v>
      </c>
      <c r="C147" s="179" t="str">
        <f t="shared" si="10"/>
        <v>B3</v>
      </c>
      <c r="E147" s="144" t="s">
        <v>66</v>
      </c>
      <c r="F147" s="170" t="s">
        <v>78</v>
      </c>
      <c r="G147" s="170" t="s">
        <v>209</v>
      </c>
      <c r="K147" s="224" t="s">
        <v>57</v>
      </c>
      <c r="L147" s="225" t="s">
        <v>46</v>
      </c>
      <c r="M147" s="225" t="s">
        <v>46</v>
      </c>
      <c r="O147" s="101" t="s">
        <v>67</v>
      </c>
      <c r="P147" s="230" t="s">
        <v>143</v>
      </c>
    </row>
    <row r="148" spans="1:16" ht="19">
      <c r="A148" s="46" t="s">
        <v>292</v>
      </c>
      <c r="B148" s="178" t="s">
        <v>202</v>
      </c>
      <c r="C148" s="179" t="s">
        <v>82</v>
      </c>
      <c r="E148" s="177" t="s">
        <v>292</v>
      </c>
      <c r="F148" s="170" t="s">
        <v>143</v>
      </c>
      <c r="G148" s="170" t="s">
        <v>143</v>
      </c>
      <c r="K148" s="224" t="s">
        <v>12</v>
      </c>
      <c r="L148" s="225" t="s">
        <v>47</v>
      </c>
      <c r="M148" s="225" t="s">
        <v>47</v>
      </c>
      <c r="O148" s="101" t="s">
        <v>228</v>
      </c>
      <c r="P148" s="229" t="s">
        <v>569</v>
      </c>
    </row>
    <row r="149" spans="1:16" ht="19">
      <c r="A149" s="46" t="s">
        <v>228</v>
      </c>
      <c r="B149" s="178" t="str">
        <f t="shared" si="9"/>
        <v>B </v>
      </c>
      <c r="C149" s="179" t="str">
        <f t="shared" si="10"/>
        <v>B2</v>
      </c>
      <c r="E149" s="144" t="s">
        <v>228</v>
      </c>
      <c r="F149" s="170" t="str">
        <f t="shared" si="8"/>
        <v>B2</v>
      </c>
      <c r="G149" s="170" t="str">
        <f t="shared" si="11"/>
        <v>B </v>
      </c>
      <c r="K149" s="224" t="s">
        <v>387</v>
      </c>
      <c r="L149" s="225" t="s">
        <v>48</v>
      </c>
      <c r="M149" s="225" t="s">
        <v>48</v>
      </c>
      <c r="O149" s="101" t="s">
        <v>68</v>
      </c>
      <c r="P149" s="230" t="s">
        <v>218</v>
      </c>
    </row>
    <row r="150" spans="1:16" ht="19">
      <c r="A150" s="46" t="s">
        <v>68</v>
      </c>
      <c r="B150" s="178" t="str">
        <f t="shared" si="9"/>
        <v>CCC+</v>
      </c>
      <c r="C150" s="179" t="str">
        <f t="shared" si="10"/>
        <v>Caa3</v>
      </c>
      <c r="E150" s="144" t="s">
        <v>68</v>
      </c>
      <c r="F150" s="170" t="str">
        <f t="shared" si="8"/>
        <v>Caa3</v>
      </c>
      <c r="G150" s="170" t="str">
        <f t="shared" si="11"/>
        <v>CCC+</v>
      </c>
      <c r="K150" s="224" t="s">
        <v>69</v>
      </c>
      <c r="L150" s="225" t="s">
        <v>83</v>
      </c>
      <c r="M150" s="225" t="s">
        <v>83</v>
      </c>
      <c r="O150" s="101" t="s">
        <v>60</v>
      </c>
      <c r="P150" s="231" t="s">
        <v>207</v>
      </c>
    </row>
    <row r="151" spans="1:16" ht="19">
      <c r="A151" s="46" t="s">
        <v>60</v>
      </c>
      <c r="B151" s="178" t="str">
        <f t="shared" si="9"/>
        <v>AA</v>
      </c>
      <c r="C151" s="179" t="str">
        <f t="shared" si="10"/>
        <v>Aa2</v>
      </c>
      <c r="E151" s="144" t="s">
        <v>60</v>
      </c>
      <c r="F151" s="170" t="str">
        <f t="shared" si="8"/>
        <v>Aa2</v>
      </c>
      <c r="G151" s="170" t="str">
        <f t="shared" si="11"/>
        <v>AA</v>
      </c>
      <c r="K151" s="224" t="s">
        <v>70</v>
      </c>
      <c r="L151" s="225" t="s">
        <v>137</v>
      </c>
      <c r="M151" s="225" t="s">
        <v>554</v>
      </c>
      <c r="O151" s="101" t="s">
        <v>57</v>
      </c>
      <c r="P151" s="231" t="s">
        <v>568</v>
      </c>
    </row>
    <row r="152" spans="1:16" ht="19">
      <c r="A152" s="46" t="s">
        <v>57</v>
      </c>
      <c r="B152" s="178" t="str">
        <f t="shared" si="9"/>
        <v>AA </v>
      </c>
      <c r="C152" s="179" t="str">
        <f t="shared" si="10"/>
        <v>Aa3</v>
      </c>
      <c r="E152" s="144" t="s">
        <v>57</v>
      </c>
      <c r="F152" s="170" t="str">
        <f t="shared" si="8"/>
        <v>Aa3</v>
      </c>
      <c r="G152" s="170" t="str">
        <f t="shared" si="11"/>
        <v>AA </v>
      </c>
      <c r="K152" s="224" t="s">
        <v>71</v>
      </c>
      <c r="L152" s="225" t="s">
        <v>80</v>
      </c>
      <c r="M152" s="225" t="s">
        <v>80</v>
      </c>
      <c r="O152" s="101" t="s">
        <v>356</v>
      </c>
      <c r="P152" s="231" t="s">
        <v>204</v>
      </c>
    </row>
    <row r="153" spans="1:16" ht="19">
      <c r="A153" s="46" t="s">
        <v>356</v>
      </c>
      <c r="B153" s="178" t="str">
        <f t="shared" si="9"/>
        <v>AA+</v>
      </c>
      <c r="C153" s="179" t="str">
        <f t="shared" si="10"/>
        <v>Aaa</v>
      </c>
      <c r="E153" s="144" t="s">
        <v>12</v>
      </c>
      <c r="F153" s="170" t="str">
        <f t="shared" si="8"/>
        <v>Aaa</v>
      </c>
      <c r="G153" s="170" t="s">
        <v>204</v>
      </c>
      <c r="K153" s="224" t="s">
        <v>192</v>
      </c>
      <c r="L153" s="225" t="s">
        <v>346</v>
      </c>
      <c r="M153" s="225" t="s">
        <v>346</v>
      </c>
      <c r="O153" s="101" t="s">
        <v>69</v>
      </c>
      <c r="P153" s="229" t="s">
        <v>206</v>
      </c>
    </row>
    <row r="154" spans="1:16" ht="19">
      <c r="A154" s="46" t="s">
        <v>69</v>
      </c>
      <c r="B154" s="178" t="str">
        <f t="shared" si="9"/>
        <v>BBB</v>
      </c>
      <c r="C154" s="179" t="str">
        <f t="shared" si="10"/>
        <v>Baa2</v>
      </c>
      <c r="E154" s="144" t="s">
        <v>69</v>
      </c>
      <c r="F154" s="170" t="str">
        <f t="shared" si="8"/>
        <v>Baa2</v>
      </c>
      <c r="G154" s="170" t="str">
        <f t="shared" si="11"/>
        <v>BBB</v>
      </c>
      <c r="O154" s="101" t="s">
        <v>387</v>
      </c>
      <c r="P154" s="229" t="s">
        <v>199</v>
      </c>
    </row>
    <row r="155" spans="1:16" ht="19">
      <c r="A155" s="141" t="s">
        <v>387</v>
      </c>
      <c r="B155" s="178" t="str">
        <f t="shared" si="9"/>
        <v>BB-</v>
      </c>
      <c r="C155" s="179" t="str">
        <f t="shared" si="10"/>
        <v>B1</v>
      </c>
      <c r="E155" s="144" t="s">
        <v>387</v>
      </c>
      <c r="F155" s="170" t="str">
        <f t="shared" si="8"/>
        <v>B1</v>
      </c>
      <c r="G155" s="170" t="str">
        <f t="shared" si="11"/>
        <v>BB-</v>
      </c>
      <c r="O155" s="101" t="s">
        <v>70</v>
      </c>
      <c r="P155" s="231" t="s">
        <v>511</v>
      </c>
    </row>
    <row r="156" spans="1:16" ht="19">
      <c r="A156" s="46" t="s">
        <v>70</v>
      </c>
      <c r="B156" s="178" t="str">
        <f t="shared" si="9"/>
        <v>NA</v>
      </c>
      <c r="C156" s="179" t="str">
        <f t="shared" si="10"/>
        <v>C</v>
      </c>
      <c r="E156" s="144" t="s">
        <v>70</v>
      </c>
      <c r="F156" s="170" t="str">
        <f t="shared" si="8"/>
        <v>C</v>
      </c>
      <c r="G156" s="170" t="s">
        <v>143</v>
      </c>
      <c r="O156" s="101" t="s">
        <v>71</v>
      </c>
      <c r="P156" s="229" t="s">
        <v>216</v>
      </c>
    </row>
    <row r="157" spans="1:16" ht="19">
      <c r="A157" s="46" t="s">
        <v>71</v>
      </c>
      <c r="B157" s="178" t="str">
        <f t="shared" si="9"/>
        <v>BB+</v>
      </c>
      <c r="C157" s="179" t="str">
        <f t="shared" si="10"/>
        <v>Ba2</v>
      </c>
      <c r="E157" s="144" t="s">
        <v>71</v>
      </c>
      <c r="F157" s="170" t="str">
        <f t="shared" si="8"/>
        <v>Ba2</v>
      </c>
      <c r="G157" s="170" t="str">
        <f t="shared" si="11"/>
        <v>BB+</v>
      </c>
      <c r="O157" s="101" t="s">
        <v>192</v>
      </c>
      <c r="P157" s="230" t="s">
        <v>557</v>
      </c>
    </row>
    <row r="158" spans="1:16" ht="16">
      <c r="A158" s="46" t="s">
        <v>192</v>
      </c>
      <c r="B158" s="178" t="str">
        <f t="shared" si="9"/>
        <v>NA</v>
      </c>
      <c r="C158" s="179" t="str">
        <f t="shared" si="10"/>
        <v>Ca</v>
      </c>
      <c r="E158" s="144" t="s">
        <v>192</v>
      </c>
      <c r="F158" s="170" t="str">
        <f t="shared" si="8"/>
        <v>Ca</v>
      </c>
      <c r="G158" s="170" t="s">
        <v>143</v>
      </c>
    </row>
  </sheetData>
  <hyperlinks>
    <hyperlink ref="O2" r:id="rId1" display="https://tradingeconomics.com/albania/rating" xr:uid="{36295A85-FE88-4442-B106-636AD4432CD9}"/>
    <hyperlink ref="O3" r:id="rId2" display="https://tradingeconomics.com/andorra/rating" xr:uid="{7DD64A6F-E6BF-9A49-8F7E-3B5BA9470786}"/>
    <hyperlink ref="O4" r:id="rId3" display="https://tradingeconomics.com/angola/rating" xr:uid="{8BF83FE4-3582-7C40-A157-ACBAB26337CE}"/>
    <hyperlink ref="O5" r:id="rId4" display="https://tradingeconomics.com/argentina/rating" xr:uid="{AC948975-9DBB-4747-9851-74CC982F024E}"/>
    <hyperlink ref="O6" r:id="rId5" display="https://tradingeconomics.com/armenia/rating" xr:uid="{33C31521-CDDA-7E40-94FA-001E1198AB8C}"/>
    <hyperlink ref="O7" r:id="rId6" display="https://tradingeconomics.com/aruba/rating" xr:uid="{8219AE3E-4A7A-C842-BFC0-57A5ABAC930B}"/>
    <hyperlink ref="O8" r:id="rId7" display="https://tradingeconomics.com/australia/rating" xr:uid="{737E11A7-2A6E-B448-899D-C96642C2913B}"/>
    <hyperlink ref="O9" r:id="rId8" display="https://tradingeconomics.com/austria/rating" xr:uid="{8D3DC140-4B9A-3746-9F91-7EDC472B5224}"/>
    <hyperlink ref="O10" r:id="rId9" display="https://tradingeconomics.com/azerbaijan/rating" xr:uid="{977CA2F4-E648-DB46-BD2E-DFD6CB93F296}"/>
    <hyperlink ref="O11" r:id="rId10" display="https://tradingeconomics.com/bahamas/rating" xr:uid="{45155960-9C51-9842-B5E7-11C0A0C9DCB6}"/>
    <hyperlink ref="O12" r:id="rId11" display="https://tradingeconomics.com/bahrain/rating" xr:uid="{69E7009F-3145-E846-9008-4A1AB47D6CEA}"/>
    <hyperlink ref="O13" r:id="rId12" display="https://tradingeconomics.com/bangladesh/rating" xr:uid="{41F87450-AEDC-7342-88C3-A0DF63C44D1F}"/>
    <hyperlink ref="O14" r:id="rId13" display="https://tradingeconomics.com/barbados/rating" xr:uid="{43B297E2-6638-C445-AE55-CFEE8E682E2A}"/>
    <hyperlink ref="O15" r:id="rId14" display="https://tradingeconomics.com/belarus/rating" xr:uid="{D00A9B63-058D-E04B-96BD-4BF80AE7A083}"/>
    <hyperlink ref="O16" r:id="rId15" display="https://tradingeconomics.com/belgium/rating" xr:uid="{76C4B0BD-81B4-8743-B37A-B5168D5F9E95}"/>
    <hyperlink ref="O17" r:id="rId16" display="https://tradingeconomics.com/belize/rating" xr:uid="{070CD669-2DD0-634C-8DDD-F387A792BD2C}"/>
    <hyperlink ref="O18" r:id="rId17" display="https://tradingeconomics.com/benin/rating" xr:uid="{B96147B3-4979-E740-838F-9773A5972FD4}"/>
    <hyperlink ref="O19" r:id="rId18" display="https://tradingeconomics.com/bermuda/rating" xr:uid="{2B14D3A6-EB7F-364B-8863-13DC2E641609}"/>
    <hyperlink ref="O20" r:id="rId19" display="https://tradingeconomics.com/bolivia/rating" xr:uid="{B9E766D9-44C9-5B49-9477-E9DA9C092307}"/>
    <hyperlink ref="O21" r:id="rId20" display="https://tradingeconomics.com/bosnia-and-herzegovina/rating" xr:uid="{B6804161-68F5-0445-894C-6EDB36F9340E}"/>
    <hyperlink ref="O22" r:id="rId21" display="https://tradingeconomics.com/botswana/rating" xr:uid="{1C4518ED-1B26-7149-9C36-BA0F001BDFD9}"/>
    <hyperlink ref="O23" r:id="rId22" display="https://tradingeconomics.com/brazil/rating" xr:uid="{9AD32D6C-32D2-DF45-8C5E-6F86779ACF28}"/>
    <hyperlink ref="O24" r:id="rId23" display="https://tradingeconomics.com/bulgaria/rating" xr:uid="{D6E2A8CD-F594-864D-BF22-16D7735D6ADC}"/>
    <hyperlink ref="O25" r:id="rId24" display="https://tradingeconomics.com/burkina-faso/rating" xr:uid="{C9714249-A1CF-4B49-B329-D542FAC52248}"/>
    <hyperlink ref="O26" r:id="rId25" display="https://tradingeconomics.com/cambodia/rating" xr:uid="{F49735FB-1BCA-CE4F-B42E-447D3177994D}"/>
    <hyperlink ref="O27" r:id="rId26" display="https://tradingeconomics.com/cameroon/rating" xr:uid="{BF332778-150C-F54E-90E1-D61FB494E5B1}"/>
    <hyperlink ref="O28" r:id="rId27" display="https://tradingeconomics.com/canada/rating" xr:uid="{D4DBCC26-5FB7-3D4F-8D63-96F0571E8ACD}"/>
    <hyperlink ref="O29" r:id="rId28" display="https://tradingeconomics.com/cape-verde/rating" xr:uid="{9C4F31FC-785B-484F-AE1E-15FF32EDA893}"/>
    <hyperlink ref="O30" r:id="rId29" display="https://tradingeconomics.com/cayman-islands/rating" xr:uid="{455261FD-97DF-E84C-A84D-9ADF3C6AB28C}"/>
    <hyperlink ref="O31" r:id="rId30" display="https://tradingeconomics.com/chile/rating" xr:uid="{2B69412B-B221-2446-B7FD-D70ABD588061}"/>
    <hyperlink ref="O32" r:id="rId31" display="https://tradingeconomics.com/china/rating" xr:uid="{1233BD07-E4C8-854D-9258-24360313A146}"/>
    <hyperlink ref="O33" r:id="rId32" display="https://tradingeconomics.com/colombia/rating" xr:uid="{3AF6E47C-C07D-364E-9C7D-2E1A36DB9C8C}"/>
    <hyperlink ref="O34" r:id="rId33" display="https://tradingeconomics.com/congo/rating" xr:uid="{9320EF64-9783-5A4A-A7B9-F1488B4EF103}"/>
    <hyperlink ref="O35" r:id="rId34" display="https://tradingeconomics.com/costa-rica/rating" xr:uid="{E436A83F-C727-FB45-A031-45986073234C}"/>
    <hyperlink ref="O36" r:id="rId35" display="https://tradingeconomics.com/croatia/rating" xr:uid="{E6C74E33-D90C-FF4F-81CC-826E28348C87}"/>
    <hyperlink ref="O37" r:id="rId36" display="https://tradingeconomics.com/cuba/rating" xr:uid="{31E21186-31F5-8F43-9A3A-56E186AD28D6}"/>
    <hyperlink ref="O38" r:id="rId37" display="https://tradingeconomics.com/cyprus/rating" xr:uid="{0D2E0CB9-9D5C-DB4C-9531-94D51065EDAA}"/>
    <hyperlink ref="O39" r:id="rId38" display="https://tradingeconomics.com/czech-republic/rating" xr:uid="{4E0A65DE-3653-6D43-AF56-8115A6689281}"/>
    <hyperlink ref="O40" r:id="rId39" display="https://tradingeconomics.com/denmark/rating" xr:uid="{768A5EC5-5A4A-1B4B-9125-6FA4697578B9}"/>
    <hyperlink ref="O41" r:id="rId40" display="https://tradingeconomics.com/dominican-republic/rating" xr:uid="{C5BF1D7D-E775-014A-BB10-60C9B6276163}"/>
    <hyperlink ref="O42" r:id="rId41" display="https://tradingeconomics.com/ecuador/rating" xr:uid="{DCA752AB-B1CA-E245-B355-30CC56A72B54}"/>
    <hyperlink ref="O43" r:id="rId42" display="https://tradingeconomics.com/egypt/rating" xr:uid="{23B46F13-A345-0044-B974-9589226E533F}"/>
    <hyperlink ref="O44" r:id="rId43" display="https://tradingeconomics.com/el-salvador/rating" xr:uid="{251F72B3-ACA0-764C-8359-53285C919649}"/>
    <hyperlink ref="O45" r:id="rId44" display="https://tradingeconomics.com/estonia/rating" xr:uid="{2165C855-7070-694E-AED6-95D7E226D264}"/>
    <hyperlink ref="O46" r:id="rId45" display="https://tradingeconomics.com/ethiopia/rating" xr:uid="{9227F6E8-1847-C445-B5EC-A2BA438567BC}"/>
    <hyperlink ref="O47" r:id="rId46" display="https://tradingeconomics.com/european-union/rating" xr:uid="{60927D80-8EA7-2540-BC57-005E70C6B104}"/>
    <hyperlink ref="O48" r:id="rId47" display="https://tradingeconomics.com/fiji/rating" xr:uid="{B7DEB5EA-85F7-2749-861D-CC60F8050582}"/>
    <hyperlink ref="O49" r:id="rId48" display="https://tradingeconomics.com/finland/rating" xr:uid="{25B37011-8457-D04E-AE9F-F37FDF2A3AF8}"/>
    <hyperlink ref="O50" r:id="rId49" display="https://tradingeconomics.com/france/rating" xr:uid="{B2E86A01-E62B-2C49-BED8-AB21402BD60D}"/>
    <hyperlink ref="O51" r:id="rId50" display="https://tradingeconomics.com/gabon/rating" xr:uid="{47FB8E0F-9BD0-334C-948E-D4788CD78483}"/>
    <hyperlink ref="O52" r:id="rId51" display="https://tradingeconomics.com/georgia/rating" xr:uid="{AA3C979E-9A99-BD42-A2A3-E6F4D10A8C18}"/>
    <hyperlink ref="O53" r:id="rId52" display="https://tradingeconomics.com/germany/rating" xr:uid="{84D4EEA0-7507-2842-9C70-088E0246A5AE}"/>
    <hyperlink ref="O54" r:id="rId53" display="https://tradingeconomics.com/ghana/rating" xr:uid="{2D4E762C-23ED-0F4E-B363-C26346863CA5}"/>
    <hyperlink ref="O55" r:id="rId54" display="https://tradingeconomics.com/greece/rating" xr:uid="{9F24E20A-1554-8C4C-AE49-2EE9D4F161DC}"/>
    <hyperlink ref="O56" r:id="rId55" display="https://tradingeconomics.com/grenada/rating" xr:uid="{B5873FC6-A973-8F45-9F38-823A6A4DB6B7}"/>
    <hyperlink ref="O57" r:id="rId56" display="https://tradingeconomics.com/guatemala/rating" xr:uid="{874DE9C1-7CAA-5144-9F60-8AD7DFDBF2BA}"/>
    <hyperlink ref="O58" r:id="rId57" display="https://tradingeconomics.com/honduras/rating" xr:uid="{C87F5B5A-5953-D14A-9CEF-00F863471D90}"/>
    <hyperlink ref="O59" r:id="rId58" display="https://tradingeconomics.com/hong-kong/rating" xr:uid="{E8D49E66-B787-F34C-9523-ABF4E3048223}"/>
    <hyperlink ref="O60" r:id="rId59" display="https://tradingeconomics.com/hungary/rating" xr:uid="{C477A428-6B02-BD42-87D0-E588B915A1B5}"/>
    <hyperlink ref="O61" r:id="rId60" display="https://tradingeconomics.com/iceland/rating" xr:uid="{7F7B479A-3642-0948-880E-F36D4DE672EC}"/>
    <hyperlink ref="O62" r:id="rId61" display="https://tradingeconomics.com/india/rating" xr:uid="{3AD55B89-CC18-8C48-A348-B7BB660AF052}"/>
    <hyperlink ref="O63" r:id="rId62" display="https://tradingeconomics.com/indonesia/rating" xr:uid="{A14627DF-AAAC-AC4F-B38A-5BDCDD0155CE}"/>
    <hyperlink ref="O64" r:id="rId63" display="https://tradingeconomics.com/iraq/rating" xr:uid="{93002DED-CC7D-6849-8035-DA6B12B29508}"/>
    <hyperlink ref="O65" r:id="rId64" display="https://tradingeconomics.com/ireland/rating" xr:uid="{FC36E999-EEE8-394F-B3FC-7B32E1EF2353}"/>
    <hyperlink ref="O66" r:id="rId65" display="https://tradingeconomics.com/isle-of-man/rating" xr:uid="{91FDD726-F96A-6C44-9AA0-DD7F4600E4A0}"/>
    <hyperlink ref="O67" r:id="rId66" display="https://tradingeconomics.com/israel/rating" xr:uid="{03091543-4B4F-624F-9D26-85E37BAC0984}"/>
    <hyperlink ref="O68" r:id="rId67" display="https://tradingeconomics.com/italy/rating" xr:uid="{6770F8AB-9130-3D49-9635-08590DF581C4}"/>
    <hyperlink ref="O69" r:id="rId68" display="https://tradingeconomics.com/ivory-coast/rating" xr:uid="{92F08FE2-6136-BE4B-90F1-2A0FD6F3ED80}"/>
    <hyperlink ref="O70" r:id="rId69" display="https://tradingeconomics.com/jamaica/rating" xr:uid="{DCCA559E-673B-294B-95F1-C393734F72F4}"/>
    <hyperlink ref="O71" r:id="rId70" display="https://tradingeconomics.com/japan/rating" xr:uid="{01702864-85EB-6146-95A2-760F3095EBBE}"/>
    <hyperlink ref="O72" r:id="rId71" display="https://tradingeconomics.com/jordan/rating" xr:uid="{5D768002-547B-0E41-9EC4-78B62B5DA6A6}"/>
    <hyperlink ref="O73" r:id="rId72" display="https://tradingeconomics.com/kazakhstan/rating" xr:uid="{C2AC9979-EC38-F943-9D43-7D60C3FBCA5E}"/>
    <hyperlink ref="O74" r:id="rId73" display="https://tradingeconomics.com/kenya/rating" xr:uid="{39606120-C55F-B649-9E13-E0E03923E5E4}"/>
    <hyperlink ref="O75" r:id="rId74" display="https://tradingeconomics.com/kuwait/rating" xr:uid="{257F3D9B-6DE3-5840-854D-05D855B520C2}"/>
    <hyperlink ref="O76" r:id="rId75" display="https://tradingeconomics.com/kyrgyzstan/rating" xr:uid="{69F1AB7F-7EE2-E74F-8BFA-0B58756B87FB}"/>
    <hyperlink ref="O77" r:id="rId76" display="https://tradingeconomics.com/laos/rating" xr:uid="{F0557AFA-204A-7340-8773-8C1ABAFCB9B1}"/>
    <hyperlink ref="O78" r:id="rId77" display="https://tradingeconomics.com/latvia/rating" xr:uid="{FC8EA854-678E-4A4B-B007-4A8F34455148}"/>
    <hyperlink ref="O79" r:id="rId78" display="https://tradingeconomics.com/lebanon/rating" xr:uid="{D935DCB8-CB33-3843-BBD7-6F2C89BA7354}"/>
    <hyperlink ref="O80" r:id="rId79" display="https://tradingeconomics.com/lesotho/rating" xr:uid="{51718BB9-78F1-B648-811C-49113F2F013E}"/>
    <hyperlink ref="O81" r:id="rId80" display="https://tradingeconomics.com/liechtenstein/rating" xr:uid="{CA8D470F-F7ED-2E4D-9CD9-174B2A3F5E54}"/>
    <hyperlink ref="O82" r:id="rId81" display="https://tradingeconomics.com/lithuania/rating" xr:uid="{3D497076-F21F-A04D-9F6E-2F59C856C61A}"/>
    <hyperlink ref="O83" r:id="rId82" display="https://tradingeconomics.com/luxembourg/rating" xr:uid="{AEA21D97-9658-4148-9029-83997F65F9B7}"/>
    <hyperlink ref="O84" r:id="rId83" display="https://tradingeconomics.com/macau/rating" xr:uid="{AE85B8ED-A137-4944-988C-B8CC9741B25A}"/>
    <hyperlink ref="O85" r:id="rId84" display="https://tradingeconomics.com/macedonia/rating" xr:uid="{83664EA1-1823-484C-8F30-545455D9ED72}"/>
    <hyperlink ref="O86" r:id="rId85" display="https://tradingeconomics.com/madagascar/rating" xr:uid="{655D1B62-628D-7C40-B16B-7F85BAAA5860}"/>
    <hyperlink ref="O87" r:id="rId86" display="https://tradingeconomics.com/malaysia/rating" xr:uid="{3B8D2D5E-E0F0-B444-ABED-DF517DAB65DF}"/>
    <hyperlink ref="O88" r:id="rId87" display="https://tradingeconomics.com/maldives/rating" xr:uid="{28B7449A-BF10-AD4D-8487-ACCB66A7147B}"/>
    <hyperlink ref="O89" r:id="rId88" display="https://tradingeconomics.com/mali/rating" xr:uid="{45779C0D-57D6-0241-9B83-6CFDF236C00B}"/>
    <hyperlink ref="O90" r:id="rId89" display="https://tradingeconomics.com/malta/rating" xr:uid="{2EC9830B-1DA3-D64C-BD30-33111509BF0E}"/>
    <hyperlink ref="O91" r:id="rId90" display="https://tradingeconomics.com/mauritius/rating" xr:uid="{71331AD8-A178-6248-AE05-BD00152E7847}"/>
    <hyperlink ref="O92" r:id="rId91" display="https://tradingeconomics.com/mexico/rating" xr:uid="{FC85259C-6D30-5A4C-AF25-39A46E1F5024}"/>
    <hyperlink ref="O93" r:id="rId92" display="https://tradingeconomics.com/moldova/rating" xr:uid="{0D5B898A-3D02-A74D-911C-3B4122C7D5BE}"/>
    <hyperlink ref="O94" r:id="rId93" display="https://tradingeconomics.com/mongolia/rating" xr:uid="{8B54A146-2B8F-F247-AD61-2A25C91574A7}"/>
    <hyperlink ref="O95" r:id="rId94" display="https://tradingeconomics.com/montenegro/rating" xr:uid="{6045CE67-E00B-5B48-81DB-7584937C0BFC}"/>
    <hyperlink ref="O96" display="Montserrat" xr:uid="{B6FEB972-91FC-6648-AD69-0F8DD344AD0A}"/>
    <hyperlink ref="O97" r:id="rId95" display="https://tradingeconomics.com/morocco/rating" xr:uid="{B40F9941-B9D0-A947-94CE-EF1617EC5051}"/>
    <hyperlink ref="O98" r:id="rId96" display="https://tradingeconomics.com/mozambique/rating" xr:uid="{0DF8E63E-5924-9140-8888-48C7C04CF135}"/>
    <hyperlink ref="O99" r:id="rId97" display="https://tradingeconomics.com/namibia/rating" xr:uid="{8402A802-B811-7148-8B0E-1A35C5F04349}"/>
    <hyperlink ref="O100" r:id="rId98" display="https://tradingeconomics.com/netherlands/rating" xr:uid="{5A71AE95-2F74-EF4A-8B58-9F55A85B5489}"/>
    <hyperlink ref="O101" r:id="rId99" display="https://tradingeconomics.com/new-zealand/rating" xr:uid="{280884C5-5FED-BB4E-A5F7-913CEE8B8CA1}"/>
    <hyperlink ref="O102" r:id="rId100" display="https://tradingeconomics.com/nicaragua/rating" xr:uid="{154DF6F2-AC8E-524D-A7FF-4920A6A4335F}"/>
    <hyperlink ref="O103" r:id="rId101" display="https://tradingeconomics.com/niger/rating" xr:uid="{73147A90-7D3B-AF47-BE5F-E7111FFDF81F}"/>
    <hyperlink ref="O104" r:id="rId102" display="https://tradingeconomics.com/nigeria/rating" xr:uid="{D616CA27-C954-9E48-A46D-E47896FDCE5C}"/>
    <hyperlink ref="O105" r:id="rId103" display="https://tradingeconomics.com/norway/rating" xr:uid="{4FE6F33B-D6F5-5642-AFF5-A1DBABFB422F}"/>
    <hyperlink ref="O106" r:id="rId104" display="https://tradingeconomics.com/oman/rating" xr:uid="{3B373033-C34D-6948-AD2B-2928F60DD0FE}"/>
    <hyperlink ref="O107" r:id="rId105" display="https://tradingeconomics.com/pakistan/rating" xr:uid="{9B9ECEA7-C0A9-C84B-881F-90F1515F82E7}"/>
    <hyperlink ref="O108" r:id="rId106" display="https://tradingeconomics.com/panama/rating" xr:uid="{F6893F1D-FB10-DB4A-A9B5-053141DAB255}"/>
    <hyperlink ref="O109" r:id="rId107" display="https://tradingeconomics.com/papua-new-guinea/rating" xr:uid="{208FFDE4-0B93-4A4F-97F7-32B5931EC6E6}"/>
    <hyperlink ref="O110" r:id="rId108" display="https://tradingeconomics.com/paraguay/rating" xr:uid="{C8F81D0C-B187-2F4F-A33F-38E381348B84}"/>
    <hyperlink ref="O111" r:id="rId109" display="https://tradingeconomics.com/peru/rating" xr:uid="{659F4B46-16F4-9B42-BA4E-FEBAF80C4917}"/>
    <hyperlink ref="O112" r:id="rId110" display="https://tradingeconomics.com/philippines/rating" xr:uid="{4AF58460-17E7-BB4F-9EB7-07E0510EBA70}"/>
    <hyperlink ref="O113" r:id="rId111" display="https://tradingeconomics.com/poland/rating" xr:uid="{4B030FDB-FA1A-3B4D-B7DA-189DF8AAC4C7}"/>
    <hyperlink ref="O114" r:id="rId112" display="https://tradingeconomics.com/portugal/rating" xr:uid="{E9087C16-313A-5A45-91DA-4097097AEAD0}"/>
    <hyperlink ref="O115" r:id="rId113" display="https://tradingeconomics.com/puerto-rico/rating" xr:uid="{EDC7B3AF-E95D-A74F-9728-0B24506CB601}"/>
    <hyperlink ref="O116" r:id="rId114" display="https://tradingeconomics.com/qatar/rating" xr:uid="{2C806425-F1B2-A444-9AF5-B29A99A51B3E}"/>
    <hyperlink ref="O117" r:id="rId115" display="https://tradingeconomics.com/republic-of-the-congo/rating" xr:uid="{D5DA6228-89C3-EC48-BBC0-0A0220EFEE21}"/>
    <hyperlink ref="O118" r:id="rId116" display="https://tradingeconomics.com/romania/rating" xr:uid="{A244D217-94DF-974B-AFDC-40FE3F28F62E}"/>
    <hyperlink ref="O119" r:id="rId117" display="https://tradingeconomics.com/russia/rating" xr:uid="{D0878485-CE2A-6E4F-91A1-3283843F3985}"/>
    <hyperlink ref="O120" r:id="rId118" display="https://tradingeconomics.com/rwanda/rating" xr:uid="{568631EA-BDA9-4247-8774-191980A73F4A}"/>
    <hyperlink ref="O121" r:id="rId119" display="https://tradingeconomics.com/san-marino/rating" xr:uid="{77FDA2D8-6285-B446-8FF2-99CA2194541A}"/>
    <hyperlink ref="O122" r:id="rId120" display="https://tradingeconomics.com/saudi-arabia/rating" xr:uid="{165228D1-CECB-1A4B-8468-04BDC7B86A76}"/>
    <hyperlink ref="O123" r:id="rId121" display="https://tradingeconomics.com/senegal/rating" xr:uid="{174218E8-E8E9-F541-A749-B21E3A882BAF}"/>
    <hyperlink ref="O124" r:id="rId122" display="https://tradingeconomics.com/serbia/rating" xr:uid="{53B2D1EF-B34C-9B4C-A1A8-F901C6824745}"/>
    <hyperlink ref="O125" r:id="rId123" display="https://tradingeconomics.com/seychelles/rating" xr:uid="{D004E91A-02A3-AA4C-A57A-8DE36EA93E79}"/>
    <hyperlink ref="O126" r:id="rId124" display="https://tradingeconomics.com/singapore/rating" xr:uid="{375D9DE6-7E35-AA47-89B2-5859D301CC7E}"/>
    <hyperlink ref="O127" r:id="rId125" display="https://tradingeconomics.com/slovakia/rating" xr:uid="{4F938ABE-8FA1-3F4C-9135-769D989BBCE6}"/>
    <hyperlink ref="O128" r:id="rId126" display="https://tradingeconomics.com/slovenia/rating" xr:uid="{D1A670A8-12F5-A143-8929-8E2F625BFCF3}"/>
    <hyperlink ref="O129" r:id="rId127" display="https://tradingeconomics.com/solomon-islands/rating" xr:uid="{402CC759-31F7-294A-A275-5316B9FF755C}"/>
    <hyperlink ref="O130" r:id="rId128" display="https://tradingeconomics.com/south-africa/rating" xr:uid="{42AD9291-55D3-754D-9E55-6853908C0247}"/>
    <hyperlink ref="O131" r:id="rId129" display="https://tradingeconomics.com/south-korea/rating" xr:uid="{2E2394E7-0944-074F-BD6E-25F1AEF3B265}"/>
    <hyperlink ref="O132" r:id="rId130" display="https://tradingeconomics.com/spain/rating" xr:uid="{28822437-CB70-E246-822C-CD2AF53B971B}"/>
    <hyperlink ref="O133" r:id="rId131" display="https://tradingeconomics.com/sri-lanka/rating" xr:uid="{D466F0E9-EB21-E646-B560-478D40597177}"/>
    <hyperlink ref="O134" r:id="rId132" display="https://tradingeconomics.com/st-vincent-and-the-grenadines/rating" xr:uid="{4D44DCEB-5FAC-C34C-970C-9EB7AAA7D8F7}"/>
    <hyperlink ref="O135" r:id="rId133" display="https://tradingeconomics.com/suriname/rating" xr:uid="{49D62FBC-CCBE-BD43-9C53-EF2621447A09}"/>
    <hyperlink ref="O136" r:id="rId134" display="https://tradingeconomics.com/swaziland/rating" xr:uid="{E517A013-8FEE-F84F-8C60-076B586C2F4A}"/>
    <hyperlink ref="O137" r:id="rId135" display="https://tradingeconomics.com/sweden/rating" xr:uid="{0FDF6BFA-0B1F-7A42-8574-10E76AB30D57}"/>
    <hyperlink ref="O138" r:id="rId136" display="https://tradingeconomics.com/switzerland/rating" xr:uid="{FDEDF4B7-172F-D148-848B-D148F2621425}"/>
    <hyperlink ref="O139" r:id="rId137" display="https://tradingeconomics.com/taiwan/rating" xr:uid="{913930BE-061F-104C-A83E-75F8EF3089B7}"/>
    <hyperlink ref="O140" r:id="rId138" display="https://tradingeconomics.com/tajikistan/rating" xr:uid="{83612F98-16FA-EF41-81C8-FA1634305366}"/>
    <hyperlink ref="O141" r:id="rId139" display="https://tradingeconomics.com/tanzania/rating" xr:uid="{3783CEAC-0338-7E41-AD98-638F0E6A005B}"/>
    <hyperlink ref="O142" r:id="rId140" display="https://tradingeconomics.com/thailand/rating" xr:uid="{F9E0181A-DBC1-3646-9BF3-88A22CA2702D}"/>
    <hyperlink ref="O143" r:id="rId141" display="https://tradingeconomics.com/togo/rating" xr:uid="{131507F7-0BFC-C142-A1A8-AB3CC70F2A3C}"/>
    <hyperlink ref="O144" r:id="rId142" display="https://tradingeconomics.com/trinidad-and-tobago/rating" xr:uid="{DF2F3F4D-DBF7-6249-8F5C-35C233DE7AD7}"/>
    <hyperlink ref="O145" r:id="rId143" display="https://tradingeconomics.com/tunisia/rating" xr:uid="{43EE63B3-3571-B647-AD4C-760D8116541B}"/>
    <hyperlink ref="O146" r:id="rId144" display="https://tradingeconomics.com/turkey/rating" xr:uid="{F2EA3821-4978-4E4E-AF92-38FDAC51086B}"/>
    <hyperlink ref="O147" r:id="rId145" display="https://tradingeconomics.com/turkmenistan/rating" xr:uid="{CD26E193-AEC9-2A4C-BD41-B62ACFFF2DC4}"/>
    <hyperlink ref="O148" r:id="rId146" display="https://tradingeconomics.com/uganda/rating" xr:uid="{86D388C1-F5D1-B844-BA88-503F76BF59A2}"/>
    <hyperlink ref="O149" r:id="rId147" display="https://tradingeconomics.com/ukraine/rating" xr:uid="{CC1FFE11-F8E4-BE4E-8AB2-F8680FE23280}"/>
    <hyperlink ref="O150" r:id="rId148" display="https://tradingeconomics.com/united-arab-emirates/rating" xr:uid="{DBFAD52E-47D7-0045-A298-437AB537FF78}"/>
    <hyperlink ref="O151" r:id="rId149" display="https://tradingeconomics.com/united-kingdom/rating" xr:uid="{8D52A68F-6CC0-D544-933B-DEC38C5C01B1}"/>
    <hyperlink ref="O152" r:id="rId150" display="https://tradingeconomics.com/united-states/rating" xr:uid="{A9898055-0FE2-7B46-A732-D0B970220ACC}"/>
    <hyperlink ref="O153" r:id="rId151" display="https://tradingeconomics.com/uruguay/rating" xr:uid="{CC7AA483-F1CB-8F4C-B1E7-58BE9FCAACA6}"/>
    <hyperlink ref="O154" r:id="rId152" display="https://tradingeconomics.com/uzbekistan/rating" xr:uid="{7B30DB3B-FB3F-1B4A-A367-2D48A2AA8D9A}"/>
    <hyperlink ref="O155" r:id="rId153" display="https://tradingeconomics.com/venezuela/rating" xr:uid="{44863CC1-FC3B-E54A-8092-8DDE13C68B08}"/>
    <hyperlink ref="O156" r:id="rId154" display="https://tradingeconomics.com/vietnam/rating" xr:uid="{44FCC928-FA30-1640-A3FB-906DCF41BCDC}"/>
    <hyperlink ref="O157" r:id="rId155" display="https://tradingeconomics.com/zambia/rating" xr:uid="{4F51BCFF-5EA2-7743-9C50-A719359A5A67}"/>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75"/>
  <sheetViews>
    <sheetView workbookViewId="0">
      <selection activeCell="D41" sqref="D41"/>
    </sheetView>
  </sheetViews>
  <sheetFormatPr baseColWidth="10" defaultRowHeight="13"/>
  <cols>
    <col min="1" max="1" width="27" bestFit="1" customWidth="1"/>
    <col min="2" max="2" width="32.6640625" customWidth="1"/>
    <col min="6" max="6" width="20.83203125" customWidth="1"/>
    <col min="9" max="9" width="26.1640625" customWidth="1"/>
  </cols>
  <sheetData>
    <row r="1" spans="1:10" ht="17">
      <c r="A1" s="66" t="s">
        <v>75</v>
      </c>
      <c r="B1" s="66" t="s">
        <v>75</v>
      </c>
      <c r="C1" s="94" t="s">
        <v>357</v>
      </c>
      <c r="D1" t="s">
        <v>558</v>
      </c>
      <c r="F1" s="205" t="s">
        <v>75</v>
      </c>
      <c r="G1" s="205">
        <v>2022</v>
      </c>
      <c r="I1" t="s">
        <v>52</v>
      </c>
      <c r="J1" t="s">
        <v>527</v>
      </c>
    </row>
    <row r="2" spans="1:10" ht="16">
      <c r="A2" s="46" t="s">
        <v>272</v>
      </c>
      <c r="B2" s="46" t="str">
        <f>'Ratings worksheet'!A2</f>
        <v>Abu Dhabi</v>
      </c>
      <c r="C2" s="94">
        <f>D2</f>
        <v>0.15</v>
      </c>
      <c r="D2">
        <f>VLOOKUP(B3,$F$2:$G$176,2,FALSE)</f>
        <v>0.15</v>
      </c>
      <c r="F2" t="s">
        <v>390</v>
      </c>
      <c r="G2" s="47">
        <v>0.2</v>
      </c>
      <c r="I2" t="s">
        <v>435</v>
      </c>
      <c r="J2" s="47">
        <v>0.1898</v>
      </c>
    </row>
    <row r="3" spans="1:10" ht="16">
      <c r="A3" s="46" t="s">
        <v>4</v>
      </c>
      <c r="B3" s="46" t="str">
        <f>'Ratings worksheet'!A3</f>
        <v>Albania</v>
      </c>
      <c r="C3" s="94">
        <f t="shared" ref="C3:C66" si="0">D3</f>
        <v>0.15</v>
      </c>
      <c r="D3">
        <f>VLOOKUP(B3,$F$2:$G$176,2,FALSE)</f>
        <v>0.15</v>
      </c>
      <c r="F3" t="s">
        <v>4</v>
      </c>
      <c r="G3" s="47">
        <v>0.15</v>
      </c>
      <c r="I3" t="s">
        <v>440</v>
      </c>
      <c r="J3" s="47">
        <v>0.2364</v>
      </c>
    </row>
    <row r="4" spans="1:10" ht="16">
      <c r="A4" s="46" t="s">
        <v>286</v>
      </c>
      <c r="B4" s="46" t="str">
        <f>'Ratings worksheet'!A4</f>
        <v>Andorra (Principality of)</v>
      </c>
      <c r="C4" s="94">
        <f t="shared" si="0"/>
        <v>0.1898</v>
      </c>
      <c r="D4">
        <v>0.1898</v>
      </c>
      <c r="F4" t="s">
        <v>337</v>
      </c>
      <c r="G4" s="47">
        <v>0.26</v>
      </c>
      <c r="I4" t="s">
        <v>438</v>
      </c>
      <c r="J4" s="47">
        <v>0.27179999999999999</v>
      </c>
    </row>
    <row r="5" spans="1:10" ht="16">
      <c r="A5" s="46" t="s">
        <v>131</v>
      </c>
      <c r="B5" s="46" t="str">
        <f>'Ratings worksheet'!A5</f>
        <v>Angola</v>
      </c>
      <c r="C5" s="94">
        <f t="shared" si="0"/>
        <v>0.25</v>
      </c>
      <c r="D5">
        <f t="shared" ref="D5:D17" si="1">VLOOKUP(B5,$F$2:$G$174,2,FALSE)</f>
        <v>0.25</v>
      </c>
      <c r="F5" t="s">
        <v>197</v>
      </c>
      <c r="G5" s="47">
        <v>0.1</v>
      </c>
      <c r="I5" t="s">
        <v>437</v>
      </c>
      <c r="J5" s="47">
        <v>0.26750000000000002</v>
      </c>
    </row>
    <row r="6" spans="1:10" ht="16">
      <c r="A6" s="46" t="s">
        <v>84</v>
      </c>
      <c r="B6" s="46" t="str">
        <f>'Ratings worksheet'!A6</f>
        <v>Argentina</v>
      </c>
      <c r="C6" s="94">
        <f t="shared" si="0"/>
        <v>0.35</v>
      </c>
      <c r="D6">
        <f t="shared" si="1"/>
        <v>0.35</v>
      </c>
      <c r="F6" t="s">
        <v>131</v>
      </c>
      <c r="G6" s="47">
        <v>0.25</v>
      </c>
      <c r="I6" t="s">
        <v>436</v>
      </c>
      <c r="J6" s="47">
        <v>0.2843</v>
      </c>
    </row>
    <row r="7" spans="1:10" ht="16">
      <c r="A7" s="46" t="s">
        <v>19</v>
      </c>
      <c r="B7" s="46" t="str">
        <f>'Ratings worksheet'!A7</f>
        <v>Armenia</v>
      </c>
      <c r="C7" s="94">
        <f t="shared" si="0"/>
        <v>0.18</v>
      </c>
      <c r="D7">
        <f t="shared" si="1"/>
        <v>0.18</v>
      </c>
      <c r="F7" t="s">
        <v>457</v>
      </c>
      <c r="G7" s="47">
        <v>0</v>
      </c>
      <c r="I7" t="s">
        <v>439</v>
      </c>
      <c r="J7" s="47">
        <v>0.2281</v>
      </c>
    </row>
    <row r="8" spans="1:10" ht="16">
      <c r="A8" s="46" t="s">
        <v>201</v>
      </c>
      <c r="B8" s="46" t="str">
        <f>'Ratings worksheet'!A8</f>
        <v>Aruba</v>
      </c>
      <c r="C8" s="94">
        <f t="shared" si="0"/>
        <v>0.25</v>
      </c>
      <c r="D8">
        <f t="shared" si="1"/>
        <v>0.25</v>
      </c>
      <c r="F8" t="s">
        <v>410</v>
      </c>
      <c r="G8" s="47">
        <v>0.25</v>
      </c>
      <c r="I8" t="s">
        <v>464</v>
      </c>
      <c r="J8" s="47">
        <v>0.27179999999999999</v>
      </c>
    </row>
    <row r="9" spans="1:10" ht="16">
      <c r="A9" s="46" t="s">
        <v>85</v>
      </c>
      <c r="B9" s="46" t="str">
        <f>'Ratings worksheet'!A9</f>
        <v>Australia</v>
      </c>
      <c r="C9" s="94">
        <f t="shared" si="0"/>
        <v>0.3</v>
      </c>
      <c r="D9">
        <f t="shared" si="1"/>
        <v>0.3</v>
      </c>
      <c r="F9" t="s">
        <v>84</v>
      </c>
      <c r="G9" s="47">
        <v>0.35</v>
      </c>
    </row>
    <row r="10" spans="1:10" ht="16">
      <c r="A10" s="46" t="s">
        <v>176</v>
      </c>
      <c r="B10" s="46" t="str">
        <f>'Ratings worksheet'!A10</f>
        <v>Austria</v>
      </c>
      <c r="C10" s="94">
        <f t="shared" si="0"/>
        <v>0.24</v>
      </c>
      <c r="D10">
        <f t="shared" si="1"/>
        <v>0.24</v>
      </c>
      <c r="F10" t="s">
        <v>19</v>
      </c>
      <c r="G10" s="47">
        <v>0.18</v>
      </c>
    </row>
    <row r="11" spans="1:10" ht="16">
      <c r="A11" s="46" t="s">
        <v>20</v>
      </c>
      <c r="B11" s="46" t="str">
        <f>'Ratings worksheet'!A11</f>
        <v>Azerbaijan</v>
      </c>
      <c r="C11" s="94">
        <f t="shared" si="0"/>
        <v>0.2</v>
      </c>
      <c r="D11">
        <f t="shared" si="1"/>
        <v>0.2</v>
      </c>
      <c r="F11" t="s">
        <v>201</v>
      </c>
      <c r="G11" s="47">
        <v>0.25</v>
      </c>
    </row>
    <row r="12" spans="1:10" ht="16">
      <c r="A12" s="46" t="s">
        <v>86</v>
      </c>
      <c r="B12" s="46" t="str">
        <f>'Ratings worksheet'!A12</f>
        <v>Bahamas</v>
      </c>
      <c r="C12" s="94">
        <f t="shared" si="0"/>
        <v>0</v>
      </c>
      <c r="D12">
        <f t="shared" si="1"/>
        <v>0</v>
      </c>
      <c r="F12" t="s">
        <v>85</v>
      </c>
      <c r="G12" s="47">
        <v>0.3</v>
      </c>
    </row>
    <row r="13" spans="1:10" ht="16">
      <c r="A13" s="46" t="s">
        <v>87</v>
      </c>
      <c r="B13" s="46" t="str">
        <f>'Ratings worksheet'!A13</f>
        <v>Bahrain</v>
      </c>
      <c r="C13" s="94">
        <f t="shared" si="0"/>
        <v>0</v>
      </c>
      <c r="D13">
        <f t="shared" si="1"/>
        <v>0</v>
      </c>
      <c r="F13" t="s">
        <v>176</v>
      </c>
      <c r="G13" s="47">
        <v>0.24</v>
      </c>
    </row>
    <row r="14" spans="1:10" ht="16">
      <c r="A14" s="46" t="s">
        <v>132</v>
      </c>
      <c r="B14" s="46" t="str">
        <f>'Ratings worksheet'!A14</f>
        <v>Bangladesh</v>
      </c>
      <c r="C14" s="94">
        <f t="shared" si="0"/>
        <v>0.32500000000000001</v>
      </c>
      <c r="D14">
        <f t="shared" si="1"/>
        <v>0.32500000000000001</v>
      </c>
      <c r="F14" t="s">
        <v>20</v>
      </c>
      <c r="G14" s="47">
        <v>0.2</v>
      </c>
    </row>
    <row r="15" spans="1:10" ht="16">
      <c r="A15" s="46" t="s">
        <v>88</v>
      </c>
      <c r="B15" s="46" t="str">
        <f>'Ratings worksheet'!A15</f>
        <v>Barbados</v>
      </c>
      <c r="C15" s="94">
        <f t="shared" si="0"/>
        <v>5.5E-2</v>
      </c>
      <c r="D15">
        <f t="shared" si="1"/>
        <v>5.5E-2</v>
      </c>
      <c r="F15" t="s">
        <v>86</v>
      </c>
      <c r="G15" s="47">
        <v>0</v>
      </c>
    </row>
    <row r="16" spans="1:10" ht="16">
      <c r="A16" s="46" t="s">
        <v>5</v>
      </c>
      <c r="B16" s="46" t="str">
        <f>'Ratings worksheet'!A16</f>
        <v>Belarus</v>
      </c>
      <c r="C16" s="94">
        <f t="shared" si="0"/>
        <v>0.18</v>
      </c>
      <c r="D16">
        <f t="shared" si="1"/>
        <v>0.18</v>
      </c>
      <c r="F16" t="s">
        <v>87</v>
      </c>
      <c r="G16" s="47">
        <v>0</v>
      </c>
    </row>
    <row r="17" spans="1:7" ht="16">
      <c r="A17" s="46" t="s">
        <v>177</v>
      </c>
      <c r="B17" s="46" t="str">
        <f>'Ratings worksheet'!A17</f>
        <v>Belgium</v>
      </c>
      <c r="C17" s="94">
        <f t="shared" si="0"/>
        <v>0.25</v>
      </c>
      <c r="D17">
        <f t="shared" si="1"/>
        <v>0.25</v>
      </c>
      <c r="F17" t="s">
        <v>132</v>
      </c>
      <c r="G17" s="47">
        <v>0.32500000000000001</v>
      </c>
    </row>
    <row r="18" spans="1:7" ht="16">
      <c r="A18" s="46" t="s">
        <v>89</v>
      </c>
      <c r="B18" s="46" t="str">
        <f>'Ratings worksheet'!A18</f>
        <v>Belize</v>
      </c>
      <c r="C18" s="94">
        <f t="shared" si="0"/>
        <v>0.27179999999999999</v>
      </c>
      <c r="D18" s="35">
        <v>0.27179999999999999</v>
      </c>
      <c r="F18" t="s">
        <v>88</v>
      </c>
      <c r="G18" s="47">
        <v>5.5E-2</v>
      </c>
    </row>
    <row r="19" spans="1:7" ht="16">
      <c r="A19" s="46" t="s">
        <v>208</v>
      </c>
      <c r="B19" s="46" t="str">
        <f>'Ratings worksheet'!A19</f>
        <v>Benin</v>
      </c>
      <c r="C19" s="94">
        <f t="shared" si="0"/>
        <v>0.3</v>
      </c>
      <c r="D19">
        <f t="shared" ref="D19:D29" si="2">VLOOKUP(B19,$F$2:$G$174,2,FALSE)</f>
        <v>0.3</v>
      </c>
      <c r="F19" t="s">
        <v>5</v>
      </c>
      <c r="G19" s="47">
        <v>0.18</v>
      </c>
    </row>
    <row r="20" spans="1:7" ht="16">
      <c r="A20" s="46" t="s">
        <v>90</v>
      </c>
      <c r="B20" s="46" t="str">
        <f>'Ratings worksheet'!A20</f>
        <v>Bermuda</v>
      </c>
      <c r="C20" s="94">
        <f t="shared" si="0"/>
        <v>0</v>
      </c>
      <c r="D20">
        <f t="shared" si="2"/>
        <v>0</v>
      </c>
      <c r="F20" t="s">
        <v>177</v>
      </c>
      <c r="G20" s="47">
        <v>0.25</v>
      </c>
    </row>
    <row r="21" spans="1:7" ht="16">
      <c r="A21" s="46" t="s">
        <v>91</v>
      </c>
      <c r="B21" s="46" t="str">
        <f>'Ratings worksheet'!A21</f>
        <v>Bolivia</v>
      </c>
      <c r="C21" s="94">
        <f t="shared" si="0"/>
        <v>0.25</v>
      </c>
      <c r="D21">
        <f t="shared" si="2"/>
        <v>0.25</v>
      </c>
      <c r="F21" t="s">
        <v>208</v>
      </c>
      <c r="G21" s="47">
        <v>0.3</v>
      </c>
    </row>
    <row r="22" spans="1:7" ht="16">
      <c r="A22" s="46" t="s">
        <v>7</v>
      </c>
      <c r="B22" s="46" t="str">
        <f>'Ratings worksheet'!A22</f>
        <v>Bosnia and Herzegovina</v>
      </c>
      <c r="C22" s="94">
        <f t="shared" si="0"/>
        <v>0.1</v>
      </c>
      <c r="D22">
        <f t="shared" si="2"/>
        <v>0.1</v>
      </c>
      <c r="F22" t="s">
        <v>90</v>
      </c>
      <c r="G22" s="47">
        <v>0</v>
      </c>
    </row>
    <row r="23" spans="1:7" ht="16">
      <c r="A23" s="46" t="s">
        <v>123</v>
      </c>
      <c r="B23" s="46" t="str">
        <f>'Ratings worksheet'!A23</f>
        <v>Botswana</v>
      </c>
      <c r="C23" s="94">
        <f t="shared" si="0"/>
        <v>0.22</v>
      </c>
      <c r="D23">
        <f t="shared" si="2"/>
        <v>0.22</v>
      </c>
      <c r="F23" t="s">
        <v>91</v>
      </c>
      <c r="G23" s="47">
        <v>0.25</v>
      </c>
    </row>
    <row r="24" spans="1:7" ht="16">
      <c r="A24" s="46" t="s">
        <v>92</v>
      </c>
      <c r="B24" s="46" t="str">
        <f>'Ratings worksheet'!A24</f>
        <v>Brazil</v>
      </c>
      <c r="C24" s="94">
        <f t="shared" si="0"/>
        <v>0.34</v>
      </c>
      <c r="D24">
        <f t="shared" si="2"/>
        <v>0.34</v>
      </c>
      <c r="F24" t="s">
        <v>426</v>
      </c>
      <c r="G24" s="47">
        <v>0.25</v>
      </c>
    </row>
    <row r="25" spans="1:7" ht="16">
      <c r="A25" s="46" t="s">
        <v>94</v>
      </c>
      <c r="B25" s="46" t="str">
        <f>'Ratings worksheet'!A25</f>
        <v>Bulgaria</v>
      </c>
      <c r="C25" s="94">
        <f t="shared" si="0"/>
        <v>0.1</v>
      </c>
      <c r="D25">
        <f t="shared" si="2"/>
        <v>0.1</v>
      </c>
      <c r="F25" t="s">
        <v>7</v>
      </c>
      <c r="G25" s="47">
        <v>0.1</v>
      </c>
    </row>
    <row r="26" spans="1:7" ht="16">
      <c r="A26" s="46" t="s">
        <v>211</v>
      </c>
      <c r="B26" s="46" t="str">
        <f>'Ratings worksheet'!A26</f>
        <v>Burkina Faso</v>
      </c>
      <c r="C26" s="94">
        <f t="shared" si="0"/>
        <v>0.28000000000000003</v>
      </c>
      <c r="D26">
        <f t="shared" si="2"/>
        <v>0.28000000000000003</v>
      </c>
      <c r="F26" t="s">
        <v>123</v>
      </c>
      <c r="G26" s="47">
        <v>0.22</v>
      </c>
    </row>
    <row r="27" spans="1:7" ht="16">
      <c r="A27" s="46" t="s">
        <v>6</v>
      </c>
      <c r="B27" s="46" t="str">
        <f>'Ratings worksheet'!A27</f>
        <v>Cambodia</v>
      </c>
      <c r="C27" s="94">
        <f t="shared" si="0"/>
        <v>0.2</v>
      </c>
      <c r="D27">
        <f t="shared" si="2"/>
        <v>0.2</v>
      </c>
      <c r="F27" t="s">
        <v>92</v>
      </c>
      <c r="G27" s="47">
        <v>0.34</v>
      </c>
    </row>
    <row r="28" spans="1:7" ht="16">
      <c r="A28" s="46" t="s">
        <v>212</v>
      </c>
      <c r="B28" s="46" t="str">
        <f>'Ratings worksheet'!A28</f>
        <v>Cameroon</v>
      </c>
      <c r="C28" s="94">
        <f t="shared" si="0"/>
        <v>0.33</v>
      </c>
      <c r="D28">
        <f t="shared" si="2"/>
        <v>0.33</v>
      </c>
      <c r="F28" t="s">
        <v>391</v>
      </c>
      <c r="G28" s="47">
        <v>0.185</v>
      </c>
    </row>
    <row r="29" spans="1:7" ht="16">
      <c r="A29" s="46" t="s">
        <v>95</v>
      </c>
      <c r="B29" s="46" t="str">
        <f>'Ratings worksheet'!A29</f>
        <v>Canada</v>
      </c>
      <c r="C29" s="94">
        <f t="shared" si="0"/>
        <v>0.25</v>
      </c>
      <c r="D29">
        <f t="shared" si="2"/>
        <v>0.25</v>
      </c>
      <c r="F29" t="s">
        <v>94</v>
      </c>
      <c r="G29" s="47">
        <v>0.1</v>
      </c>
    </row>
    <row r="30" spans="1:7" ht="16">
      <c r="A30" s="46" t="s">
        <v>213</v>
      </c>
      <c r="B30" s="46" t="str">
        <f>'Ratings worksheet'!A30</f>
        <v>Cape Verde</v>
      </c>
      <c r="C30" s="94">
        <f t="shared" si="0"/>
        <v>0</v>
      </c>
      <c r="D30">
        <v>0</v>
      </c>
      <c r="F30" t="s">
        <v>211</v>
      </c>
      <c r="G30" s="47">
        <v>0.28000000000000003</v>
      </c>
    </row>
    <row r="31" spans="1:7" ht="16">
      <c r="A31" s="46" t="s">
        <v>55</v>
      </c>
      <c r="B31" s="46" t="str">
        <f>'Ratings worksheet'!A31</f>
        <v>Cayman Islands</v>
      </c>
      <c r="C31" s="94">
        <f t="shared" si="0"/>
        <v>0</v>
      </c>
      <c r="D31">
        <f>VLOOKUP(B31,$F$2:$G$174,2,FALSE)</f>
        <v>0</v>
      </c>
      <c r="F31" t="s">
        <v>400</v>
      </c>
      <c r="G31" s="47">
        <v>0.3</v>
      </c>
    </row>
    <row r="32" spans="1:7" ht="16">
      <c r="A32" s="46" t="s">
        <v>96</v>
      </c>
      <c r="B32" s="46" t="str">
        <f>'Ratings worksheet'!A32</f>
        <v>Chile</v>
      </c>
      <c r="C32" s="94">
        <f t="shared" si="0"/>
        <v>0.27</v>
      </c>
      <c r="D32">
        <f>VLOOKUP(B32,$F$2:$G$174,2,FALSE)</f>
        <v>0.27</v>
      </c>
      <c r="F32" t="s">
        <v>6</v>
      </c>
      <c r="G32" s="47">
        <v>0.2</v>
      </c>
    </row>
    <row r="33" spans="1:7" ht="16">
      <c r="A33" s="46" t="s">
        <v>97</v>
      </c>
      <c r="B33" s="46" t="str">
        <f>'Ratings worksheet'!A33</f>
        <v>China</v>
      </c>
      <c r="C33" s="94">
        <f t="shared" si="0"/>
        <v>0.25</v>
      </c>
      <c r="D33">
        <f>VLOOKUP(B33,$F$2:$G$174,2,FALSE)</f>
        <v>0.25</v>
      </c>
      <c r="F33" t="s">
        <v>212</v>
      </c>
      <c r="G33" s="47">
        <v>0.33</v>
      </c>
    </row>
    <row r="34" spans="1:7" ht="16">
      <c r="A34" s="46" t="s">
        <v>50</v>
      </c>
      <c r="B34" s="46" t="str">
        <f>'Ratings worksheet'!A34</f>
        <v>Colombia</v>
      </c>
      <c r="C34" s="94">
        <f t="shared" si="0"/>
        <v>0.35</v>
      </c>
      <c r="D34">
        <f>VLOOKUP(B34,$F$2:$G$174,2,FALSE)</f>
        <v>0.35</v>
      </c>
      <c r="F34" t="s">
        <v>95</v>
      </c>
      <c r="G34" s="47">
        <v>0.25</v>
      </c>
    </row>
    <row r="35" spans="1:7" ht="16">
      <c r="A35" s="46" t="s">
        <v>287</v>
      </c>
      <c r="B35" s="46" t="str">
        <f>'Ratings worksheet'!A35</f>
        <v>Congo (Democratic Republic of)</v>
      </c>
      <c r="C35" s="94">
        <f t="shared" si="0"/>
        <v>0.3</v>
      </c>
      <c r="D35" s="79">
        <v>0.3</v>
      </c>
      <c r="F35" t="s">
        <v>55</v>
      </c>
      <c r="G35" s="47">
        <v>0</v>
      </c>
    </row>
    <row r="36" spans="1:7" ht="16">
      <c r="A36" s="46" t="s">
        <v>288</v>
      </c>
      <c r="B36" s="46" t="str">
        <f>'Ratings worksheet'!A36</f>
        <v>Congo (Republic of)</v>
      </c>
      <c r="C36" s="94">
        <f t="shared" si="0"/>
        <v>0.28000000000000003</v>
      </c>
      <c r="D36">
        <v>0.28000000000000003</v>
      </c>
      <c r="F36" t="s">
        <v>96</v>
      </c>
      <c r="G36" s="47">
        <v>0.27</v>
      </c>
    </row>
    <row r="37" spans="1:7" ht="16">
      <c r="A37" s="46" t="s">
        <v>214</v>
      </c>
      <c r="B37" s="46" t="str">
        <f>'Ratings worksheet'!A37</f>
        <v>Cook Islands</v>
      </c>
      <c r="C37" s="94">
        <f t="shared" si="0"/>
        <v>0.2843</v>
      </c>
      <c r="D37" s="35">
        <v>0.2843</v>
      </c>
      <c r="F37" t="s">
        <v>97</v>
      </c>
      <c r="G37" s="47">
        <v>0.25</v>
      </c>
    </row>
    <row r="38" spans="1:7" ht="16">
      <c r="A38" s="46" t="s">
        <v>56</v>
      </c>
      <c r="B38" s="46" t="str">
        <f>'Ratings worksheet'!A38</f>
        <v>Costa Rica</v>
      </c>
      <c r="C38" s="94">
        <f t="shared" si="0"/>
        <v>0.3</v>
      </c>
      <c r="D38">
        <f>VLOOKUP(B38,$F$2:$G$174,2,FALSE)</f>
        <v>0.3</v>
      </c>
      <c r="F38" t="s">
        <v>50</v>
      </c>
      <c r="G38" s="47">
        <v>0.35</v>
      </c>
    </row>
    <row r="39" spans="1:7" ht="16">
      <c r="A39" s="46" t="s">
        <v>283</v>
      </c>
      <c r="B39" s="46" t="str">
        <f>'Ratings worksheet'!A39</f>
        <v>Côte d'Ivoire</v>
      </c>
      <c r="C39" s="94">
        <f>D39</f>
        <v>0.25</v>
      </c>
      <c r="D39">
        <v>0.25</v>
      </c>
      <c r="F39" t="s">
        <v>498</v>
      </c>
      <c r="G39" s="47">
        <v>0.28000000000000003</v>
      </c>
    </row>
    <row r="40" spans="1:7" ht="16">
      <c r="A40" s="46" t="s">
        <v>98</v>
      </c>
      <c r="B40" s="46" t="str">
        <f>'Ratings worksheet'!A40</f>
        <v>Croatia</v>
      </c>
      <c r="C40" s="94">
        <f t="shared" si="0"/>
        <v>0.18</v>
      </c>
      <c r="D40">
        <f>VLOOKUP(B40,$F$2:$G$174,2,FALSE)</f>
        <v>0.18</v>
      </c>
      <c r="F40" t="s">
        <v>458</v>
      </c>
      <c r="G40" s="47">
        <v>0.3</v>
      </c>
    </row>
    <row r="41" spans="1:7" ht="16">
      <c r="A41" s="46" t="s">
        <v>99</v>
      </c>
      <c r="B41" s="46" t="str">
        <f>'Ratings worksheet'!A41</f>
        <v>Cuba</v>
      </c>
      <c r="C41" s="94">
        <f t="shared" si="0"/>
        <v>0.27179999999999999</v>
      </c>
      <c r="D41" s="35">
        <v>0.27179999999999999</v>
      </c>
      <c r="F41" t="s">
        <v>56</v>
      </c>
      <c r="G41" s="47">
        <v>0.3</v>
      </c>
    </row>
    <row r="42" spans="1:7" ht="16">
      <c r="A42" s="46" t="s">
        <v>217</v>
      </c>
      <c r="B42" s="46" t="str">
        <f>'Ratings worksheet'!A42</f>
        <v>Curacao</v>
      </c>
      <c r="C42" s="94">
        <f t="shared" si="0"/>
        <v>0.22</v>
      </c>
      <c r="D42">
        <f t="shared" ref="D42:D60" si="3">VLOOKUP(B42,$F$2:$G$174,2,FALSE)</f>
        <v>0.22</v>
      </c>
      <c r="F42" t="s">
        <v>98</v>
      </c>
      <c r="G42" s="47">
        <v>0.18</v>
      </c>
    </row>
    <row r="43" spans="1:7" ht="16">
      <c r="A43" s="46" t="s">
        <v>178</v>
      </c>
      <c r="B43" s="46" t="str">
        <f>'Ratings worksheet'!A43</f>
        <v>Cyprus</v>
      </c>
      <c r="C43" s="94">
        <f t="shared" si="0"/>
        <v>0.125</v>
      </c>
      <c r="D43">
        <f t="shared" si="3"/>
        <v>0.125</v>
      </c>
      <c r="F43" t="s">
        <v>217</v>
      </c>
      <c r="G43" s="47">
        <v>0.22</v>
      </c>
    </row>
    <row r="44" spans="1:7" ht="16">
      <c r="A44" s="46" t="s">
        <v>101</v>
      </c>
      <c r="B44" s="46" t="str">
        <f>'Ratings worksheet'!A44</f>
        <v>Czech Republic</v>
      </c>
      <c r="C44" s="94">
        <f t="shared" si="0"/>
        <v>0.19</v>
      </c>
      <c r="D44">
        <f t="shared" si="3"/>
        <v>0.19</v>
      </c>
      <c r="F44" t="s">
        <v>178</v>
      </c>
      <c r="G44" s="47">
        <v>0.125</v>
      </c>
    </row>
    <row r="45" spans="1:7" ht="16">
      <c r="A45" s="46" t="s">
        <v>102</v>
      </c>
      <c r="B45" s="46" t="str">
        <f>'Ratings worksheet'!A45</f>
        <v>Denmark</v>
      </c>
      <c r="C45" s="94">
        <f t="shared" si="0"/>
        <v>0.22</v>
      </c>
      <c r="D45">
        <f t="shared" si="3"/>
        <v>0.22</v>
      </c>
      <c r="F45" t="s">
        <v>101</v>
      </c>
      <c r="G45" s="47">
        <v>0.19</v>
      </c>
    </row>
    <row r="46" spans="1:7" ht="16">
      <c r="A46" s="46" t="s">
        <v>103</v>
      </c>
      <c r="B46" s="46" t="str">
        <f>'Ratings worksheet'!A46</f>
        <v>Dominican Republic</v>
      </c>
      <c r="C46" s="94">
        <f t="shared" si="0"/>
        <v>0.27</v>
      </c>
      <c r="D46">
        <f t="shared" si="3"/>
        <v>0.27</v>
      </c>
      <c r="F46" t="s">
        <v>102</v>
      </c>
      <c r="G46" s="47">
        <v>0.22</v>
      </c>
    </row>
    <row r="47" spans="1:7" ht="16">
      <c r="A47" s="46" t="s">
        <v>104</v>
      </c>
      <c r="B47" s="46" t="str">
        <f>'Ratings worksheet'!A47</f>
        <v>Ecuador</v>
      </c>
      <c r="C47" s="94">
        <f t="shared" si="0"/>
        <v>0.25</v>
      </c>
      <c r="D47">
        <f t="shared" si="3"/>
        <v>0.25</v>
      </c>
      <c r="F47" t="s">
        <v>405</v>
      </c>
      <c r="G47" s="47">
        <v>0.25</v>
      </c>
    </row>
    <row r="48" spans="1:7" ht="16">
      <c r="A48" s="46" t="s">
        <v>105</v>
      </c>
      <c r="B48" s="46" t="str">
        <f>'Ratings worksheet'!A48</f>
        <v>Egypt</v>
      </c>
      <c r="C48" s="94">
        <f t="shared" si="0"/>
        <v>0.22500000000000001</v>
      </c>
      <c r="D48">
        <f t="shared" si="3"/>
        <v>0.22500000000000001</v>
      </c>
      <c r="F48" t="s">
        <v>419</v>
      </c>
      <c r="G48" s="47">
        <v>0.25</v>
      </c>
    </row>
    <row r="49" spans="1:7" ht="16">
      <c r="A49" s="46" t="s">
        <v>31</v>
      </c>
      <c r="B49" s="46" t="str">
        <f>'Ratings worksheet'!A49</f>
        <v>El Salvador</v>
      </c>
      <c r="C49" s="94">
        <f t="shared" si="0"/>
        <v>0.3</v>
      </c>
      <c r="D49">
        <f t="shared" si="3"/>
        <v>0.3</v>
      </c>
      <c r="F49" t="s">
        <v>103</v>
      </c>
      <c r="G49" s="47">
        <v>0.27</v>
      </c>
    </row>
    <row r="50" spans="1:7" ht="16">
      <c r="A50" s="46" t="s">
        <v>106</v>
      </c>
      <c r="B50" s="46" t="str">
        <f>'Ratings worksheet'!A50</f>
        <v>Estonia</v>
      </c>
      <c r="C50" s="94">
        <f t="shared" si="0"/>
        <v>0.2</v>
      </c>
      <c r="D50">
        <f t="shared" si="3"/>
        <v>0.2</v>
      </c>
      <c r="F50" t="s">
        <v>104</v>
      </c>
      <c r="G50" s="47">
        <v>0.25</v>
      </c>
    </row>
    <row r="51" spans="1:7" ht="16">
      <c r="A51" s="46" t="s">
        <v>284</v>
      </c>
      <c r="B51" s="46" t="str">
        <f>'Ratings worksheet'!A51</f>
        <v>Ethiopia</v>
      </c>
      <c r="C51" s="94">
        <f t="shared" si="0"/>
        <v>0.3</v>
      </c>
      <c r="D51">
        <f t="shared" si="3"/>
        <v>0.3</v>
      </c>
      <c r="F51" t="s">
        <v>105</v>
      </c>
      <c r="G51" s="47">
        <v>0.22500000000000001</v>
      </c>
    </row>
    <row r="52" spans="1:7" ht="16">
      <c r="A52" s="46" t="s">
        <v>219</v>
      </c>
      <c r="B52" s="46" t="str">
        <f>'Ratings worksheet'!A52</f>
        <v>Fiji</v>
      </c>
      <c r="C52" s="94">
        <f t="shared" si="0"/>
        <v>0.2</v>
      </c>
      <c r="D52">
        <f t="shared" si="3"/>
        <v>0.2</v>
      </c>
      <c r="F52" t="s">
        <v>31</v>
      </c>
      <c r="G52" s="47">
        <v>0.3</v>
      </c>
    </row>
    <row r="53" spans="1:7" ht="16">
      <c r="A53" s="46" t="s">
        <v>179</v>
      </c>
      <c r="B53" s="46" t="str">
        <f>'Ratings worksheet'!A53</f>
        <v>Finland</v>
      </c>
      <c r="C53" s="94">
        <f t="shared" si="0"/>
        <v>0.2</v>
      </c>
      <c r="D53">
        <f t="shared" si="3"/>
        <v>0.2</v>
      </c>
      <c r="F53" t="s">
        <v>106</v>
      </c>
      <c r="G53" s="47">
        <v>0.2</v>
      </c>
    </row>
    <row r="54" spans="1:7" ht="16">
      <c r="A54" s="46" t="s">
        <v>180</v>
      </c>
      <c r="B54" s="46" t="str">
        <f>'Ratings worksheet'!A54</f>
        <v>France</v>
      </c>
      <c r="C54" s="94">
        <f t="shared" si="0"/>
        <v>0.25</v>
      </c>
      <c r="D54">
        <f t="shared" si="3"/>
        <v>0.25</v>
      </c>
      <c r="F54" t="s">
        <v>284</v>
      </c>
      <c r="G54" s="47">
        <v>0.3</v>
      </c>
    </row>
    <row r="55" spans="1:7" ht="16">
      <c r="A55" s="46" t="s">
        <v>220</v>
      </c>
      <c r="B55" s="46" t="str">
        <f>'Ratings worksheet'!A55</f>
        <v>Gabon</v>
      </c>
      <c r="C55" s="94">
        <f t="shared" si="0"/>
        <v>0.3</v>
      </c>
      <c r="D55">
        <f t="shared" si="3"/>
        <v>0.3</v>
      </c>
      <c r="F55" t="s">
        <v>219</v>
      </c>
      <c r="G55" s="47">
        <v>0.2</v>
      </c>
    </row>
    <row r="56" spans="1:7" ht="16">
      <c r="A56" s="46" t="s">
        <v>133</v>
      </c>
      <c r="B56" s="46" t="str">
        <f>'Ratings worksheet'!A56</f>
        <v>Georgia</v>
      </c>
      <c r="C56" s="94">
        <f t="shared" si="0"/>
        <v>0.15</v>
      </c>
      <c r="D56">
        <f t="shared" si="3"/>
        <v>0.15</v>
      </c>
      <c r="F56" t="s">
        <v>179</v>
      </c>
      <c r="G56" s="47">
        <v>0.2</v>
      </c>
    </row>
    <row r="57" spans="1:7" ht="16">
      <c r="A57" s="46" t="s">
        <v>181</v>
      </c>
      <c r="B57" s="46" t="str">
        <f>'Ratings worksheet'!A57</f>
        <v>Germany</v>
      </c>
      <c r="C57" s="94">
        <f t="shared" si="0"/>
        <v>0.3</v>
      </c>
      <c r="D57">
        <f t="shared" si="3"/>
        <v>0.3</v>
      </c>
      <c r="F57" t="s">
        <v>180</v>
      </c>
      <c r="G57" s="47">
        <v>0.25</v>
      </c>
    </row>
    <row r="58" spans="1:7" ht="16">
      <c r="A58" s="46" t="s">
        <v>221</v>
      </c>
      <c r="B58" s="46" t="str">
        <f>'Ratings worksheet'!A58</f>
        <v>Ghana</v>
      </c>
      <c r="C58" s="94">
        <f t="shared" si="0"/>
        <v>0.25</v>
      </c>
      <c r="D58">
        <f t="shared" si="3"/>
        <v>0.25</v>
      </c>
      <c r="F58" t="s">
        <v>220</v>
      </c>
      <c r="G58" s="47">
        <v>0.3</v>
      </c>
    </row>
    <row r="59" spans="1:7" ht="16">
      <c r="A59" s="46" t="s">
        <v>182</v>
      </c>
      <c r="B59" s="46" t="str">
        <f>'Ratings worksheet'!A59</f>
        <v>Greece</v>
      </c>
      <c r="C59" s="94">
        <f t="shared" si="0"/>
        <v>0.22</v>
      </c>
      <c r="D59">
        <f t="shared" si="3"/>
        <v>0.22</v>
      </c>
      <c r="F59" t="s">
        <v>334</v>
      </c>
      <c r="G59" s="47">
        <v>0.27</v>
      </c>
    </row>
    <row r="60" spans="1:7" ht="16">
      <c r="A60" s="46" t="s">
        <v>107</v>
      </c>
      <c r="B60" s="46" t="str">
        <f>'Ratings worksheet'!A60</f>
        <v>Guatemala</v>
      </c>
      <c r="C60" s="94">
        <f t="shared" si="0"/>
        <v>0.25</v>
      </c>
      <c r="D60">
        <f t="shared" si="3"/>
        <v>0.25</v>
      </c>
      <c r="F60" t="s">
        <v>133</v>
      </c>
      <c r="G60" s="47">
        <v>0.15</v>
      </c>
    </row>
    <row r="61" spans="1:7" ht="16">
      <c r="A61" s="46" t="s">
        <v>289</v>
      </c>
      <c r="B61" s="46" t="str">
        <f>'Ratings worksheet'!A61</f>
        <v>Guernsey (States of)</v>
      </c>
      <c r="C61" s="94">
        <f t="shared" si="0"/>
        <v>0</v>
      </c>
      <c r="D61">
        <v>0</v>
      </c>
      <c r="F61" t="s">
        <v>181</v>
      </c>
      <c r="G61" s="47">
        <v>0.3</v>
      </c>
    </row>
    <row r="62" spans="1:7" ht="16">
      <c r="A62" s="46" t="s">
        <v>108</v>
      </c>
      <c r="B62" s="46" t="str">
        <f>'Ratings worksheet'!A62</f>
        <v>Honduras</v>
      </c>
      <c r="C62" s="94">
        <f t="shared" si="0"/>
        <v>0.25</v>
      </c>
      <c r="D62">
        <f>VLOOKUP(B62,$F$2:$G$174,2,FALSE)</f>
        <v>0.25</v>
      </c>
      <c r="F62" t="s">
        <v>221</v>
      </c>
      <c r="G62" s="47">
        <v>0.25</v>
      </c>
    </row>
    <row r="63" spans="1:7" ht="16">
      <c r="A63" s="46" t="s">
        <v>59</v>
      </c>
      <c r="B63" s="46" t="str">
        <f>'Ratings worksheet'!A63</f>
        <v>Hong Kong</v>
      </c>
      <c r="C63" s="94">
        <f t="shared" si="0"/>
        <v>0.16500000000000001</v>
      </c>
      <c r="D63">
        <v>0.16500000000000001</v>
      </c>
      <c r="F63" t="s">
        <v>427</v>
      </c>
      <c r="G63" s="47">
        <v>0.1</v>
      </c>
    </row>
    <row r="64" spans="1:7" ht="16">
      <c r="A64" s="46" t="s">
        <v>109</v>
      </c>
      <c r="B64" s="46" t="str">
        <f>'Ratings worksheet'!A64</f>
        <v>Hungary</v>
      </c>
      <c r="C64" s="94">
        <f t="shared" si="0"/>
        <v>0.09</v>
      </c>
      <c r="D64">
        <f t="shared" ref="D64:D74" si="4">VLOOKUP(B64,$F$2:$G$174,2,FALSE)</f>
        <v>0.09</v>
      </c>
      <c r="F64" t="s">
        <v>182</v>
      </c>
      <c r="G64" s="47">
        <v>0.22</v>
      </c>
    </row>
    <row r="65" spans="1:7" ht="16">
      <c r="A65" s="46" t="s">
        <v>110</v>
      </c>
      <c r="B65" s="46" t="str">
        <f>'Ratings worksheet'!A65</f>
        <v>Iceland</v>
      </c>
      <c r="C65" s="94">
        <f t="shared" si="0"/>
        <v>0.2</v>
      </c>
      <c r="D65">
        <f t="shared" si="4"/>
        <v>0.2</v>
      </c>
      <c r="F65" t="s">
        <v>412</v>
      </c>
      <c r="G65" s="47">
        <v>0.28000000000000003</v>
      </c>
    </row>
    <row r="66" spans="1:7" ht="16">
      <c r="A66" s="46" t="s">
        <v>111</v>
      </c>
      <c r="B66" s="46" t="str">
        <f>'Ratings worksheet'!A66</f>
        <v>India</v>
      </c>
      <c r="C66" s="94">
        <f t="shared" si="0"/>
        <v>0.3</v>
      </c>
      <c r="D66">
        <f t="shared" si="4"/>
        <v>0.3</v>
      </c>
      <c r="F66" t="s">
        <v>107</v>
      </c>
      <c r="G66" s="47">
        <v>0.25</v>
      </c>
    </row>
    <row r="67" spans="1:7" ht="16">
      <c r="A67" s="46" t="s">
        <v>112</v>
      </c>
      <c r="B67" s="46" t="s">
        <v>331</v>
      </c>
      <c r="C67" s="94">
        <f t="shared" ref="C67:C130" si="5">D67</f>
        <v>0.15</v>
      </c>
      <c r="D67">
        <f t="shared" si="4"/>
        <v>0.15</v>
      </c>
      <c r="F67" t="s">
        <v>428</v>
      </c>
      <c r="G67" s="47">
        <v>0</v>
      </c>
    </row>
    <row r="68" spans="1:7" ht="16">
      <c r="A68" s="46" t="s">
        <v>331</v>
      </c>
      <c r="B68" s="46" t="str">
        <f>'Ratings worksheet'!A68</f>
        <v>Iraq</v>
      </c>
      <c r="C68" s="94">
        <f t="shared" si="5"/>
        <v>0.15</v>
      </c>
      <c r="D68">
        <f t="shared" si="4"/>
        <v>0.15</v>
      </c>
      <c r="F68" t="s">
        <v>108</v>
      </c>
      <c r="G68" s="47">
        <v>0.25</v>
      </c>
    </row>
    <row r="69" spans="1:7" ht="16">
      <c r="A69" s="46" t="s">
        <v>183</v>
      </c>
      <c r="B69" s="46" t="str">
        <f>'Ratings worksheet'!A69</f>
        <v>Ireland</v>
      </c>
      <c r="C69" s="94">
        <f t="shared" si="5"/>
        <v>0.125</v>
      </c>
      <c r="D69">
        <f t="shared" si="4"/>
        <v>0.125</v>
      </c>
      <c r="F69" t="s">
        <v>429</v>
      </c>
      <c r="G69" s="47">
        <v>0.16500000000000001</v>
      </c>
    </row>
    <row r="70" spans="1:7" ht="16">
      <c r="A70" s="46" t="s">
        <v>113</v>
      </c>
      <c r="B70" s="46" t="str">
        <f>'Ratings worksheet'!A70</f>
        <v>Isle of Man</v>
      </c>
      <c r="C70" s="94">
        <f t="shared" si="5"/>
        <v>0</v>
      </c>
      <c r="D70">
        <f t="shared" si="4"/>
        <v>0</v>
      </c>
      <c r="F70" t="s">
        <v>109</v>
      </c>
      <c r="G70" s="47">
        <v>0.09</v>
      </c>
    </row>
    <row r="71" spans="1:7" ht="16">
      <c r="A71" s="46" t="s">
        <v>114</v>
      </c>
      <c r="B71" s="46" t="str">
        <f>'Ratings worksheet'!A71</f>
        <v>Israel</v>
      </c>
      <c r="C71" s="94">
        <f t="shared" si="5"/>
        <v>0.23</v>
      </c>
      <c r="D71">
        <f t="shared" si="4"/>
        <v>0.23</v>
      </c>
      <c r="F71" t="s">
        <v>110</v>
      </c>
      <c r="G71" s="47">
        <v>0.2</v>
      </c>
    </row>
    <row r="72" spans="1:7" ht="16">
      <c r="A72" s="46" t="s">
        <v>145</v>
      </c>
      <c r="B72" s="46" t="str">
        <f>'Ratings worksheet'!A72</f>
        <v>Italy</v>
      </c>
      <c r="C72" s="94">
        <f t="shared" si="5"/>
        <v>0.24</v>
      </c>
      <c r="D72">
        <f t="shared" si="4"/>
        <v>0.24</v>
      </c>
      <c r="F72" t="s">
        <v>111</v>
      </c>
      <c r="G72" s="47">
        <v>0.3</v>
      </c>
    </row>
    <row r="73" spans="1:7" ht="16">
      <c r="A73" s="46" t="s">
        <v>115</v>
      </c>
      <c r="B73" s="46" t="str">
        <f>'Ratings worksheet'!A73</f>
        <v>Jamaica</v>
      </c>
      <c r="C73" s="94">
        <f t="shared" si="5"/>
        <v>0.25</v>
      </c>
      <c r="D73">
        <f t="shared" si="4"/>
        <v>0.25</v>
      </c>
      <c r="F73" t="s">
        <v>112</v>
      </c>
      <c r="G73" s="47">
        <v>0.22</v>
      </c>
    </row>
    <row r="74" spans="1:7" ht="16">
      <c r="A74" s="46" t="s">
        <v>116</v>
      </c>
      <c r="B74" s="46" t="str">
        <f>'Ratings worksheet'!A74</f>
        <v>Japan</v>
      </c>
      <c r="C74" s="94">
        <f t="shared" si="5"/>
        <v>0.23200000000000001</v>
      </c>
      <c r="D74" s="175">
        <f t="shared" si="4"/>
        <v>0.23200000000000001</v>
      </c>
      <c r="F74" t="s">
        <v>331</v>
      </c>
      <c r="G74" s="47">
        <v>0.15</v>
      </c>
    </row>
    <row r="75" spans="1:7" ht="16">
      <c r="A75" s="46" t="s">
        <v>290</v>
      </c>
      <c r="B75" s="46" t="str">
        <f>'Ratings worksheet'!A75</f>
        <v>Jersey (States of)</v>
      </c>
      <c r="C75" s="94">
        <f t="shared" si="5"/>
        <v>0</v>
      </c>
      <c r="D75">
        <v>0</v>
      </c>
      <c r="F75" t="s">
        <v>183</v>
      </c>
      <c r="G75" s="47">
        <v>0.125</v>
      </c>
    </row>
    <row r="76" spans="1:7" ht="16">
      <c r="A76" s="46" t="s">
        <v>117</v>
      </c>
      <c r="B76" s="46" t="str">
        <f>'Ratings worksheet'!A76</f>
        <v>Jordan</v>
      </c>
      <c r="C76" s="94">
        <f t="shared" si="5"/>
        <v>0.2</v>
      </c>
      <c r="D76">
        <f>VLOOKUP(B76,$F$2:$G$174,2,FALSE)</f>
        <v>0.2</v>
      </c>
      <c r="F76" t="s">
        <v>113</v>
      </c>
      <c r="G76" s="47">
        <v>0</v>
      </c>
    </row>
    <row r="77" spans="1:7" ht="16">
      <c r="A77" s="46" t="s">
        <v>118</v>
      </c>
      <c r="B77" s="46" t="str">
        <f>'Ratings worksheet'!A77</f>
        <v>Kazakhstan</v>
      </c>
      <c r="C77" s="94">
        <f t="shared" si="5"/>
        <v>0.2</v>
      </c>
      <c r="D77">
        <f>VLOOKUP(B77,$F$2:$G$174,2,FALSE)</f>
        <v>0.2</v>
      </c>
      <c r="F77" t="s">
        <v>114</v>
      </c>
      <c r="G77" s="47">
        <v>0.23</v>
      </c>
    </row>
    <row r="78" spans="1:7" ht="16">
      <c r="A78" s="46" t="s">
        <v>184</v>
      </c>
      <c r="B78" s="46" t="str">
        <f>'Ratings worksheet'!A78</f>
        <v>Kenya</v>
      </c>
      <c r="C78" s="94">
        <f t="shared" si="5"/>
        <v>0.3</v>
      </c>
      <c r="D78">
        <f>VLOOKUP(B78,$F$2:$G$174,2,FALSE)</f>
        <v>0.3</v>
      </c>
      <c r="F78" t="s">
        <v>145</v>
      </c>
      <c r="G78" s="47">
        <v>0.24</v>
      </c>
    </row>
    <row r="79" spans="1:7" ht="16">
      <c r="A79" s="46" t="s">
        <v>119</v>
      </c>
      <c r="B79" s="46" t="str">
        <f>'Ratings worksheet'!A79</f>
        <v>Korea</v>
      </c>
      <c r="C79" s="94">
        <f t="shared" si="5"/>
        <v>0.25</v>
      </c>
      <c r="D79">
        <v>0.25</v>
      </c>
      <c r="F79" t="s">
        <v>459</v>
      </c>
      <c r="G79" s="47">
        <v>0.25</v>
      </c>
    </row>
    <row r="80" spans="1:7" ht="16">
      <c r="A80" s="46" t="s">
        <v>120</v>
      </c>
      <c r="B80" s="46" t="str">
        <f>'Ratings worksheet'!A80</f>
        <v>Kuwait</v>
      </c>
      <c r="C80" s="94">
        <f t="shared" si="5"/>
        <v>0.15</v>
      </c>
      <c r="D80">
        <f>VLOOKUP(B80,$F$2:$G$174,2,FALSE)</f>
        <v>0.15</v>
      </c>
      <c r="F80" t="s">
        <v>115</v>
      </c>
      <c r="G80" s="47">
        <v>0.25</v>
      </c>
    </row>
    <row r="81" spans="1:7" ht="16">
      <c r="A81" s="15" t="s">
        <v>353</v>
      </c>
      <c r="B81" s="46" t="str">
        <f>'Ratings worksheet'!A81</f>
        <v>Kyrgyzstan</v>
      </c>
      <c r="C81" s="94">
        <f t="shared" si="5"/>
        <v>0.1</v>
      </c>
      <c r="D81">
        <f>VLOOKUP(B81,$F$2:$G$174,2,FALSE)</f>
        <v>0.1</v>
      </c>
      <c r="F81" t="s">
        <v>116</v>
      </c>
      <c r="G81" s="47">
        <v>0.23200000000000001</v>
      </c>
    </row>
    <row r="82" spans="1:7" ht="16">
      <c r="A82" s="15" t="s">
        <v>343</v>
      </c>
      <c r="B82" s="46" t="s">
        <v>343</v>
      </c>
      <c r="C82" s="94">
        <f t="shared" si="5"/>
        <v>0.2281</v>
      </c>
      <c r="D82" s="35">
        <v>0.2281</v>
      </c>
      <c r="F82" t="s">
        <v>430</v>
      </c>
      <c r="G82" s="47">
        <v>0</v>
      </c>
    </row>
    <row r="83" spans="1:7" ht="16">
      <c r="A83" s="46" t="s">
        <v>121</v>
      </c>
      <c r="B83" s="46" t="str">
        <f>'Ratings worksheet'!A83</f>
        <v>Latvia</v>
      </c>
      <c r="C83" s="94">
        <f t="shared" si="5"/>
        <v>0.2</v>
      </c>
      <c r="D83">
        <f>VLOOKUP(B83,$F$2:$G$174,2,FALSE)</f>
        <v>0.2</v>
      </c>
      <c r="F83" t="s">
        <v>117</v>
      </c>
      <c r="G83" s="47">
        <v>0.2</v>
      </c>
    </row>
    <row r="84" spans="1:7" ht="16">
      <c r="A84" s="46" t="s">
        <v>122</v>
      </c>
      <c r="B84" s="46" t="str">
        <f>'Ratings worksheet'!A84</f>
        <v>Lebanon</v>
      </c>
      <c r="C84" s="94">
        <f t="shared" si="5"/>
        <v>0.17</v>
      </c>
      <c r="D84">
        <f>VLOOKUP(B84,$F$2:$G$174,2,FALSE)</f>
        <v>0.17</v>
      </c>
      <c r="F84" t="s">
        <v>118</v>
      </c>
      <c r="G84" s="47">
        <v>0.2</v>
      </c>
    </row>
    <row r="85" spans="1:7" ht="16">
      <c r="A85" s="46" t="s">
        <v>223</v>
      </c>
      <c r="B85" s="46" t="str">
        <f>'Ratings worksheet'!A85</f>
        <v>Liechtenstein</v>
      </c>
      <c r="C85" s="94">
        <f t="shared" si="5"/>
        <v>0.125</v>
      </c>
      <c r="D85">
        <f>VLOOKUP(B85,$F$2:$G$174,2,FALSE)</f>
        <v>0.125</v>
      </c>
      <c r="F85" t="s">
        <v>184</v>
      </c>
      <c r="G85" s="47">
        <v>0.3</v>
      </c>
    </row>
    <row r="86" spans="1:7" ht="16">
      <c r="A86" s="46" t="s">
        <v>13</v>
      </c>
      <c r="B86" s="46" t="str">
        <f>'Ratings worksheet'!A86</f>
        <v>Lithuania</v>
      </c>
      <c r="C86" s="94">
        <f t="shared" si="5"/>
        <v>0.15</v>
      </c>
      <c r="D86">
        <f>VLOOKUP(B86,$F$2:$G$174,2,FALSE)</f>
        <v>0.15</v>
      </c>
      <c r="F86" t="s">
        <v>431</v>
      </c>
      <c r="G86" s="47">
        <v>0.25</v>
      </c>
    </row>
    <row r="87" spans="1:7" ht="16">
      <c r="A87" s="46" t="s">
        <v>185</v>
      </c>
      <c r="B87" s="46" t="str">
        <f>'Ratings worksheet'!A87</f>
        <v>Luxembourg</v>
      </c>
      <c r="C87" s="94">
        <f t="shared" si="5"/>
        <v>0.24940000000000001</v>
      </c>
      <c r="D87">
        <f>VLOOKUP(B87,$F$2:$G$174,2,FALSE)</f>
        <v>0.24940000000000001</v>
      </c>
      <c r="F87" t="s">
        <v>120</v>
      </c>
      <c r="G87" s="47">
        <v>0.15</v>
      </c>
    </row>
    <row r="88" spans="1:7" ht="16">
      <c r="A88" s="46" t="s">
        <v>32</v>
      </c>
      <c r="B88" s="46" t="str">
        <f>'Ratings worksheet'!A88</f>
        <v>Macao</v>
      </c>
      <c r="C88" s="94">
        <f t="shared" si="5"/>
        <v>0.2281</v>
      </c>
      <c r="D88">
        <v>0.2281</v>
      </c>
      <c r="F88" t="s">
        <v>353</v>
      </c>
      <c r="G88" s="47">
        <v>0.1</v>
      </c>
    </row>
    <row r="89" spans="1:7" ht="16">
      <c r="A89" s="46" t="s">
        <v>146</v>
      </c>
      <c r="B89" s="46" t="str">
        <f>'Ratings worksheet'!A89</f>
        <v>Macedonia</v>
      </c>
      <c r="C89" s="94">
        <f t="shared" si="5"/>
        <v>0.1</v>
      </c>
      <c r="D89">
        <f>VLOOKUP(B89,$F$2:$G$174,2,FALSE)</f>
        <v>0.1</v>
      </c>
      <c r="F89" t="s">
        <v>121</v>
      </c>
      <c r="G89" s="47">
        <v>0.2</v>
      </c>
    </row>
    <row r="90" spans="1:7" ht="16">
      <c r="A90" s="46" t="s">
        <v>14</v>
      </c>
      <c r="B90" s="46" t="s">
        <v>14</v>
      </c>
      <c r="C90" s="94">
        <f t="shared" si="5"/>
        <v>0.24</v>
      </c>
      <c r="D90">
        <f>VLOOKUP(B90,$F$2:$G$174,2,FALSE)</f>
        <v>0.24</v>
      </c>
      <c r="F90" t="s">
        <v>122</v>
      </c>
      <c r="G90" s="47">
        <v>0.17</v>
      </c>
    </row>
    <row r="91" spans="1:7" ht="16">
      <c r="A91" s="46" t="s">
        <v>399</v>
      </c>
      <c r="B91" s="46" t="str">
        <f>'Ratings worksheet'!A91</f>
        <v>Maldives</v>
      </c>
      <c r="C91" s="94">
        <f t="shared" si="5"/>
        <v>0.2281</v>
      </c>
      <c r="D91">
        <v>0.2281</v>
      </c>
      <c r="F91" t="s">
        <v>322</v>
      </c>
      <c r="G91" s="47">
        <v>0.24</v>
      </c>
    </row>
    <row r="92" spans="1:7" ht="16">
      <c r="A92" s="141" t="s">
        <v>325</v>
      </c>
      <c r="B92" s="46" t="s">
        <v>325</v>
      </c>
      <c r="C92" s="94">
        <f t="shared" si="5"/>
        <v>0.2281</v>
      </c>
      <c r="D92" s="35">
        <v>0.2281</v>
      </c>
      <c r="F92" t="s">
        <v>223</v>
      </c>
      <c r="G92" s="47">
        <v>0.125</v>
      </c>
    </row>
    <row r="93" spans="1:7" ht="16">
      <c r="A93" s="46" t="s">
        <v>186</v>
      </c>
      <c r="B93" s="46" t="s">
        <v>186</v>
      </c>
      <c r="C93" s="94">
        <f t="shared" si="5"/>
        <v>0.35</v>
      </c>
      <c r="D93">
        <f t="shared" ref="D93:D98" si="6">VLOOKUP(B93,$F$2:$G$174,2,FALSE)</f>
        <v>0.35</v>
      </c>
      <c r="F93" t="s">
        <v>13</v>
      </c>
      <c r="G93" s="47">
        <v>0.15</v>
      </c>
    </row>
    <row r="94" spans="1:7" ht="16">
      <c r="A94" s="46" t="s">
        <v>15</v>
      </c>
      <c r="B94" s="46" t="str">
        <f>'Ratings worksheet'!A94</f>
        <v>Mauritius</v>
      </c>
      <c r="C94" s="94">
        <f t="shared" si="5"/>
        <v>0.15</v>
      </c>
      <c r="D94">
        <f t="shared" si="6"/>
        <v>0.15</v>
      </c>
      <c r="F94" t="s">
        <v>185</v>
      </c>
      <c r="G94" s="47">
        <v>0.24940000000000001</v>
      </c>
    </row>
    <row r="95" spans="1:7" ht="16">
      <c r="A95" s="46" t="s">
        <v>16</v>
      </c>
      <c r="B95" s="46" t="str">
        <f>'Ratings worksheet'!A95</f>
        <v>Mexico</v>
      </c>
      <c r="C95" s="94">
        <f t="shared" si="5"/>
        <v>0.3</v>
      </c>
      <c r="D95">
        <f t="shared" si="6"/>
        <v>0.3</v>
      </c>
      <c r="F95" t="s">
        <v>355</v>
      </c>
      <c r="G95" s="47">
        <v>0.12</v>
      </c>
    </row>
    <row r="96" spans="1:7" ht="16">
      <c r="A96" s="46" t="s">
        <v>17</v>
      </c>
      <c r="B96" s="46" t="str">
        <f>'Ratings worksheet'!A96</f>
        <v>Moldova</v>
      </c>
      <c r="C96" s="94">
        <f t="shared" si="5"/>
        <v>0.12</v>
      </c>
      <c r="D96">
        <f t="shared" si="6"/>
        <v>0.12</v>
      </c>
      <c r="F96" t="s">
        <v>146</v>
      </c>
      <c r="G96" s="47">
        <v>0.1</v>
      </c>
    </row>
    <row r="97" spans="1:7" ht="16">
      <c r="A97" s="46" t="s">
        <v>63</v>
      </c>
      <c r="B97" s="46" t="str">
        <f>'Ratings worksheet'!A97</f>
        <v>Mongolia</v>
      </c>
      <c r="C97" s="94">
        <f t="shared" si="5"/>
        <v>0.25</v>
      </c>
      <c r="D97">
        <f t="shared" si="6"/>
        <v>0.25</v>
      </c>
      <c r="F97" t="s">
        <v>336</v>
      </c>
      <c r="G97" s="47">
        <v>0.2</v>
      </c>
    </row>
    <row r="98" spans="1:7" ht="16">
      <c r="A98" s="46" t="s">
        <v>8</v>
      </c>
      <c r="B98" s="46" t="str">
        <f>'Ratings worksheet'!A98</f>
        <v>Montenegro</v>
      </c>
      <c r="C98" s="94">
        <f t="shared" si="5"/>
        <v>0.15</v>
      </c>
      <c r="D98">
        <f t="shared" si="6"/>
        <v>0.15</v>
      </c>
      <c r="F98" t="s">
        <v>327</v>
      </c>
      <c r="G98" s="47">
        <v>0.3</v>
      </c>
    </row>
    <row r="99" spans="1:7" ht="16">
      <c r="A99" s="46" t="s">
        <v>225</v>
      </c>
      <c r="B99" s="46" t="str">
        <f>'Ratings worksheet'!A99</f>
        <v>Montserrat</v>
      </c>
      <c r="C99" s="94">
        <f t="shared" si="5"/>
        <v>0.27179999999999999</v>
      </c>
      <c r="D99" s="35">
        <v>0.27179999999999999</v>
      </c>
      <c r="F99" t="s">
        <v>14</v>
      </c>
      <c r="G99" s="47">
        <v>0.24</v>
      </c>
    </row>
    <row r="100" spans="1:7" ht="16">
      <c r="A100" s="46" t="s">
        <v>18</v>
      </c>
      <c r="B100" s="46" t="str">
        <f>'Ratings worksheet'!A100</f>
        <v>Morocco</v>
      </c>
      <c r="C100" s="94">
        <f t="shared" si="5"/>
        <v>0.31</v>
      </c>
      <c r="D100">
        <f t="shared" ref="D100:D105" si="7">VLOOKUP(B100,$F$2:$G$174,2,FALSE)</f>
        <v>0.31</v>
      </c>
      <c r="F100" t="s">
        <v>186</v>
      </c>
      <c r="G100" s="47">
        <v>0.35</v>
      </c>
    </row>
    <row r="101" spans="1:7" ht="16">
      <c r="A101" s="46" t="s">
        <v>226</v>
      </c>
      <c r="B101" s="46" t="str">
        <f>'Ratings worksheet'!A101</f>
        <v>Mozambique</v>
      </c>
      <c r="C101" s="94">
        <f t="shared" si="5"/>
        <v>0.32</v>
      </c>
      <c r="D101">
        <f t="shared" si="7"/>
        <v>0.32</v>
      </c>
      <c r="F101" t="s">
        <v>397</v>
      </c>
      <c r="G101" s="47">
        <v>0.25</v>
      </c>
    </row>
    <row r="102" spans="1:7" ht="16">
      <c r="A102" s="46" t="s">
        <v>136</v>
      </c>
      <c r="B102" s="46" t="str">
        <f>'Ratings worksheet'!A102</f>
        <v>Namibia</v>
      </c>
      <c r="C102" s="94">
        <f t="shared" si="5"/>
        <v>0.32</v>
      </c>
      <c r="D102">
        <f t="shared" si="7"/>
        <v>0.32</v>
      </c>
      <c r="F102" t="s">
        <v>15</v>
      </c>
      <c r="G102" s="47">
        <v>0.15</v>
      </c>
    </row>
    <row r="103" spans="1:7" ht="16">
      <c r="A103" s="46" t="s">
        <v>187</v>
      </c>
      <c r="B103" s="46" t="str">
        <f>'Ratings worksheet'!A103</f>
        <v>Netherlands</v>
      </c>
      <c r="C103" s="94">
        <f t="shared" si="5"/>
        <v>0.25800000000000001</v>
      </c>
      <c r="D103">
        <f t="shared" si="7"/>
        <v>0.25800000000000001</v>
      </c>
      <c r="F103" t="s">
        <v>16</v>
      </c>
      <c r="G103" s="47">
        <v>0.3</v>
      </c>
    </row>
    <row r="104" spans="1:7" ht="16">
      <c r="A104" s="46" t="s">
        <v>21</v>
      </c>
      <c r="B104" s="46" t="str">
        <f>'Ratings worksheet'!A104</f>
        <v>New Zealand</v>
      </c>
      <c r="C104" s="94">
        <f t="shared" si="5"/>
        <v>0.28000000000000003</v>
      </c>
      <c r="D104">
        <f t="shared" si="7"/>
        <v>0.28000000000000003</v>
      </c>
      <c r="F104" t="s">
        <v>17</v>
      </c>
      <c r="G104" s="47">
        <v>0.12</v>
      </c>
    </row>
    <row r="105" spans="1:7" ht="16">
      <c r="A105" s="46" t="s">
        <v>22</v>
      </c>
      <c r="B105" s="46" t="str">
        <f>'Ratings worksheet'!A105</f>
        <v>Nicaragua</v>
      </c>
      <c r="C105" s="94">
        <f t="shared" si="5"/>
        <v>0.3</v>
      </c>
      <c r="D105">
        <f t="shared" si="7"/>
        <v>0.3</v>
      </c>
      <c r="F105" t="s">
        <v>448</v>
      </c>
      <c r="G105" s="47">
        <v>0.33</v>
      </c>
    </row>
    <row r="106" spans="1:7" ht="16">
      <c r="A106" s="46" t="s">
        <v>321</v>
      </c>
      <c r="B106" s="46" t="s">
        <v>321</v>
      </c>
      <c r="C106" s="94">
        <f t="shared" si="5"/>
        <v>0.2281</v>
      </c>
      <c r="D106" s="35">
        <v>0.2281</v>
      </c>
      <c r="F106" t="s">
        <v>63</v>
      </c>
      <c r="G106" s="47">
        <v>0.25</v>
      </c>
    </row>
    <row r="107" spans="1:7" ht="16">
      <c r="A107" s="46" t="s">
        <v>188</v>
      </c>
      <c r="B107" s="46" t="str">
        <f>'Ratings worksheet'!A107</f>
        <v>Nigeria</v>
      </c>
      <c r="C107" s="94">
        <f t="shared" si="5"/>
        <v>0.3</v>
      </c>
      <c r="D107">
        <f t="shared" ref="D107:D118" si="8">VLOOKUP(B107,$F$2:$G$174,2,FALSE)</f>
        <v>0.3</v>
      </c>
      <c r="F107" t="s">
        <v>8</v>
      </c>
      <c r="G107" s="47">
        <v>0.15</v>
      </c>
    </row>
    <row r="108" spans="1:7" ht="16">
      <c r="A108" s="46" t="s">
        <v>23</v>
      </c>
      <c r="B108" s="46" t="str">
        <f>'Ratings worksheet'!A108</f>
        <v>Norway</v>
      </c>
      <c r="C108" s="94">
        <f t="shared" si="5"/>
        <v>0.22</v>
      </c>
      <c r="D108">
        <f t="shared" si="8"/>
        <v>0.22</v>
      </c>
      <c r="F108" t="s">
        <v>18</v>
      </c>
      <c r="G108" s="47">
        <v>0.31</v>
      </c>
    </row>
    <row r="109" spans="1:7" ht="16">
      <c r="A109" s="46" t="s">
        <v>24</v>
      </c>
      <c r="B109" s="46" t="str">
        <f>'Ratings worksheet'!A109</f>
        <v>Oman</v>
      </c>
      <c r="C109" s="94">
        <f t="shared" si="5"/>
        <v>0.15</v>
      </c>
      <c r="D109">
        <f t="shared" si="8"/>
        <v>0.15</v>
      </c>
      <c r="F109" t="s">
        <v>226</v>
      </c>
      <c r="G109" s="47">
        <v>0.32</v>
      </c>
    </row>
    <row r="110" spans="1:7" ht="16">
      <c r="A110" s="46" t="s">
        <v>25</v>
      </c>
      <c r="B110" s="46" t="str">
        <f>'Ratings worksheet'!A110</f>
        <v>Pakistan</v>
      </c>
      <c r="C110" s="94">
        <f t="shared" si="5"/>
        <v>0.28999999999999998</v>
      </c>
      <c r="D110">
        <f t="shared" si="8"/>
        <v>0.28999999999999998</v>
      </c>
      <c r="F110" t="s">
        <v>335</v>
      </c>
      <c r="G110" s="47">
        <v>0.22</v>
      </c>
    </row>
    <row r="111" spans="1:7" ht="16">
      <c r="A111" s="46" t="s">
        <v>26</v>
      </c>
      <c r="B111" s="46" t="str">
        <f>'Ratings worksheet'!A111</f>
        <v>Panama</v>
      </c>
      <c r="C111" s="94">
        <f t="shared" si="5"/>
        <v>0.25</v>
      </c>
      <c r="D111">
        <f t="shared" si="8"/>
        <v>0.25</v>
      </c>
      <c r="F111" t="s">
        <v>136</v>
      </c>
      <c r="G111" s="47">
        <v>0.32</v>
      </c>
    </row>
    <row r="112" spans="1:7" ht="16">
      <c r="A112" s="46" t="s">
        <v>9</v>
      </c>
      <c r="B112" s="46" t="str">
        <f>'Ratings worksheet'!A112</f>
        <v>Papua New Guinea</v>
      </c>
      <c r="C112" s="94">
        <f t="shared" si="5"/>
        <v>0.3</v>
      </c>
      <c r="D112">
        <f t="shared" si="8"/>
        <v>0.3</v>
      </c>
      <c r="F112" t="s">
        <v>187</v>
      </c>
      <c r="G112" s="47">
        <v>0.25800000000000001</v>
      </c>
    </row>
    <row r="113" spans="1:7" ht="16">
      <c r="A113" s="46" t="s">
        <v>27</v>
      </c>
      <c r="B113" s="46" t="str">
        <f>'Ratings worksheet'!A113</f>
        <v>Paraguay</v>
      </c>
      <c r="C113" s="94">
        <f t="shared" si="5"/>
        <v>0.1</v>
      </c>
      <c r="D113">
        <f t="shared" si="8"/>
        <v>0.1</v>
      </c>
      <c r="F113" t="s">
        <v>21</v>
      </c>
      <c r="G113" s="47">
        <v>0.28000000000000003</v>
      </c>
    </row>
    <row r="114" spans="1:7" ht="16">
      <c r="A114" s="46" t="s">
        <v>28</v>
      </c>
      <c r="B114" s="46" t="str">
        <f>'Ratings worksheet'!A114</f>
        <v>Peru</v>
      </c>
      <c r="C114" s="94">
        <f t="shared" si="5"/>
        <v>0.29499999999999998</v>
      </c>
      <c r="D114">
        <f t="shared" si="8"/>
        <v>0.29499999999999998</v>
      </c>
      <c r="F114" t="s">
        <v>22</v>
      </c>
      <c r="G114" s="47">
        <v>0.3</v>
      </c>
    </row>
    <row r="115" spans="1:7" ht="16">
      <c r="A115" s="46" t="s">
        <v>29</v>
      </c>
      <c r="B115" s="46" t="str">
        <f>'Ratings worksheet'!A115</f>
        <v>Philippines</v>
      </c>
      <c r="C115" s="94">
        <f t="shared" si="5"/>
        <v>0.25</v>
      </c>
      <c r="D115">
        <f t="shared" si="8"/>
        <v>0.25</v>
      </c>
      <c r="F115" t="s">
        <v>188</v>
      </c>
      <c r="G115" s="47">
        <v>0.3</v>
      </c>
    </row>
    <row r="116" spans="1:7" ht="16">
      <c r="A116" s="46" t="s">
        <v>30</v>
      </c>
      <c r="B116" s="46" t="str">
        <f>'Ratings worksheet'!A116</f>
        <v>Poland</v>
      </c>
      <c r="C116" s="94">
        <f t="shared" si="5"/>
        <v>0.19</v>
      </c>
      <c r="D116">
        <f t="shared" si="8"/>
        <v>0.19</v>
      </c>
      <c r="F116" t="s">
        <v>23</v>
      </c>
      <c r="G116" s="47">
        <v>0.22</v>
      </c>
    </row>
    <row r="117" spans="1:7" ht="16">
      <c r="A117" s="46" t="s">
        <v>189</v>
      </c>
      <c r="B117" s="46" t="str">
        <f>'Ratings worksheet'!A117</f>
        <v>Portugal</v>
      </c>
      <c r="C117" s="94">
        <f t="shared" si="5"/>
        <v>0.21</v>
      </c>
      <c r="D117">
        <f t="shared" si="8"/>
        <v>0.21</v>
      </c>
      <c r="F117" t="s">
        <v>24</v>
      </c>
      <c r="G117" s="47">
        <v>0.15</v>
      </c>
    </row>
    <row r="118" spans="1:7" ht="16">
      <c r="A118" s="46" t="s">
        <v>74</v>
      </c>
      <c r="B118" s="46" t="str">
        <f>'Ratings worksheet'!A118</f>
        <v>Qatar</v>
      </c>
      <c r="C118" s="94">
        <f t="shared" si="5"/>
        <v>0.1</v>
      </c>
      <c r="D118">
        <f t="shared" si="8"/>
        <v>0.1</v>
      </c>
      <c r="F118" t="s">
        <v>25</v>
      </c>
      <c r="G118" s="47">
        <v>0.28999999999999998</v>
      </c>
    </row>
    <row r="119" spans="1:7" ht="16">
      <c r="A119" s="46" t="s">
        <v>291</v>
      </c>
      <c r="B119" s="46" t="str">
        <f>'Ratings worksheet'!A119</f>
        <v>Ras Al Khaimah (Emirate of)</v>
      </c>
      <c r="C119" s="94">
        <f t="shared" si="5"/>
        <v>0</v>
      </c>
      <c r="D119">
        <v>0</v>
      </c>
      <c r="F119" t="s">
        <v>460</v>
      </c>
      <c r="G119" s="47">
        <v>0.15</v>
      </c>
    </row>
    <row r="120" spans="1:7" ht="16">
      <c r="A120" s="46" t="s">
        <v>0</v>
      </c>
      <c r="B120" s="46" t="str">
        <f>'Ratings worksheet'!A120</f>
        <v>Romania</v>
      </c>
      <c r="C120" s="94">
        <f t="shared" si="5"/>
        <v>0.16</v>
      </c>
      <c r="D120">
        <f t="shared" ref="D120:D125" si="9">VLOOKUP(B120,$F$2:$G$174,2,FALSE)</f>
        <v>0.16</v>
      </c>
      <c r="F120" t="s">
        <v>26</v>
      </c>
      <c r="G120" s="47">
        <v>0.25</v>
      </c>
    </row>
    <row r="121" spans="1:7" ht="16">
      <c r="A121" s="46" t="s">
        <v>1</v>
      </c>
      <c r="B121" s="46" t="str">
        <f>'Ratings worksheet'!A121</f>
        <v>Russia</v>
      </c>
      <c r="C121" s="94">
        <f t="shared" si="5"/>
        <v>0.2</v>
      </c>
      <c r="D121">
        <f t="shared" si="9"/>
        <v>0.2</v>
      </c>
      <c r="F121" t="s">
        <v>9</v>
      </c>
      <c r="G121" s="47">
        <v>0.3</v>
      </c>
    </row>
    <row r="122" spans="1:7" ht="16">
      <c r="A122" s="46" t="s">
        <v>227</v>
      </c>
      <c r="B122" s="46" t="str">
        <f>'Ratings worksheet'!A122</f>
        <v>Rwanda</v>
      </c>
      <c r="C122" s="94">
        <f t="shared" si="5"/>
        <v>0.3</v>
      </c>
      <c r="D122">
        <f t="shared" si="9"/>
        <v>0.3</v>
      </c>
      <c r="F122" t="s">
        <v>27</v>
      </c>
      <c r="G122" s="47">
        <v>0.1</v>
      </c>
    </row>
    <row r="123" spans="1:7" ht="16">
      <c r="A123" s="46" t="s">
        <v>2</v>
      </c>
      <c r="B123" s="46" t="str">
        <f>'Ratings worksheet'!A123</f>
        <v>Saudi Arabia</v>
      </c>
      <c r="C123" s="94">
        <f t="shared" si="5"/>
        <v>0.2</v>
      </c>
      <c r="D123">
        <f t="shared" si="9"/>
        <v>0.2</v>
      </c>
      <c r="F123" t="s">
        <v>28</v>
      </c>
      <c r="G123" s="47">
        <v>0.29499999999999998</v>
      </c>
    </row>
    <row r="124" spans="1:7" ht="16">
      <c r="A124" s="46" t="s">
        <v>135</v>
      </c>
      <c r="B124" s="46" t="str">
        <f>'Ratings worksheet'!A124</f>
        <v>Senegal</v>
      </c>
      <c r="C124" s="94">
        <f t="shared" si="5"/>
        <v>0.3</v>
      </c>
      <c r="D124">
        <f t="shared" si="9"/>
        <v>0.3</v>
      </c>
      <c r="F124" t="s">
        <v>29</v>
      </c>
      <c r="G124" s="47">
        <v>0.25</v>
      </c>
    </row>
    <row r="125" spans="1:7" ht="16">
      <c r="A125" s="46" t="s">
        <v>147</v>
      </c>
      <c r="B125" s="46" t="str">
        <f>'Ratings worksheet'!A125</f>
        <v>Serbia</v>
      </c>
      <c r="C125" s="94">
        <f t="shared" si="5"/>
        <v>0.15</v>
      </c>
      <c r="D125">
        <f t="shared" si="9"/>
        <v>0.15</v>
      </c>
      <c r="F125" t="s">
        <v>30</v>
      </c>
      <c r="G125" s="47">
        <v>0.19</v>
      </c>
    </row>
    <row r="126" spans="1:7" ht="16">
      <c r="A126" s="46" t="s">
        <v>285</v>
      </c>
      <c r="B126" s="46" t="str">
        <f>'Ratings worksheet'!A126</f>
        <v>Sharjah</v>
      </c>
      <c r="C126" s="94">
        <f t="shared" si="5"/>
        <v>0</v>
      </c>
      <c r="D126">
        <v>0</v>
      </c>
      <c r="F126" t="s">
        <v>189</v>
      </c>
      <c r="G126" s="47">
        <v>0.21</v>
      </c>
    </row>
    <row r="127" spans="1:7" ht="16">
      <c r="A127" s="46" t="s">
        <v>3</v>
      </c>
      <c r="B127" s="46" t="str">
        <f>'Ratings worksheet'!A127</f>
        <v>Singapore</v>
      </c>
      <c r="C127" s="94">
        <f t="shared" si="5"/>
        <v>0.17</v>
      </c>
      <c r="D127">
        <f t="shared" ref="D127:D133" si="10">VLOOKUP(B127,$F$2:$G$174,2,FALSE)</f>
        <v>0.17</v>
      </c>
      <c r="F127" t="s">
        <v>74</v>
      </c>
      <c r="G127" s="47">
        <v>0.1</v>
      </c>
    </row>
    <row r="128" spans="1:7" ht="16">
      <c r="A128" s="46" t="s">
        <v>61</v>
      </c>
      <c r="B128" s="46" t="str">
        <f>'Ratings worksheet'!A128</f>
        <v>Slovakia</v>
      </c>
      <c r="C128" s="94">
        <f t="shared" si="5"/>
        <v>0.21</v>
      </c>
      <c r="D128">
        <f t="shared" si="10"/>
        <v>0.21</v>
      </c>
      <c r="F128" t="s">
        <v>0</v>
      </c>
      <c r="G128" s="47">
        <v>0.16</v>
      </c>
    </row>
    <row r="129" spans="1:7" ht="16">
      <c r="A129" s="46" t="s">
        <v>190</v>
      </c>
      <c r="B129" s="46" t="s">
        <v>190</v>
      </c>
      <c r="C129" s="94">
        <f t="shared" si="5"/>
        <v>0.19</v>
      </c>
      <c r="D129">
        <f t="shared" si="10"/>
        <v>0.19</v>
      </c>
      <c r="F129" t="s">
        <v>1</v>
      </c>
      <c r="G129" s="47">
        <v>0.2</v>
      </c>
    </row>
    <row r="130" spans="1:7" ht="16">
      <c r="A130" s="46" t="s">
        <v>411</v>
      </c>
      <c r="B130" s="46" t="str">
        <f>'Ratings worksheet'!A130</f>
        <v>Solomon Islands</v>
      </c>
      <c r="C130" s="94">
        <f t="shared" si="5"/>
        <v>0.3</v>
      </c>
      <c r="D130">
        <f t="shared" si="10"/>
        <v>0.3</v>
      </c>
      <c r="F130" t="s">
        <v>227</v>
      </c>
      <c r="G130" s="47">
        <v>0.3</v>
      </c>
    </row>
    <row r="131" spans="1:7" ht="16">
      <c r="A131" s="46" t="s">
        <v>76</v>
      </c>
      <c r="B131" s="46" t="str">
        <f>'Ratings worksheet'!A131</f>
        <v>South Africa</v>
      </c>
      <c r="C131" s="94">
        <f t="shared" ref="C131:C158" si="11">D131</f>
        <v>0.27</v>
      </c>
      <c r="D131">
        <f t="shared" si="10"/>
        <v>0.27</v>
      </c>
      <c r="F131" t="s">
        <v>461</v>
      </c>
      <c r="G131" s="47">
        <v>0.33</v>
      </c>
    </row>
    <row r="132" spans="1:7" ht="16">
      <c r="A132" s="46" t="s">
        <v>138</v>
      </c>
      <c r="B132" s="46" t="str">
        <f>'Ratings worksheet'!A132</f>
        <v>Spain</v>
      </c>
      <c r="C132" s="94">
        <f t="shared" si="11"/>
        <v>0.25</v>
      </c>
      <c r="D132">
        <f t="shared" si="10"/>
        <v>0.25</v>
      </c>
      <c r="F132" t="s">
        <v>462</v>
      </c>
      <c r="G132" s="47">
        <v>0.3</v>
      </c>
    </row>
    <row r="133" spans="1:7" ht="16">
      <c r="A133" s="46" t="s">
        <v>134</v>
      </c>
      <c r="B133" s="46" t="str">
        <f>'Ratings worksheet'!A133</f>
        <v>Sri Lanka</v>
      </c>
      <c r="C133" s="94">
        <f t="shared" si="11"/>
        <v>0.24</v>
      </c>
      <c r="D133">
        <f t="shared" si="10"/>
        <v>0.24</v>
      </c>
      <c r="F133" t="s">
        <v>463</v>
      </c>
      <c r="G133" s="47">
        <v>0.3</v>
      </c>
    </row>
    <row r="134" spans="1:7" ht="16">
      <c r="A134" s="46" t="s">
        <v>191</v>
      </c>
      <c r="B134" s="46" t="str">
        <f>'Ratings worksheet'!A134</f>
        <v>St. Maarten</v>
      </c>
      <c r="C134" s="94">
        <f t="shared" si="11"/>
        <v>0.27179999999999999</v>
      </c>
      <c r="D134" s="35">
        <v>0.27179999999999999</v>
      </c>
      <c r="F134" t="s">
        <v>415</v>
      </c>
      <c r="G134" s="47">
        <v>0.27</v>
      </c>
    </row>
    <row r="135" spans="1:7" ht="16">
      <c r="A135" s="46" t="s">
        <v>10</v>
      </c>
      <c r="B135" s="46" t="str">
        <f>'Ratings worksheet'!A135</f>
        <v>St. Vincent &amp; the Grenadines</v>
      </c>
      <c r="C135" s="94">
        <f t="shared" si="11"/>
        <v>0.27179999999999999</v>
      </c>
      <c r="D135" s="35">
        <v>0.27179999999999999</v>
      </c>
      <c r="F135" t="s">
        <v>2</v>
      </c>
      <c r="G135" s="47">
        <v>0.2</v>
      </c>
    </row>
    <row r="136" spans="1:7" ht="16">
      <c r="A136" s="46" t="s">
        <v>33</v>
      </c>
      <c r="B136" s="46" t="s">
        <v>33</v>
      </c>
      <c r="C136" s="94">
        <f t="shared" si="11"/>
        <v>0.36</v>
      </c>
      <c r="D136">
        <f t="shared" ref="D136:D143" si="12">VLOOKUP(B136,$F$2:$G$174,2,FALSE)</f>
        <v>0.36</v>
      </c>
      <c r="F136" t="s">
        <v>135</v>
      </c>
      <c r="G136" s="47">
        <v>0.3</v>
      </c>
    </row>
    <row r="137" spans="1:7" ht="16">
      <c r="A137" s="46" t="s">
        <v>398</v>
      </c>
      <c r="B137" s="46" t="str">
        <f>'Ratings worksheet'!A137</f>
        <v>Swaziland</v>
      </c>
      <c r="C137" s="94">
        <f t="shared" si="11"/>
        <v>0.27500000000000002</v>
      </c>
      <c r="D137">
        <f t="shared" si="12"/>
        <v>0.27500000000000002</v>
      </c>
      <c r="F137" t="s">
        <v>147</v>
      </c>
      <c r="G137" s="47">
        <v>0.15</v>
      </c>
    </row>
    <row r="138" spans="1:7" ht="16">
      <c r="A138" s="46" t="s">
        <v>34</v>
      </c>
      <c r="B138" s="46" t="str">
        <f>'Ratings worksheet'!A138</f>
        <v>Sweden</v>
      </c>
      <c r="C138" s="94">
        <f t="shared" si="11"/>
        <v>0.20600000000000002</v>
      </c>
      <c r="D138">
        <f t="shared" si="12"/>
        <v>0.20600000000000002</v>
      </c>
      <c r="F138" t="s">
        <v>329</v>
      </c>
      <c r="G138" s="47">
        <v>0.3</v>
      </c>
    </row>
    <row r="139" spans="1:7" ht="16">
      <c r="A139" s="46" t="s">
        <v>35</v>
      </c>
      <c r="B139" s="46" t="str">
        <f>'Ratings worksheet'!A139</f>
        <v>Switzerland</v>
      </c>
      <c r="C139" s="94">
        <f t="shared" si="11"/>
        <v>0.18</v>
      </c>
      <c r="D139">
        <f t="shared" si="12"/>
        <v>0.18</v>
      </c>
      <c r="F139" t="s">
        <v>3</v>
      </c>
      <c r="G139" s="47">
        <v>0.17</v>
      </c>
    </row>
    <row r="140" spans="1:7" ht="16">
      <c r="A140" s="46" t="s">
        <v>64</v>
      </c>
      <c r="B140" s="46" t="s">
        <v>64</v>
      </c>
      <c r="C140" s="94">
        <f t="shared" si="11"/>
        <v>0.2</v>
      </c>
      <c r="D140">
        <f t="shared" si="12"/>
        <v>0.2</v>
      </c>
      <c r="F140" t="s">
        <v>432</v>
      </c>
      <c r="G140" s="47">
        <v>0.35</v>
      </c>
    </row>
    <row r="141" spans="1:7" ht="16">
      <c r="A141" s="144" t="s">
        <v>395</v>
      </c>
      <c r="B141" s="46" t="s">
        <v>395</v>
      </c>
      <c r="C141" s="94">
        <f t="shared" si="11"/>
        <v>0.18</v>
      </c>
      <c r="D141">
        <f t="shared" si="12"/>
        <v>0.18</v>
      </c>
      <c r="F141" t="s">
        <v>61</v>
      </c>
      <c r="G141" s="47">
        <v>0.21</v>
      </c>
    </row>
    <row r="142" spans="1:7" ht="16">
      <c r="A142" s="144" t="s">
        <v>332</v>
      </c>
      <c r="B142" s="46" t="str">
        <f>'Ratings worksheet'!A142</f>
        <v>Tanzania</v>
      </c>
      <c r="C142" s="94">
        <f t="shared" si="11"/>
        <v>0.3</v>
      </c>
      <c r="D142">
        <f t="shared" si="12"/>
        <v>0.3</v>
      </c>
      <c r="F142" t="s">
        <v>190</v>
      </c>
      <c r="G142" s="47">
        <v>0.19</v>
      </c>
    </row>
    <row r="143" spans="1:7" ht="16">
      <c r="A143" s="46" t="s">
        <v>65</v>
      </c>
      <c r="B143" s="46" t="str">
        <f>'Ratings worksheet'!A143</f>
        <v>Thailand</v>
      </c>
      <c r="C143" s="94">
        <f t="shared" si="11"/>
        <v>0.2</v>
      </c>
      <c r="D143">
        <f t="shared" si="12"/>
        <v>0.2</v>
      </c>
      <c r="F143" t="s">
        <v>411</v>
      </c>
      <c r="G143" s="47">
        <v>0.3</v>
      </c>
    </row>
    <row r="144" spans="1:7" ht="16">
      <c r="A144" s="141" t="s">
        <v>324</v>
      </c>
      <c r="B144" s="46" t="s">
        <v>324</v>
      </c>
      <c r="C144" s="94">
        <f t="shared" si="11"/>
        <v>0.2281</v>
      </c>
      <c r="D144" s="35">
        <v>0.2281</v>
      </c>
      <c r="F144" t="s">
        <v>76</v>
      </c>
      <c r="G144" s="47">
        <v>0.27</v>
      </c>
    </row>
    <row r="145" spans="1:7" ht="16">
      <c r="A145" s="46" t="s">
        <v>11</v>
      </c>
      <c r="B145" s="46" t="str">
        <f>'Ratings worksheet'!A145</f>
        <v>Trinidad and Tobago</v>
      </c>
      <c r="C145" s="94">
        <f t="shared" si="11"/>
        <v>0.3</v>
      </c>
      <c r="D145">
        <f t="shared" ref="D145:D158" si="13">VLOOKUP(B145,$F$2:$G$175,2,FALSE)</f>
        <v>0.3</v>
      </c>
      <c r="F145" t="s">
        <v>138</v>
      </c>
      <c r="G145" s="47">
        <v>0.25</v>
      </c>
    </row>
    <row r="146" spans="1:7" ht="16">
      <c r="A146" s="46" t="s">
        <v>77</v>
      </c>
      <c r="B146" s="46" t="str">
        <f>'Ratings worksheet'!A146</f>
        <v>Tunisia</v>
      </c>
      <c r="C146" s="94">
        <f t="shared" si="11"/>
        <v>0.15</v>
      </c>
      <c r="D146">
        <f t="shared" si="13"/>
        <v>0.15</v>
      </c>
      <c r="F146" t="s">
        <v>134</v>
      </c>
      <c r="G146" s="47">
        <v>0.24</v>
      </c>
    </row>
    <row r="147" spans="1:7" ht="16">
      <c r="A147" s="46" t="s">
        <v>66</v>
      </c>
      <c r="B147" s="46" t="str">
        <f>'Ratings worksheet'!A147</f>
        <v>Turkey</v>
      </c>
      <c r="C147" s="94">
        <f t="shared" si="11"/>
        <v>0.23</v>
      </c>
      <c r="D147">
        <f t="shared" si="13"/>
        <v>0.23</v>
      </c>
      <c r="F147" t="s">
        <v>433</v>
      </c>
      <c r="G147" s="47">
        <v>0.35</v>
      </c>
    </row>
    <row r="148" spans="1:7" ht="16">
      <c r="A148" s="46" t="s">
        <v>292</v>
      </c>
      <c r="B148" s="46" t="str">
        <f>'Ratings worksheet'!A148</f>
        <v>Turks and Caicos Islands</v>
      </c>
      <c r="C148" s="94">
        <f t="shared" si="11"/>
        <v>0</v>
      </c>
      <c r="D148">
        <f t="shared" si="13"/>
        <v>0</v>
      </c>
      <c r="F148" t="s">
        <v>319</v>
      </c>
      <c r="G148" s="47">
        <v>0.35</v>
      </c>
    </row>
    <row r="149" spans="1:7" ht="16">
      <c r="A149" s="46" t="s">
        <v>228</v>
      </c>
      <c r="B149" s="46" t="str">
        <f>'Ratings worksheet'!A149</f>
        <v>Uganda</v>
      </c>
      <c r="C149" s="94">
        <f t="shared" si="11"/>
        <v>0.3</v>
      </c>
      <c r="D149">
        <f t="shared" si="13"/>
        <v>0.3</v>
      </c>
      <c r="F149" t="s">
        <v>33</v>
      </c>
      <c r="G149" s="47">
        <v>0.36</v>
      </c>
    </row>
    <row r="150" spans="1:7" ht="16">
      <c r="A150" s="46" t="s">
        <v>68</v>
      </c>
      <c r="B150" s="46" t="str">
        <f>'Ratings worksheet'!A150</f>
        <v>Ukraine</v>
      </c>
      <c r="C150" s="94">
        <f t="shared" si="11"/>
        <v>0.18</v>
      </c>
      <c r="D150">
        <f t="shared" si="13"/>
        <v>0.18</v>
      </c>
      <c r="F150" t="s">
        <v>398</v>
      </c>
      <c r="G150" s="47">
        <v>0.27500000000000002</v>
      </c>
    </row>
    <row r="151" spans="1:7" ht="16">
      <c r="A151" s="46" t="s">
        <v>60</v>
      </c>
      <c r="B151" s="46" t="str">
        <f>'Ratings worksheet'!A151</f>
        <v>United Arab Emirates</v>
      </c>
      <c r="C151" s="94">
        <f t="shared" si="11"/>
        <v>0</v>
      </c>
      <c r="D151">
        <f t="shared" si="13"/>
        <v>0</v>
      </c>
      <c r="F151" t="s">
        <v>34</v>
      </c>
      <c r="G151" s="47">
        <v>0.20600000000000002</v>
      </c>
    </row>
    <row r="152" spans="1:7" ht="16">
      <c r="A152" s="46" t="s">
        <v>57</v>
      </c>
      <c r="B152" s="46" t="str">
        <f>'Ratings worksheet'!A152</f>
        <v>United Kingdom</v>
      </c>
      <c r="C152" s="94">
        <f t="shared" si="11"/>
        <v>0.25</v>
      </c>
      <c r="D152">
        <f t="shared" si="13"/>
        <v>0.25</v>
      </c>
      <c r="F152" t="s">
        <v>35</v>
      </c>
      <c r="G152" s="47">
        <v>0.18</v>
      </c>
    </row>
    <row r="153" spans="1:7" ht="16">
      <c r="A153" s="46" t="s">
        <v>356</v>
      </c>
      <c r="B153" s="46" t="str">
        <f>'Ratings worksheet'!A153</f>
        <v>United States</v>
      </c>
      <c r="C153" s="94">
        <f t="shared" si="11"/>
        <v>0.25</v>
      </c>
      <c r="D153">
        <f t="shared" si="13"/>
        <v>0.25</v>
      </c>
      <c r="F153" t="s">
        <v>316</v>
      </c>
      <c r="G153" s="47">
        <v>0.28000000000000003</v>
      </c>
    </row>
    <row r="154" spans="1:7" ht="16">
      <c r="A154" s="46" t="s">
        <v>69</v>
      </c>
      <c r="B154" s="46" t="str">
        <f>'Ratings worksheet'!A154</f>
        <v>Uruguay</v>
      </c>
      <c r="C154" s="94">
        <f t="shared" si="11"/>
        <v>0.25</v>
      </c>
      <c r="D154">
        <f t="shared" si="13"/>
        <v>0.25</v>
      </c>
      <c r="F154" t="s">
        <v>64</v>
      </c>
      <c r="G154" s="47">
        <v>0.2</v>
      </c>
    </row>
    <row r="155" spans="1:7" ht="16">
      <c r="A155" s="156" t="s">
        <v>387</v>
      </c>
      <c r="B155" s="156" t="s">
        <v>387</v>
      </c>
      <c r="C155" s="94">
        <f t="shared" si="11"/>
        <v>0.15</v>
      </c>
      <c r="D155">
        <f t="shared" si="13"/>
        <v>0.15</v>
      </c>
      <c r="F155" s="144" t="s">
        <v>395</v>
      </c>
      <c r="G155" s="47">
        <v>0.18</v>
      </c>
    </row>
    <row r="156" spans="1:7" ht="16">
      <c r="A156" s="46" t="s">
        <v>70</v>
      </c>
      <c r="B156" s="46" t="str">
        <f>'Ratings worksheet'!A156</f>
        <v>Venezuela</v>
      </c>
      <c r="C156" s="94">
        <f t="shared" si="11"/>
        <v>0.34</v>
      </c>
      <c r="D156">
        <f t="shared" si="13"/>
        <v>0.34</v>
      </c>
      <c r="F156" t="s">
        <v>332</v>
      </c>
      <c r="G156" s="47">
        <v>0.3</v>
      </c>
    </row>
    <row r="157" spans="1:7" ht="16">
      <c r="A157" s="46" t="s">
        <v>71</v>
      </c>
      <c r="B157" s="46" t="s">
        <v>71</v>
      </c>
      <c r="C157" s="94">
        <f t="shared" si="11"/>
        <v>0.2</v>
      </c>
      <c r="D157">
        <f t="shared" si="13"/>
        <v>0.2</v>
      </c>
      <c r="F157" t="s">
        <v>65</v>
      </c>
      <c r="G157" s="47">
        <v>0.2</v>
      </c>
    </row>
    <row r="158" spans="1:7" ht="16">
      <c r="A158" s="46" t="s">
        <v>192</v>
      </c>
      <c r="B158" s="15" t="s">
        <v>192</v>
      </c>
      <c r="C158" s="94">
        <f t="shared" si="11"/>
        <v>0.35</v>
      </c>
      <c r="D158">
        <f t="shared" si="13"/>
        <v>0.35</v>
      </c>
      <c r="F158" t="s">
        <v>11</v>
      </c>
      <c r="G158" s="47">
        <v>0.3</v>
      </c>
    </row>
    <row r="159" spans="1:7">
      <c r="F159" t="s">
        <v>77</v>
      </c>
      <c r="G159" s="47">
        <v>0.15</v>
      </c>
    </row>
    <row r="160" spans="1:7">
      <c r="F160" t="s">
        <v>66</v>
      </c>
      <c r="G160" s="47">
        <v>0.23</v>
      </c>
    </row>
    <row r="161" spans="6:7">
      <c r="F161" t="s">
        <v>67</v>
      </c>
      <c r="G161" s="47">
        <v>0.2</v>
      </c>
    </row>
    <row r="162" spans="6:7">
      <c r="F162" t="s">
        <v>292</v>
      </c>
      <c r="G162" s="47">
        <v>0</v>
      </c>
    </row>
    <row r="163" spans="6:7">
      <c r="F163" t="s">
        <v>228</v>
      </c>
      <c r="G163" s="47">
        <v>0.3</v>
      </c>
    </row>
    <row r="164" spans="6:7">
      <c r="F164" t="s">
        <v>68</v>
      </c>
      <c r="G164" s="47">
        <v>0.18</v>
      </c>
    </row>
    <row r="165" spans="6:7">
      <c r="F165" t="s">
        <v>60</v>
      </c>
      <c r="G165" s="47">
        <v>0</v>
      </c>
    </row>
    <row r="166" spans="6:7">
      <c r="F166" t="s">
        <v>57</v>
      </c>
      <c r="G166" s="47">
        <v>0.25</v>
      </c>
    </row>
    <row r="167" spans="6:7">
      <c r="F167" t="s">
        <v>356</v>
      </c>
      <c r="G167" s="47">
        <v>0.25</v>
      </c>
    </row>
    <row r="168" spans="6:7">
      <c r="F168" t="s">
        <v>69</v>
      </c>
      <c r="G168" s="47">
        <v>0.25</v>
      </c>
    </row>
    <row r="169" spans="6:7">
      <c r="F169" t="s">
        <v>387</v>
      </c>
      <c r="G169" s="47">
        <v>0.15</v>
      </c>
    </row>
    <row r="170" spans="6:7">
      <c r="F170" t="s">
        <v>416</v>
      </c>
      <c r="G170" s="47">
        <v>0</v>
      </c>
    </row>
    <row r="171" spans="6:7">
      <c r="F171" t="s">
        <v>70</v>
      </c>
      <c r="G171" s="47">
        <v>0.34</v>
      </c>
    </row>
    <row r="172" spans="6:7">
      <c r="F172" t="s">
        <v>71</v>
      </c>
      <c r="G172" s="47">
        <v>0.2</v>
      </c>
    </row>
    <row r="173" spans="6:7">
      <c r="F173" t="s">
        <v>434</v>
      </c>
      <c r="G173" s="47">
        <v>0.2</v>
      </c>
    </row>
    <row r="174" spans="6:7">
      <c r="F174" t="s">
        <v>192</v>
      </c>
      <c r="G174" s="47">
        <v>0.35</v>
      </c>
    </row>
    <row r="175" spans="6:7">
      <c r="F175" t="s">
        <v>320</v>
      </c>
      <c r="G175" s="47">
        <v>0.2472</v>
      </c>
    </row>
  </sheetData>
  <pageMargins left="0.75" right="0.75" top="1" bottom="1" header="0.3" footer="0.3"/>
  <pageSetup orientation="portrait" horizontalDpi="0" verticalDpi="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2"/>
  <sheetViews>
    <sheetView topLeftCell="A142" workbookViewId="0">
      <selection activeCell="F161" sqref="F161:F181"/>
    </sheetView>
  </sheetViews>
  <sheetFormatPr baseColWidth="10" defaultRowHeight="16"/>
  <cols>
    <col min="1" max="1" width="26.83203125" style="85" bestFit="1" customWidth="1"/>
    <col min="2" max="2" width="14.33203125" style="136" customWidth="1"/>
    <col min="3" max="4" width="22.1640625" style="20" customWidth="1"/>
    <col min="5" max="6" width="20.83203125" style="25" customWidth="1"/>
    <col min="7" max="7" width="20.83203125" style="48" customWidth="1"/>
    <col min="10" max="10" width="18.5" customWidth="1"/>
    <col min="22" max="22" width="22.6640625" customWidth="1"/>
  </cols>
  <sheetData>
    <row r="1" spans="1:15" s="2" customFormat="1" ht="16" customHeight="1">
      <c r="A1" s="97" t="s">
        <v>75</v>
      </c>
      <c r="B1" s="133" t="s">
        <v>349</v>
      </c>
      <c r="C1" s="97" t="s">
        <v>140</v>
      </c>
      <c r="D1" s="97" t="s">
        <v>139</v>
      </c>
      <c r="E1" s="145" t="s">
        <v>350</v>
      </c>
      <c r="F1" s="145" t="s">
        <v>357</v>
      </c>
      <c r="G1" s="145" t="s">
        <v>380</v>
      </c>
      <c r="H1" s="146"/>
      <c r="I1" s="259" t="s">
        <v>349</v>
      </c>
      <c r="J1" s="259"/>
      <c r="K1" s="147"/>
      <c r="N1" s="223" t="s">
        <v>75</v>
      </c>
      <c r="O1" s="223" t="s">
        <v>570</v>
      </c>
    </row>
    <row r="2" spans="1:15">
      <c r="A2" s="46" t="str">
        <f>'ERPs by country'!A8</f>
        <v>Abu Dhabi</v>
      </c>
      <c r="B2" s="134" t="e">
        <f>VLOOKUP(A2,$N$2:$O$142,2,FALSE)</f>
        <v>#N/A</v>
      </c>
      <c r="C2" s="98">
        <f>'ERPs by country'!E8</f>
        <v>6.792004316400721E-2</v>
      </c>
      <c r="D2" s="24">
        <f>'ERPs by country'!D8</f>
        <v>6.0399082568807346E-3</v>
      </c>
      <c r="E2" s="24">
        <f>C2</f>
        <v>6.792004316400721E-2</v>
      </c>
      <c r="F2" s="57">
        <f>'Country Tax Rates'!C2</f>
        <v>0.15</v>
      </c>
      <c r="G2" s="57">
        <f>E2-'ERPs by country'!$E$3</f>
        <v>8.5200431640072086E-3</v>
      </c>
      <c r="I2" s="15" t="s">
        <v>347</v>
      </c>
      <c r="J2" s="15" t="s">
        <v>348</v>
      </c>
      <c r="K2" s="15" t="s">
        <v>312</v>
      </c>
      <c r="L2" t="s">
        <v>313</v>
      </c>
      <c r="N2" s="208" t="s">
        <v>4</v>
      </c>
      <c r="O2" s="75">
        <v>67.75</v>
      </c>
    </row>
    <row r="3" spans="1:15" ht="16" customHeight="1">
      <c r="A3" s="46" t="str">
        <f>'ERPs by country'!A9</f>
        <v>Albania</v>
      </c>
      <c r="B3" s="134">
        <f t="shared" ref="B3:B66" si="0">VLOOKUP(A3,$N$2:$O$142,2,FALSE)</f>
        <v>67.75</v>
      </c>
      <c r="C3" s="98">
        <f>'ERPs by country'!E9</f>
        <v>0.13709467932892289</v>
      </c>
      <c r="D3" s="24">
        <f>'ERPs by country'!D9</f>
        <v>5.5078211009174309E-2</v>
      </c>
      <c r="E3" s="24">
        <f t="shared" ref="E3:E66" si="1">C3</f>
        <v>0.13709467932892289</v>
      </c>
      <c r="F3" s="57">
        <f>'Country Tax Rates'!C3</f>
        <v>0.15</v>
      </c>
      <c r="G3" s="57">
        <f>E3-'ERPs by country'!$E$3</f>
        <v>7.7694679328922878E-2</v>
      </c>
      <c r="H3" s="75"/>
      <c r="I3" s="15">
        <v>0</v>
      </c>
      <c r="J3" s="99">
        <v>50</v>
      </c>
      <c r="K3" s="94">
        <f>$K$18+L3*'Relative Equity Volatility'!$D$7</f>
        <v>0.30625930485826308</v>
      </c>
      <c r="L3" s="47">
        <f>J41</f>
        <v>0.17499999999999999</v>
      </c>
      <c r="M3" t="s">
        <v>445</v>
      </c>
      <c r="N3" s="208" t="s">
        <v>337</v>
      </c>
      <c r="O3" s="75">
        <v>69.25</v>
      </c>
    </row>
    <row r="4" spans="1:15">
      <c r="A4" s="46" t="str">
        <f>'ERPs by country'!A10</f>
        <v>Andorra (Principality of)</v>
      </c>
      <c r="B4" s="134" t="e">
        <f t="shared" si="0"/>
        <v>#N/A</v>
      </c>
      <c r="C4" s="98">
        <f>'ERPs by country'!E10</f>
        <v>9.2263023632599236E-2</v>
      </c>
      <c r="D4" s="24">
        <f>'ERPs by country'!D10</f>
        <v>2.3296788990825688E-2</v>
      </c>
      <c r="E4" s="24">
        <f t="shared" si="1"/>
        <v>9.2263023632599236E-2</v>
      </c>
      <c r="F4" s="57">
        <f>'Country Tax Rates'!C4</f>
        <v>0.1898</v>
      </c>
      <c r="G4" s="57">
        <f>E4-'ERPs by country'!$E$3</f>
        <v>3.2863023632599235E-2</v>
      </c>
      <c r="H4" s="75"/>
      <c r="I4" s="99">
        <v>50.000999999999998</v>
      </c>
      <c r="J4" s="99">
        <v>55</v>
      </c>
      <c r="K4" s="94">
        <f>$K$18+L4*'Relative Equity Volatility'!$D$7</f>
        <v>0.26651819215360384</v>
      </c>
      <c r="L4" s="47">
        <f>J40</f>
        <v>0.14682729357798166</v>
      </c>
      <c r="M4" s="23" t="s">
        <v>444</v>
      </c>
      <c r="N4" s="208" t="s">
        <v>131</v>
      </c>
      <c r="O4" s="75">
        <v>68</v>
      </c>
    </row>
    <row r="5" spans="1:15">
      <c r="A5" s="46" t="str">
        <f>'ERPs by country'!A11</f>
        <v>Angola</v>
      </c>
      <c r="B5" s="134">
        <f t="shared" si="0"/>
        <v>68</v>
      </c>
      <c r="C5" s="98">
        <f>'ERPs by country'!E11</f>
        <v>0.17158056832609495</v>
      </c>
      <c r="D5" s="24">
        <f>'ERPs by country'!D11</f>
        <v>7.9525458715596339E-2</v>
      </c>
      <c r="E5" s="24">
        <f t="shared" si="1"/>
        <v>0.17158056832609495</v>
      </c>
      <c r="F5" s="57">
        <f>'Country Tax Rates'!C5</f>
        <v>0.25</v>
      </c>
      <c r="G5" s="57">
        <f>E5-'ERPs by country'!$E$3</f>
        <v>0.11218056832609494</v>
      </c>
      <c r="H5" s="75"/>
      <c r="I5" s="99">
        <v>55.000999999999998</v>
      </c>
      <c r="J5" s="99">
        <v>57</v>
      </c>
      <c r="K5" s="94">
        <f>$K$18+L5*'Relative Equity Volatility'!$D$7</f>
        <v>0.23203230315643184</v>
      </c>
      <c r="L5" s="47">
        <f>J39</f>
        <v>0.12238004587155965</v>
      </c>
      <c r="M5" t="s">
        <v>62</v>
      </c>
      <c r="N5" s="208" t="s">
        <v>84</v>
      </c>
      <c r="O5" s="75">
        <v>63.75</v>
      </c>
    </row>
    <row r="6" spans="1:15">
      <c r="A6" s="46" t="str">
        <f>'ERPs by country'!A12</f>
        <v>Argentina</v>
      </c>
      <c r="B6" s="134">
        <f t="shared" si="0"/>
        <v>63.75</v>
      </c>
      <c r="C6" s="98">
        <f>'ERPs by country'!E12</f>
        <v>0.26651819215360384</v>
      </c>
      <c r="D6" s="24">
        <f>'ERPs by country'!D12</f>
        <v>0.14682729357798166</v>
      </c>
      <c r="E6" s="24">
        <f t="shared" si="1"/>
        <v>0.26651819215360384</v>
      </c>
      <c r="F6" s="57">
        <f>'Country Tax Rates'!C6</f>
        <v>0.35</v>
      </c>
      <c r="G6" s="57">
        <f>E6-'ERPs by country'!$E$3</f>
        <v>0.20711819215360383</v>
      </c>
      <c r="H6" s="75"/>
      <c r="I6" s="99">
        <v>57.000999999999998</v>
      </c>
      <c r="J6" s="99">
        <v>60</v>
      </c>
      <c r="K6" s="94">
        <f>$K$18+L6*'Relative Equity Volatility'!$D$7</f>
        <v>0.21478935865784579</v>
      </c>
      <c r="L6" s="47">
        <f>J38</f>
        <v>0.11015642201834862</v>
      </c>
      <c r="M6" t="s">
        <v>58</v>
      </c>
      <c r="N6" s="208" t="s">
        <v>19</v>
      </c>
      <c r="O6" s="75">
        <v>60</v>
      </c>
    </row>
    <row r="7" spans="1:15">
      <c r="A7" s="46" t="str">
        <f>'ERPs by country'!A13</f>
        <v>Armenia</v>
      </c>
      <c r="B7" s="134">
        <f t="shared" si="0"/>
        <v>60</v>
      </c>
      <c r="C7" s="98">
        <f>'ERPs by country'!E13</f>
        <v>0.12147460019490969</v>
      </c>
      <c r="D7" s="24">
        <f>'ERPs by country'!D13</f>
        <v>4.4005045871559637E-2</v>
      </c>
      <c r="E7" s="24">
        <f t="shared" si="1"/>
        <v>0.12147460019490969</v>
      </c>
      <c r="F7" s="57">
        <f>'Country Tax Rates'!C7</f>
        <v>0.18</v>
      </c>
      <c r="G7" s="57">
        <f>E7-'ERPs by country'!$E$3</f>
        <v>6.2074600194909686E-2</v>
      </c>
      <c r="H7" s="75"/>
      <c r="I7" s="99">
        <v>60.000999999999998</v>
      </c>
      <c r="J7" s="99">
        <v>62</v>
      </c>
      <c r="K7" s="94">
        <f>$K$18+L7*'Relative Equity Volatility'!$D$7</f>
        <v>0.18882351282468096</v>
      </c>
      <c r="L7" s="47">
        <f>J37</f>
        <v>9.1749082568807344E-2</v>
      </c>
      <c r="M7" t="s">
        <v>100</v>
      </c>
      <c r="N7" s="208" t="s">
        <v>85</v>
      </c>
      <c r="O7" s="75">
        <v>81.25</v>
      </c>
    </row>
    <row r="8" spans="1:15">
      <c r="A8" s="46" t="str">
        <f>'ERPs by country'!A14</f>
        <v>Aruba</v>
      </c>
      <c r="B8" s="134" t="e">
        <f t="shared" si="0"/>
        <v>#N/A</v>
      </c>
      <c r="C8" s="98">
        <f>'ERPs by country'!E14</f>
        <v>9.2263023632599236E-2</v>
      </c>
      <c r="D8" s="24">
        <f>'ERPs by country'!D14</f>
        <v>2.3296788990825688E-2</v>
      </c>
      <c r="E8" s="24">
        <f t="shared" si="1"/>
        <v>9.2263023632599236E-2</v>
      </c>
      <c r="F8" s="57">
        <f>'Country Tax Rates'!C8</f>
        <v>0.25</v>
      </c>
      <c r="G8" s="57">
        <f>E8-'ERPs by country'!$E$3</f>
        <v>3.2863023632599235E-2</v>
      </c>
      <c r="H8" s="75"/>
      <c r="I8" s="99">
        <v>62.000999999999998</v>
      </c>
      <c r="J8" s="99">
        <v>64</v>
      </c>
      <c r="K8" s="94">
        <f>$K$18+L8*'Relative Equity Volatility'!$D$7</f>
        <v>0.17158056832609495</v>
      </c>
      <c r="L8" s="47">
        <f>J36</f>
        <v>7.9525458715596339E-2</v>
      </c>
      <c r="M8" t="s">
        <v>78</v>
      </c>
      <c r="N8" s="208" t="s">
        <v>176</v>
      </c>
      <c r="O8" s="75">
        <v>78.5</v>
      </c>
    </row>
    <row r="9" spans="1:15">
      <c r="A9" s="46" t="str">
        <f>'ERPs by country'!A15</f>
        <v>Australia</v>
      </c>
      <c r="B9" s="134">
        <f t="shared" si="0"/>
        <v>81.25</v>
      </c>
      <c r="C9" s="98">
        <f>'ERPs by country'!E15</f>
        <v>5.9400000000000001E-2</v>
      </c>
      <c r="D9" s="24">
        <f>'ERPs by country'!D15</f>
        <v>0</v>
      </c>
      <c r="E9" s="24">
        <f t="shared" si="1"/>
        <v>5.9400000000000001E-2</v>
      </c>
      <c r="F9" s="57">
        <f>'Country Tax Rates'!C9</f>
        <v>0.3</v>
      </c>
      <c r="G9" s="57">
        <f>E9-'ERPs by country'!$E$3</f>
        <v>0</v>
      </c>
      <c r="H9" s="75"/>
      <c r="I9" s="99">
        <v>64.001000000000005</v>
      </c>
      <c r="J9" s="99">
        <v>66</v>
      </c>
      <c r="K9" s="94">
        <f>$K$18+L9*'Relative Equity Volatility'!$D$7</f>
        <v>0.15433762382750893</v>
      </c>
      <c r="L9" s="47">
        <f>J35</f>
        <v>6.7301834862385335E-2</v>
      </c>
      <c r="M9" t="s">
        <v>49</v>
      </c>
      <c r="N9" s="208" t="s">
        <v>20</v>
      </c>
      <c r="O9" s="75">
        <v>72.5</v>
      </c>
    </row>
    <row r="10" spans="1:15">
      <c r="A10" s="46" t="str">
        <f>'ERPs by country'!A16</f>
        <v>Austria</v>
      </c>
      <c r="B10" s="134">
        <f t="shared" si="0"/>
        <v>78.5</v>
      </c>
      <c r="C10" s="98">
        <f>'ERPs by country'!E16</f>
        <v>6.6297177799434406E-2</v>
      </c>
      <c r="D10" s="24">
        <f>'ERPs by country'!D16</f>
        <v>4.8894495412844033E-3</v>
      </c>
      <c r="E10" s="24">
        <f t="shared" si="1"/>
        <v>6.6297177799434406E-2</v>
      </c>
      <c r="F10" s="57">
        <f>'Country Tax Rates'!C10</f>
        <v>0.24</v>
      </c>
      <c r="G10" s="57">
        <f>E10-'ERPs by country'!$E$3</f>
        <v>6.897177799434405E-3</v>
      </c>
      <c r="H10" s="75"/>
      <c r="I10" s="99">
        <v>66.001000000000005</v>
      </c>
      <c r="J10" s="99">
        <v>68</v>
      </c>
      <c r="K10" s="94">
        <f>$K$18+L10*'Relative Equity Volatility'!$D$7</f>
        <v>0.13709467932892289</v>
      </c>
      <c r="L10" s="47">
        <f>J34</f>
        <v>5.5078211009174309E-2</v>
      </c>
      <c r="M10" t="s">
        <v>48</v>
      </c>
      <c r="N10" s="208" t="s">
        <v>86</v>
      </c>
      <c r="O10" s="75">
        <v>71</v>
      </c>
    </row>
    <row r="11" spans="1:15">
      <c r="A11" s="46" t="str">
        <f>'ERPs by country'!A17</f>
        <v>Azerbaijan</v>
      </c>
      <c r="B11" s="134">
        <f t="shared" si="0"/>
        <v>72.5</v>
      </c>
      <c r="C11" s="98">
        <f>'ERPs by country'!E17</f>
        <v>0.10260879033175085</v>
      </c>
      <c r="D11" s="24">
        <f>'ERPs by country'!D17</f>
        <v>3.0630963302752296E-2</v>
      </c>
      <c r="E11" s="24">
        <f t="shared" si="1"/>
        <v>0.10260879033175085</v>
      </c>
      <c r="F11" s="57">
        <f>'Country Tax Rates'!C11</f>
        <v>0.2</v>
      </c>
      <c r="G11" s="57">
        <f>E11-'ERPs by country'!$E$3</f>
        <v>4.3208790331750853E-2</v>
      </c>
      <c r="H11" s="75"/>
      <c r="I11" s="99">
        <v>68.001000000000005</v>
      </c>
      <c r="J11" s="99">
        <v>69</v>
      </c>
      <c r="K11" s="94">
        <f>$K$18+L11*'Relative Equity Volatility'!$D$7</f>
        <v>0.12147460019490969</v>
      </c>
      <c r="L11" s="47">
        <f>J33</f>
        <v>4.4005045871559637E-2</v>
      </c>
      <c r="M11" t="s">
        <v>81</v>
      </c>
      <c r="N11" s="208" t="s">
        <v>87</v>
      </c>
      <c r="O11" s="75">
        <v>68.75</v>
      </c>
    </row>
    <row r="12" spans="1:15">
      <c r="A12" s="46" t="str">
        <f>'ERPs by country'!A18</f>
        <v>Bahamas</v>
      </c>
      <c r="B12" s="134">
        <f t="shared" si="0"/>
        <v>71</v>
      </c>
      <c r="C12" s="98">
        <f>'ERPs by country'!E18</f>
        <v>0.13709467932892289</v>
      </c>
      <c r="D12" s="24">
        <f>'ERPs by country'!D18</f>
        <v>5.5078211009174309E-2</v>
      </c>
      <c r="E12" s="24">
        <f t="shared" si="1"/>
        <v>0.13709467932892289</v>
      </c>
      <c r="F12" s="57">
        <f>'Country Tax Rates'!C12</f>
        <v>0</v>
      </c>
      <c r="G12" s="57">
        <f>E12-'ERPs by country'!$E$3</f>
        <v>7.7694679328922878E-2</v>
      </c>
      <c r="H12" s="75"/>
      <c r="I12" s="99">
        <v>69.001000000000005</v>
      </c>
      <c r="J12" s="99">
        <v>72</v>
      </c>
      <c r="K12" s="94">
        <f>$K$18+L12*'Relative Equity Volatility'!$D$7</f>
        <v>0.11133169166632967</v>
      </c>
      <c r="L12" s="47">
        <f>J32</f>
        <v>3.6814678899082569E-2</v>
      </c>
      <c r="M12" t="s">
        <v>80</v>
      </c>
      <c r="N12" s="208" t="s">
        <v>132</v>
      </c>
      <c r="O12" s="75">
        <v>62.5</v>
      </c>
    </row>
    <row r="13" spans="1:15">
      <c r="A13" s="46" t="str">
        <f>'ERPs by country'!A19</f>
        <v>Bahrain</v>
      </c>
      <c r="B13" s="134">
        <f t="shared" si="0"/>
        <v>68.75</v>
      </c>
      <c r="C13" s="98">
        <f>'ERPs by country'!E19</f>
        <v>0.15433762382750893</v>
      </c>
      <c r="D13" s="24">
        <f>'ERPs by country'!D19</f>
        <v>6.7301834862385335E-2</v>
      </c>
      <c r="E13" s="24">
        <f t="shared" si="1"/>
        <v>0.15433762382750893</v>
      </c>
      <c r="F13" s="57">
        <f>'Country Tax Rates'!C13</f>
        <v>0</v>
      </c>
      <c r="G13" s="57">
        <f>E13-'ERPs by country'!$E$3</f>
        <v>9.4937623827508921E-2</v>
      </c>
      <c r="H13" s="75"/>
      <c r="I13" s="99">
        <v>72.001000000000005</v>
      </c>
      <c r="J13" s="99">
        <v>74</v>
      </c>
      <c r="K13" s="94">
        <f>$K$18+L13*'Relative Equity Volatility'!$D$7</f>
        <v>9.2263023632599236E-2</v>
      </c>
      <c r="L13" s="47">
        <f>J29</f>
        <v>2.3296788990825688E-2</v>
      </c>
      <c r="M13" t="s">
        <v>83</v>
      </c>
      <c r="N13" s="208" t="s">
        <v>5</v>
      </c>
      <c r="O13" s="75">
        <v>57</v>
      </c>
    </row>
    <row r="14" spans="1:15">
      <c r="A14" s="46" t="str">
        <f>'ERPs by country'!A20</f>
        <v>Bangladesh</v>
      </c>
      <c r="B14" s="134">
        <f t="shared" si="0"/>
        <v>62.5</v>
      </c>
      <c r="C14" s="98">
        <f>'ERPs by country'!E20</f>
        <v>0.12147460019490969</v>
      </c>
      <c r="D14" s="24">
        <f>'ERPs by country'!D20</f>
        <v>4.4005045871559637E-2</v>
      </c>
      <c r="E14" s="24">
        <f t="shared" si="1"/>
        <v>0.12147460019490969</v>
      </c>
      <c r="F14" s="57">
        <f>'Country Tax Rates'!C14</f>
        <v>0.32500000000000001</v>
      </c>
      <c r="G14" s="57">
        <f>E14-'ERPs by country'!$E$3</f>
        <v>6.2074600194909686E-2</v>
      </c>
      <c r="H14" s="75"/>
      <c r="I14" s="99">
        <v>74.001000000000005</v>
      </c>
      <c r="J14" s="99">
        <v>76</v>
      </c>
      <c r="K14" s="94">
        <f>$K$18+L14*'Relative Equity Volatility'!$D$7</f>
        <v>8.6988711197737628E-2</v>
      </c>
      <c r="L14" s="47">
        <f>J28</f>
        <v>1.9557798165137613E-2</v>
      </c>
      <c r="M14" t="s">
        <v>82</v>
      </c>
      <c r="N14" s="208" t="s">
        <v>177</v>
      </c>
      <c r="O14" s="75">
        <v>74.5</v>
      </c>
    </row>
    <row r="15" spans="1:15">
      <c r="A15" s="46" t="str">
        <f>'ERPs by country'!A21</f>
        <v>Barbados</v>
      </c>
      <c r="B15" s="134" t="e">
        <f t="shared" si="0"/>
        <v>#N/A</v>
      </c>
      <c r="C15" s="98">
        <f>'ERPs by country'!E21</f>
        <v>0.18882351282468096</v>
      </c>
      <c r="D15" s="24">
        <f>'ERPs by country'!D21</f>
        <v>9.1749082568807344E-2</v>
      </c>
      <c r="E15" s="24">
        <f t="shared" si="1"/>
        <v>0.18882351282468096</v>
      </c>
      <c r="F15" s="57">
        <f>'Country Tax Rates'!C15</f>
        <v>5.5E-2</v>
      </c>
      <c r="G15" s="57">
        <f>E15-'ERPs by country'!$E$3</f>
        <v>0.12942351282468095</v>
      </c>
      <c r="H15" s="75"/>
      <c r="I15" s="99">
        <v>76.001000000000005</v>
      </c>
      <c r="J15" s="99">
        <v>80</v>
      </c>
      <c r="K15" s="94">
        <f>$K$18+L15*'Relative Equity Volatility'!$D$7</f>
        <v>7.4005788281155213E-2</v>
      </c>
      <c r="L15" s="47">
        <f>J26</f>
        <v>1.0354128440366973E-2</v>
      </c>
      <c r="M15" t="s">
        <v>42</v>
      </c>
      <c r="N15" s="208" t="s">
        <v>91</v>
      </c>
      <c r="O15" s="75">
        <v>66.5</v>
      </c>
    </row>
    <row r="16" spans="1:15">
      <c r="A16" s="46" t="str">
        <f>'ERPs by country'!A22</f>
        <v>Belarus</v>
      </c>
      <c r="B16" s="134">
        <f t="shared" si="0"/>
        <v>57</v>
      </c>
      <c r="C16" s="98">
        <f>'ERPs by country'!E22</f>
        <v>0.26651819215360384</v>
      </c>
      <c r="D16" s="24">
        <f>'ERPs by country'!D22</f>
        <v>0.14682729357798166</v>
      </c>
      <c r="E16" s="24">
        <f t="shared" si="1"/>
        <v>0.26651819215360384</v>
      </c>
      <c r="F16" s="57">
        <f>'Country Tax Rates'!C16</f>
        <v>0.18</v>
      </c>
      <c r="G16" s="57">
        <f>E16-'ERPs by country'!$E$3</f>
        <v>0.20711819215360383</v>
      </c>
      <c r="H16" s="75"/>
      <c r="I16" s="99">
        <v>80.001000000000005</v>
      </c>
      <c r="J16" s="99">
        <v>82.5</v>
      </c>
      <c r="K16" s="94">
        <f>$K$18+L16*'Relative Equity Volatility'!$D$7</f>
        <v>6.9745766699151612E-2</v>
      </c>
      <c r="L16" s="47">
        <f>J24</f>
        <v>7.3341743119266058E-3</v>
      </c>
      <c r="M16" t="s">
        <v>46</v>
      </c>
      <c r="N16" s="208" t="s">
        <v>123</v>
      </c>
      <c r="O16" s="75">
        <v>77</v>
      </c>
    </row>
    <row r="17" spans="1:15">
      <c r="A17" s="46" t="str">
        <f>'ERPs by country'!A23</f>
        <v>Belgium</v>
      </c>
      <c r="B17" s="134">
        <f t="shared" si="0"/>
        <v>74.5</v>
      </c>
      <c r="C17" s="98">
        <f>'ERPs by country'!E23</f>
        <v>6.9745766699151612E-2</v>
      </c>
      <c r="D17" s="24">
        <f>'ERPs by country'!D23</f>
        <v>7.3341743119266058E-3</v>
      </c>
      <c r="E17" s="24">
        <f t="shared" si="1"/>
        <v>6.9745766699151612E-2</v>
      </c>
      <c r="F17" s="57">
        <f>'Country Tax Rates'!C17</f>
        <v>0.25</v>
      </c>
      <c r="G17" s="57">
        <f>E17-'ERPs by country'!$E$3</f>
        <v>1.0345766699151611E-2</v>
      </c>
      <c r="H17" s="75"/>
      <c r="I17" s="99">
        <v>82.501000000000005</v>
      </c>
      <c r="J17" s="99">
        <v>85</v>
      </c>
      <c r="K17" s="94">
        <f>$K$18+L17*'Relative Equity Volatility'!$D$7</f>
        <v>6.6297177799434406E-2</v>
      </c>
      <c r="L17" s="47">
        <f>J22</f>
        <v>4.8894495412844033E-3</v>
      </c>
      <c r="M17" t="s">
        <v>44</v>
      </c>
      <c r="N17" s="208" t="s">
        <v>92</v>
      </c>
      <c r="O17" s="75">
        <v>70</v>
      </c>
    </row>
    <row r="18" spans="1:15">
      <c r="A18" s="46" t="str">
        <f>'ERPs by country'!A24</f>
        <v>Belize</v>
      </c>
      <c r="B18" s="134" t="e">
        <f t="shared" si="0"/>
        <v>#N/A</v>
      </c>
      <c r="C18" s="98">
        <f>'ERPs by country'!E24</f>
        <v>0.21478935865784579</v>
      </c>
      <c r="D18" s="24">
        <f>'ERPs by country'!D24</f>
        <v>0.11015642201834862</v>
      </c>
      <c r="E18" s="24">
        <f t="shared" si="1"/>
        <v>0.21478935865784579</v>
      </c>
      <c r="F18" s="57">
        <f>'Country Tax Rates'!C18</f>
        <v>0.27179999999999999</v>
      </c>
      <c r="G18" s="57">
        <f>E18-'ERPs by country'!$E$3</f>
        <v>0.15538935865784578</v>
      </c>
      <c r="H18" s="75"/>
      <c r="I18" s="99">
        <v>85.001000000000005</v>
      </c>
      <c r="J18" s="99">
        <v>90.000100000000003</v>
      </c>
      <c r="K18" s="94">
        <f>'ERPs by country'!E3</f>
        <v>5.9400000000000001E-2</v>
      </c>
      <c r="L18" s="47">
        <f>J21</f>
        <v>0</v>
      </c>
      <c r="M18" t="s">
        <v>47</v>
      </c>
      <c r="N18" s="208" t="s">
        <v>338</v>
      </c>
      <c r="O18" s="75">
        <v>79.5</v>
      </c>
    </row>
    <row r="19" spans="1:15">
      <c r="A19" s="46" t="str">
        <f>'ERPs by country'!A25</f>
        <v>Benin</v>
      </c>
      <c r="B19" s="134" t="e">
        <f t="shared" si="0"/>
        <v>#N/A</v>
      </c>
      <c r="C19" s="98">
        <f>'ERPs by country'!E25</f>
        <v>0.13709467932892289</v>
      </c>
      <c r="D19" s="24">
        <f>'ERPs by country'!D25</f>
        <v>5.5078211009174309E-2</v>
      </c>
      <c r="E19" s="24">
        <f t="shared" si="1"/>
        <v>0.13709467932892289</v>
      </c>
      <c r="F19" s="57">
        <f>'Country Tax Rates'!C19</f>
        <v>0.3</v>
      </c>
      <c r="G19" s="57">
        <f>E19-'ERPs by country'!$E$3</f>
        <v>7.7694679328922878E-2</v>
      </c>
      <c r="H19" s="75"/>
      <c r="N19" s="208" t="s">
        <v>94</v>
      </c>
      <c r="O19" s="75">
        <v>70.75</v>
      </c>
    </row>
    <row r="20" spans="1:15">
      <c r="A20" s="46" t="str">
        <f>'ERPs by country'!A26</f>
        <v>Bermuda</v>
      </c>
      <c r="B20" s="134" t="e">
        <f t="shared" si="0"/>
        <v>#N/A</v>
      </c>
      <c r="C20" s="98">
        <f>'ERPs by country'!E26</f>
        <v>7.4005788281155213E-2</v>
      </c>
      <c r="D20" s="24">
        <f>'ERPs by country'!D26</f>
        <v>1.0354128440366973E-2</v>
      </c>
      <c r="E20" s="24">
        <f t="shared" si="1"/>
        <v>7.4005788281155213E-2</v>
      </c>
      <c r="F20" s="57">
        <f>'Country Tax Rates'!C20</f>
        <v>0</v>
      </c>
      <c r="G20" s="57">
        <f>E20-'ERPs by country'!$E$3</f>
        <v>1.4605788281155212E-2</v>
      </c>
      <c r="H20" s="75"/>
      <c r="I20" s="17" t="s">
        <v>39</v>
      </c>
      <c r="J20" s="15" t="s">
        <v>563</v>
      </c>
      <c r="N20" s="208" t="s">
        <v>211</v>
      </c>
      <c r="O20" s="75">
        <v>59.5</v>
      </c>
    </row>
    <row r="21" spans="1:15">
      <c r="A21" s="46" t="str">
        <f>'ERPs by country'!A27</f>
        <v>Bolivia</v>
      </c>
      <c r="B21" s="134">
        <f t="shared" si="0"/>
        <v>66.5</v>
      </c>
      <c r="C21" s="98">
        <f>'ERPs by country'!E27</f>
        <v>0.15433762382750893</v>
      </c>
      <c r="D21" s="24">
        <f>'ERPs by country'!D27</f>
        <v>6.7301834862385335E-2</v>
      </c>
      <c r="E21" s="24">
        <f t="shared" si="1"/>
        <v>0.15433762382750893</v>
      </c>
      <c r="F21" s="57">
        <f>'Country Tax Rates'!C21</f>
        <v>0.25</v>
      </c>
      <c r="G21" s="57">
        <f>E21-'ERPs by country'!$E$3</f>
        <v>9.4937623827508921E-2</v>
      </c>
      <c r="H21" s="75"/>
      <c r="I21" s="4" t="s">
        <v>47</v>
      </c>
      <c r="J21" s="94">
        <f>'Default Spreads for Ratings'!C8/10000</f>
        <v>0</v>
      </c>
      <c r="K21" s="78"/>
      <c r="N21" s="208" t="s">
        <v>212</v>
      </c>
      <c r="O21" s="75">
        <v>60.25</v>
      </c>
    </row>
    <row r="22" spans="1:15">
      <c r="A22" s="46" t="str">
        <f>'ERPs by country'!A28</f>
        <v>Bosnia and Herzegovina</v>
      </c>
      <c r="B22" s="134" t="e">
        <f t="shared" si="0"/>
        <v>#N/A</v>
      </c>
      <c r="C22" s="98">
        <f>'ERPs by country'!E28</f>
        <v>0.17158056832609495</v>
      </c>
      <c r="D22" s="24">
        <f>'ERPs by country'!D28</f>
        <v>7.9525458715596339E-2</v>
      </c>
      <c r="E22" s="24">
        <f t="shared" si="1"/>
        <v>0.17158056832609495</v>
      </c>
      <c r="F22" s="57">
        <f>'Country Tax Rates'!C22</f>
        <v>0.1</v>
      </c>
      <c r="G22" s="57">
        <f>E22-'ERPs by country'!$E$3</f>
        <v>0.11218056832609494</v>
      </c>
      <c r="H22" s="75"/>
      <c r="I22" s="4" t="s">
        <v>44</v>
      </c>
      <c r="J22" s="94">
        <f>'Default Spreads for Ratings'!C5/10000</f>
        <v>4.8894495412844033E-3</v>
      </c>
      <c r="K22" s="78"/>
      <c r="N22" s="208" t="s">
        <v>95</v>
      </c>
      <c r="O22" s="75">
        <v>82</v>
      </c>
    </row>
    <row r="23" spans="1:15">
      <c r="A23" s="46" t="str">
        <f>'ERPs by country'!A29</f>
        <v>Botswana</v>
      </c>
      <c r="B23" s="134">
        <f t="shared" si="0"/>
        <v>77</v>
      </c>
      <c r="C23" s="98">
        <f>'ERPs by country'!E29</f>
        <v>8.009153339830323E-2</v>
      </c>
      <c r="D23" s="24">
        <f>'ERPs by country'!D29</f>
        <v>1.4668348623853212E-2</v>
      </c>
      <c r="E23" s="24">
        <f t="shared" si="1"/>
        <v>8.009153339830323E-2</v>
      </c>
      <c r="F23" s="57">
        <f>'Country Tax Rates'!C23</f>
        <v>0.22</v>
      </c>
      <c r="G23" s="57">
        <f>E23-'ERPs by country'!$E$3</f>
        <v>2.0691533398303229E-2</v>
      </c>
      <c r="H23" s="75"/>
      <c r="I23" s="4" t="s">
        <v>45</v>
      </c>
      <c r="J23" s="94">
        <f>'Default Spreads for Ratings'!C6/10000</f>
        <v>6.0399082568807346E-3</v>
      </c>
      <c r="K23" s="78"/>
      <c r="N23" s="208" t="s">
        <v>96</v>
      </c>
      <c r="O23" s="75">
        <v>71.75</v>
      </c>
    </row>
    <row r="24" spans="1:15">
      <c r="A24" s="46" t="str">
        <f>'ERPs by country'!A30</f>
        <v>Brazil</v>
      </c>
      <c r="B24" s="134">
        <f t="shared" si="0"/>
        <v>70</v>
      </c>
      <c r="C24" s="98">
        <f>'ERPs by country'!E30</f>
        <v>0.11133169166632967</v>
      </c>
      <c r="D24" s="24">
        <f>'ERPs by country'!D30</f>
        <v>3.6814678899082569E-2</v>
      </c>
      <c r="E24" s="24">
        <f t="shared" si="1"/>
        <v>0.11133169166632967</v>
      </c>
      <c r="F24" s="57">
        <f>'Country Tax Rates'!C24</f>
        <v>0.34</v>
      </c>
      <c r="G24" s="57">
        <f>E24-'ERPs by country'!$E$3</f>
        <v>5.1931691666329667E-2</v>
      </c>
      <c r="H24" s="75"/>
      <c r="I24" s="4" t="s">
        <v>46</v>
      </c>
      <c r="J24" s="94">
        <f>'Default Spreads for Ratings'!C7/10000</f>
        <v>7.3341743119266058E-3</v>
      </c>
      <c r="K24" s="78"/>
      <c r="N24" s="208" t="s">
        <v>480</v>
      </c>
      <c r="O24" s="75">
        <v>69.5</v>
      </c>
    </row>
    <row r="25" spans="1:15">
      <c r="A25" s="46" t="str">
        <f>'ERPs by country'!A31</f>
        <v>Bulgaria</v>
      </c>
      <c r="B25" s="134">
        <f t="shared" si="0"/>
        <v>70.75</v>
      </c>
      <c r="C25" s="98">
        <f>'ERPs by country'!E31</f>
        <v>8.6988711197737628E-2</v>
      </c>
      <c r="D25" s="24">
        <f>'ERPs by country'!D31</f>
        <v>1.9557798165137613E-2</v>
      </c>
      <c r="E25" s="24">
        <f t="shared" si="1"/>
        <v>8.6988711197737628E-2</v>
      </c>
      <c r="F25" s="57">
        <f>'Country Tax Rates'!C25</f>
        <v>0.1</v>
      </c>
      <c r="G25" s="57">
        <f>E25-'ERPs by country'!$E$3</f>
        <v>2.7588711197737627E-2</v>
      </c>
      <c r="H25" s="75"/>
      <c r="I25" s="4" t="s">
        <v>41</v>
      </c>
      <c r="J25" s="94">
        <f>'Default Spreads for Ratings'!C2/10000</f>
        <v>8.6284403669724778E-3</v>
      </c>
      <c r="K25" s="78"/>
      <c r="N25" s="208" t="s">
        <v>50</v>
      </c>
      <c r="O25" s="75">
        <v>64</v>
      </c>
    </row>
    <row r="26" spans="1:15">
      <c r="A26" s="46" t="str">
        <f>'ERPs by country'!A32</f>
        <v>Burkina Faso</v>
      </c>
      <c r="B26" s="134">
        <f t="shared" si="0"/>
        <v>59.5</v>
      </c>
      <c r="C26" s="98">
        <f>'ERPs by country'!E32</f>
        <v>0.18882351282468096</v>
      </c>
      <c r="D26" s="24">
        <f>'ERPs by country'!D32</f>
        <v>9.1749082568807344E-2</v>
      </c>
      <c r="E26" s="24">
        <f t="shared" si="1"/>
        <v>0.18882351282468096</v>
      </c>
      <c r="F26" s="57">
        <f>'Country Tax Rates'!C26</f>
        <v>0.28000000000000003</v>
      </c>
      <c r="G26" s="57">
        <f>E26-'ERPs by country'!$E$3</f>
        <v>0.12942351282468095</v>
      </c>
      <c r="H26" s="75"/>
      <c r="I26" s="4" t="s">
        <v>42</v>
      </c>
      <c r="J26" s="94">
        <f>'Default Spreads for Ratings'!C3/10000</f>
        <v>1.0354128440366973E-2</v>
      </c>
      <c r="K26" s="78"/>
      <c r="N26" s="208" t="s">
        <v>483</v>
      </c>
      <c r="O26" s="75">
        <v>60.25</v>
      </c>
    </row>
    <row r="27" spans="1:15">
      <c r="A27" s="46" t="str">
        <f>'ERPs by country'!A33</f>
        <v>Cambodia</v>
      </c>
      <c r="B27" s="134" t="e">
        <f t="shared" si="0"/>
        <v>#N/A</v>
      </c>
      <c r="C27" s="98">
        <f>'ERPs by country'!E33</f>
        <v>0.15433762382750893</v>
      </c>
      <c r="D27" s="24">
        <f>'ERPs by country'!D33</f>
        <v>6.7301834862385335E-2</v>
      </c>
      <c r="E27" s="24">
        <f t="shared" si="1"/>
        <v>0.15433762382750893</v>
      </c>
      <c r="F27" s="57">
        <f>'Country Tax Rates'!C27</f>
        <v>0.2</v>
      </c>
      <c r="G27" s="57">
        <f>E27-'ERPs by country'!$E$3</f>
        <v>9.4937623827508921E-2</v>
      </c>
      <c r="H27" s="75"/>
      <c r="I27" s="4" t="s">
        <v>43</v>
      </c>
      <c r="J27" s="94">
        <f>'Default Spreads for Ratings'!C4/10000</f>
        <v>1.4668348623853212E-2</v>
      </c>
      <c r="K27" s="78"/>
      <c r="N27" s="208" t="s">
        <v>482</v>
      </c>
      <c r="O27" s="75">
        <v>64.25</v>
      </c>
    </row>
    <row r="28" spans="1:15">
      <c r="A28" s="46" t="str">
        <f>'ERPs by country'!A34</f>
        <v>Cameroon</v>
      </c>
      <c r="B28" s="134">
        <f t="shared" si="0"/>
        <v>60.25</v>
      </c>
      <c r="C28" s="98">
        <f>'ERPs by country'!E34</f>
        <v>0.15433762382750893</v>
      </c>
      <c r="D28" s="24">
        <f>'ERPs by country'!D34</f>
        <v>6.7301834862385335E-2</v>
      </c>
      <c r="E28" s="24">
        <f t="shared" si="1"/>
        <v>0.15433762382750893</v>
      </c>
      <c r="F28" s="57">
        <f>'Country Tax Rates'!C28</f>
        <v>0.33</v>
      </c>
      <c r="G28" s="57">
        <f>E28-'ERPs by country'!$E$3</f>
        <v>9.4937623827508921E-2</v>
      </c>
      <c r="H28" s="75"/>
      <c r="I28" s="4" t="s">
        <v>82</v>
      </c>
      <c r="J28" s="94">
        <f>'Default Spreads for Ratings'!C15/10000</f>
        <v>1.9557798165137613E-2</v>
      </c>
      <c r="K28" s="78"/>
      <c r="N28" s="208" t="s">
        <v>56</v>
      </c>
      <c r="O28" s="75">
        <v>72</v>
      </c>
    </row>
    <row r="29" spans="1:15">
      <c r="A29" s="46" t="str">
        <f>'ERPs by country'!A35</f>
        <v>Canada</v>
      </c>
      <c r="B29" s="134">
        <f t="shared" si="0"/>
        <v>82</v>
      </c>
      <c r="C29" s="98">
        <f>'ERPs by country'!E35</f>
        <v>5.9400000000000001E-2</v>
      </c>
      <c r="D29" s="24">
        <f>'ERPs by country'!D35</f>
        <v>0</v>
      </c>
      <c r="E29" s="24">
        <f t="shared" si="1"/>
        <v>5.9400000000000001E-2</v>
      </c>
      <c r="F29" s="57">
        <f>'Country Tax Rates'!C29</f>
        <v>0.25</v>
      </c>
      <c r="G29" s="57">
        <f>E29-'ERPs by country'!$E$3</f>
        <v>0</v>
      </c>
      <c r="H29" s="75"/>
      <c r="I29" s="4" t="s">
        <v>83</v>
      </c>
      <c r="J29" s="94">
        <f>'Default Spreads for Ratings'!C16/10000</f>
        <v>2.3296788990825688E-2</v>
      </c>
      <c r="K29" s="78"/>
      <c r="N29" s="208" t="s">
        <v>372</v>
      </c>
      <c r="O29" s="75">
        <v>62.25</v>
      </c>
    </row>
    <row r="30" spans="1:15">
      <c r="A30" s="46" t="str">
        <f>'ERPs by country'!A36</f>
        <v>Cape Verde</v>
      </c>
      <c r="B30" s="134" t="e">
        <f t="shared" si="0"/>
        <v>#N/A</v>
      </c>
      <c r="C30" s="98">
        <f>'ERPs by country'!E36</f>
        <v>0.17158056832609495</v>
      </c>
      <c r="D30" s="24">
        <f>'ERPs by country'!D36</f>
        <v>7.9525458715596339E-2</v>
      </c>
      <c r="E30" s="24">
        <f t="shared" si="1"/>
        <v>0.17158056832609495</v>
      </c>
      <c r="F30" s="57">
        <f>'Country Tax Rates'!C30</f>
        <v>0</v>
      </c>
      <c r="G30" s="57">
        <f>E30-'ERPs by country'!$E$3</f>
        <v>0.11218056832609494</v>
      </c>
      <c r="H30" s="75"/>
      <c r="I30" s="4" t="s">
        <v>124</v>
      </c>
      <c r="J30" s="94">
        <f>'Default Spreads for Ratings'!C17/10000</f>
        <v>2.6891972477064225E-2</v>
      </c>
      <c r="K30" s="78"/>
      <c r="N30" s="208" t="s">
        <v>98</v>
      </c>
      <c r="O30" s="75">
        <v>73.75</v>
      </c>
    </row>
    <row r="31" spans="1:15">
      <c r="A31" s="46" t="str">
        <f>'ERPs by country'!A37</f>
        <v>Cayman Islands</v>
      </c>
      <c r="B31" s="134" t="e">
        <f t="shared" si="0"/>
        <v>#N/A</v>
      </c>
      <c r="C31" s="98">
        <f>'ERPs by country'!E37</f>
        <v>6.9745766699151612E-2</v>
      </c>
      <c r="D31" s="24">
        <f>'ERPs by country'!D37</f>
        <v>7.3341743119266058E-3</v>
      </c>
      <c r="E31" s="24">
        <f t="shared" si="1"/>
        <v>6.9745766699151612E-2</v>
      </c>
      <c r="F31" s="57">
        <f>'Country Tax Rates'!C31</f>
        <v>0</v>
      </c>
      <c r="G31" s="57">
        <f>E31-'ERPs by country'!$E$3</f>
        <v>1.0345766699151611E-2</v>
      </c>
      <c r="H31" s="75"/>
      <c r="I31" s="4" t="s">
        <v>79</v>
      </c>
      <c r="J31" s="94">
        <f>'Default Spreads for Ratings'!C12/10000</f>
        <v>3.0630963302752296E-2</v>
      </c>
      <c r="K31" s="78"/>
      <c r="N31" s="208" t="s">
        <v>99</v>
      </c>
      <c r="O31" s="75">
        <v>69.25</v>
      </c>
    </row>
    <row r="32" spans="1:15">
      <c r="A32" s="46" t="str">
        <f>'ERPs by country'!A38</f>
        <v>Chile</v>
      </c>
      <c r="B32" s="134">
        <f t="shared" si="0"/>
        <v>71.75</v>
      </c>
      <c r="C32" s="98">
        <f>'ERPs by country'!E38</f>
        <v>7.4005788281155213E-2</v>
      </c>
      <c r="D32" s="24">
        <f>'ERPs by country'!D38</f>
        <v>1.0354128440366973E-2</v>
      </c>
      <c r="E32" s="24">
        <f t="shared" si="1"/>
        <v>7.4005788281155213E-2</v>
      </c>
      <c r="F32" s="57">
        <f>'Country Tax Rates'!C32</f>
        <v>0.27</v>
      </c>
      <c r="G32" s="57">
        <f>E32-'ERPs by country'!$E$3</f>
        <v>1.4605788281155212E-2</v>
      </c>
      <c r="H32" s="75"/>
      <c r="I32" s="4" t="s">
        <v>80</v>
      </c>
      <c r="J32" s="94">
        <f>'Default Spreads for Ratings'!C13/10000</f>
        <v>3.6814678899082569E-2</v>
      </c>
      <c r="K32" s="78"/>
      <c r="N32" s="208" t="s">
        <v>178</v>
      </c>
      <c r="O32" s="75">
        <v>70</v>
      </c>
    </row>
    <row r="33" spans="1:15">
      <c r="A33" s="46" t="str">
        <f>'ERPs by country'!A39</f>
        <v>China</v>
      </c>
      <c r="B33" s="134" t="e">
        <f t="shared" si="0"/>
        <v>#N/A</v>
      </c>
      <c r="C33" s="98">
        <f>'ERPs by country'!E39</f>
        <v>7.1571490234296015E-2</v>
      </c>
      <c r="D33" s="24">
        <f>'ERPs by country'!D39</f>
        <v>8.6284403669724778E-3</v>
      </c>
      <c r="E33" s="24">
        <f t="shared" si="1"/>
        <v>7.1571490234296015E-2</v>
      </c>
      <c r="F33" s="57">
        <f>'Country Tax Rates'!C33</f>
        <v>0.25</v>
      </c>
      <c r="G33" s="57">
        <f>E33-'ERPs by country'!$E$3</f>
        <v>1.2171490234296013E-2</v>
      </c>
      <c r="H33" s="75"/>
      <c r="I33" s="4" t="s">
        <v>81</v>
      </c>
      <c r="J33" s="94">
        <f>'Default Spreads for Ratings'!C14/10000</f>
        <v>4.4005045871559637E-2</v>
      </c>
      <c r="K33" s="78"/>
      <c r="N33" s="208" t="s">
        <v>101</v>
      </c>
      <c r="O33" s="75">
        <v>75.5</v>
      </c>
    </row>
    <row r="34" spans="1:15">
      <c r="A34" s="46" t="str">
        <f>'ERPs by country'!A40</f>
        <v>Colombia</v>
      </c>
      <c r="B34" s="134">
        <f t="shared" si="0"/>
        <v>64</v>
      </c>
      <c r="C34" s="98">
        <f>'ERPs by country'!E40</f>
        <v>9.2263023632599236E-2</v>
      </c>
      <c r="D34" s="24">
        <f>'ERPs by country'!D40</f>
        <v>2.3296788990825688E-2</v>
      </c>
      <c r="E34" s="24">
        <f t="shared" si="1"/>
        <v>9.2263023632599236E-2</v>
      </c>
      <c r="F34" s="57">
        <f>'Country Tax Rates'!C34</f>
        <v>0.35</v>
      </c>
      <c r="G34" s="57">
        <f>E34-'ERPs by country'!$E$3</f>
        <v>3.2863023632599235E-2</v>
      </c>
      <c r="H34" s="75"/>
      <c r="I34" s="4" t="s">
        <v>48</v>
      </c>
      <c r="J34" s="94">
        <f>'Default Spreads for Ratings'!C9/10000</f>
        <v>5.5078211009174309E-2</v>
      </c>
      <c r="K34" s="78"/>
      <c r="N34" s="208" t="s">
        <v>102</v>
      </c>
      <c r="O34" s="75">
        <v>84.25</v>
      </c>
    </row>
    <row r="35" spans="1:15">
      <c r="A35" s="46" t="str">
        <f>'ERPs by country'!A41</f>
        <v>Congo (Democratic Republic of)</v>
      </c>
      <c r="B35" s="134" t="e">
        <f t="shared" si="0"/>
        <v>#N/A</v>
      </c>
      <c r="C35" s="98">
        <f>'ERPs by country'!E41</f>
        <v>0.17158056832609495</v>
      </c>
      <c r="D35" s="24">
        <f>'ERPs by country'!D41</f>
        <v>7.9525458715596339E-2</v>
      </c>
      <c r="E35" s="24">
        <f t="shared" si="1"/>
        <v>0.17158056832609495</v>
      </c>
      <c r="F35" s="57">
        <f>'Country Tax Rates'!C35</f>
        <v>0.3</v>
      </c>
      <c r="G35" s="57">
        <f>E35-'ERPs by country'!$E$3</f>
        <v>0.11218056832609494</v>
      </c>
      <c r="H35" s="75"/>
      <c r="I35" s="4" t="s">
        <v>49</v>
      </c>
      <c r="J35" s="94">
        <f>'Default Spreads for Ratings'!C10/10000</f>
        <v>6.7301834862385335E-2</v>
      </c>
      <c r="K35" s="78"/>
      <c r="N35" s="208" t="s">
        <v>103</v>
      </c>
      <c r="O35" s="75">
        <v>72.5</v>
      </c>
    </row>
    <row r="36" spans="1:15">
      <c r="A36" s="46" t="str">
        <f>'ERPs by country'!A42</f>
        <v>Congo (Republic of)</v>
      </c>
      <c r="B36" s="134" t="e">
        <f t="shared" si="0"/>
        <v>#N/A</v>
      </c>
      <c r="C36" s="98">
        <f>'ERPs by country'!E42</f>
        <v>0.21478935865784579</v>
      </c>
      <c r="D36" s="24">
        <f>'ERPs by country'!D42</f>
        <v>0.11015642201834862</v>
      </c>
      <c r="E36" s="24">
        <f t="shared" si="1"/>
        <v>0.21478935865784579</v>
      </c>
      <c r="F36" s="57">
        <f>'Country Tax Rates'!C36</f>
        <v>0.28000000000000003</v>
      </c>
      <c r="G36" s="57">
        <f>E36-'ERPs by country'!$E$3</f>
        <v>0.15538935865784578</v>
      </c>
      <c r="H36" s="75"/>
      <c r="I36" s="4" t="s">
        <v>78</v>
      </c>
      <c r="J36" s="94">
        <f>'Default Spreads for Ratings'!C11/10000</f>
        <v>7.9525458715596339E-2</v>
      </c>
      <c r="K36" s="78"/>
      <c r="N36" s="208" t="s">
        <v>104</v>
      </c>
      <c r="O36" s="75">
        <v>68.25</v>
      </c>
    </row>
    <row r="37" spans="1:15">
      <c r="A37" s="46" t="str">
        <f>'ERPs by country'!A43</f>
        <v>Cook Islands</v>
      </c>
      <c r="B37" s="134" t="e">
        <f t="shared" si="0"/>
        <v>#N/A</v>
      </c>
      <c r="C37" s="98">
        <f>'ERPs by country'!E43</f>
        <v>0.13709467932892289</v>
      </c>
      <c r="D37" s="24">
        <f>'ERPs by country'!D43</f>
        <v>5.5078211009174309E-2</v>
      </c>
      <c r="E37" s="24">
        <f t="shared" si="1"/>
        <v>0.13709467932892289</v>
      </c>
      <c r="F37" s="57">
        <f>'Country Tax Rates'!C37</f>
        <v>0.2843</v>
      </c>
      <c r="G37" s="57">
        <f>E37-'ERPs by country'!$E$3</f>
        <v>7.7694679328922878E-2</v>
      </c>
      <c r="H37" s="75"/>
      <c r="I37" s="4" t="s">
        <v>100</v>
      </c>
      <c r="J37" s="94">
        <f>'Default Spreads for Ratings'!C19/10000</f>
        <v>9.1749082568807344E-2</v>
      </c>
      <c r="K37" s="78"/>
      <c r="N37" s="208" t="s">
        <v>105</v>
      </c>
      <c r="O37" s="75">
        <v>57.75</v>
      </c>
    </row>
    <row r="38" spans="1:15">
      <c r="A38" s="46" t="str">
        <f>'ERPs by country'!A44</f>
        <v>Costa Rica</v>
      </c>
      <c r="B38" s="134">
        <f t="shared" si="0"/>
        <v>72</v>
      </c>
      <c r="C38" s="98">
        <f>'ERPs by country'!E44</f>
        <v>0.15433762382750893</v>
      </c>
      <c r="D38" s="24">
        <f>'ERPs by country'!D44</f>
        <v>6.7301834862385335E-2</v>
      </c>
      <c r="E38" s="24">
        <f t="shared" si="1"/>
        <v>0.15433762382750893</v>
      </c>
      <c r="F38" s="57">
        <f>'Country Tax Rates'!C38</f>
        <v>0.3</v>
      </c>
      <c r="G38" s="57">
        <f>E38-'ERPs by country'!$E$3</f>
        <v>9.4937623827508921E-2</v>
      </c>
      <c r="H38" s="75"/>
      <c r="I38" s="4" t="s">
        <v>58</v>
      </c>
      <c r="J38" s="94">
        <f>'Default Spreads for Ratings'!C20/10000</f>
        <v>0.11015642201834862</v>
      </c>
      <c r="K38" s="78"/>
      <c r="N38" s="208" t="s">
        <v>31</v>
      </c>
      <c r="O38" s="75">
        <v>63.75</v>
      </c>
    </row>
    <row r="39" spans="1:15">
      <c r="A39" s="46" t="str">
        <f>'ERPs by country'!A45</f>
        <v>Côte d'Ivoire</v>
      </c>
      <c r="B39" s="134" t="e">
        <f t="shared" si="0"/>
        <v>#N/A</v>
      </c>
      <c r="C39" s="98">
        <f>'ERPs by country'!E45</f>
        <v>0.12147460019490969</v>
      </c>
      <c r="D39" s="24">
        <f>'ERPs by country'!D45</f>
        <v>4.4005045871559637E-2</v>
      </c>
      <c r="E39" s="24">
        <f t="shared" si="1"/>
        <v>0.12147460019490969</v>
      </c>
      <c r="F39" s="57">
        <f>'Country Tax Rates'!C39</f>
        <v>0.25</v>
      </c>
      <c r="G39" s="57">
        <f>E39-'ERPs by country'!$E$3</f>
        <v>6.2074600194909686E-2</v>
      </c>
      <c r="H39" s="75"/>
      <c r="I39" s="4" t="s">
        <v>62</v>
      </c>
      <c r="J39" s="94">
        <f>'Default Spreads for Ratings'!C21/10000</f>
        <v>0.12238004587155965</v>
      </c>
      <c r="K39" s="78"/>
      <c r="N39" s="208" t="s">
        <v>106</v>
      </c>
      <c r="O39" s="75">
        <v>71.5</v>
      </c>
    </row>
    <row r="40" spans="1:15">
      <c r="A40" s="46" t="str">
        <f>'ERPs by country'!A46</f>
        <v>Croatia</v>
      </c>
      <c r="B40" s="134">
        <f t="shared" si="0"/>
        <v>73.75</v>
      </c>
      <c r="C40" s="98">
        <f>'ERPs by country'!E46</f>
        <v>9.2263023632599236E-2</v>
      </c>
      <c r="D40" s="24">
        <f>'ERPs by country'!D46</f>
        <v>2.3296788990825688E-2</v>
      </c>
      <c r="E40" s="24">
        <f t="shared" si="1"/>
        <v>9.2263023632599236E-2</v>
      </c>
      <c r="F40" s="57">
        <f>'Country Tax Rates'!C40</f>
        <v>0.18</v>
      </c>
      <c r="G40" s="57">
        <f>E40-'ERPs by country'!$E$3</f>
        <v>3.2863023632599235E-2</v>
      </c>
      <c r="H40" s="75"/>
      <c r="I40" s="4" t="s">
        <v>346</v>
      </c>
      <c r="J40" s="94">
        <f>'Default Spreads for Ratings'!C18/10000</f>
        <v>0.14682729357798166</v>
      </c>
      <c r="K40" s="78"/>
      <c r="N40" s="208" t="s">
        <v>284</v>
      </c>
      <c r="O40" s="75">
        <v>58.5</v>
      </c>
    </row>
    <row r="41" spans="1:15">
      <c r="A41" s="46" t="str">
        <f>'ERPs by country'!A47</f>
        <v>Cuba</v>
      </c>
      <c r="B41" s="134">
        <f t="shared" si="0"/>
        <v>69.25</v>
      </c>
      <c r="C41" s="98">
        <f>'ERPs by country'!E47</f>
        <v>0.26651819215360384</v>
      </c>
      <c r="D41" s="24">
        <f>'ERPs by country'!D47</f>
        <v>0.14682729357798166</v>
      </c>
      <c r="E41" s="24">
        <f t="shared" si="1"/>
        <v>0.26651819215360384</v>
      </c>
      <c r="F41" s="57">
        <f>'Country Tax Rates'!C41</f>
        <v>0.27179999999999999</v>
      </c>
      <c r="G41" s="57">
        <f>E41-'ERPs by country'!$E$3</f>
        <v>0.20711819215360383</v>
      </c>
      <c r="H41" s="75"/>
      <c r="I41" s="4" t="s">
        <v>137</v>
      </c>
      <c r="J41" s="94">
        <f>'ERPs by country'!C205/10000</f>
        <v>0.17499999999999999</v>
      </c>
      <c r="K41" s="83"/>
      <c r="N41" s="208" t="s">
        <v>179</v>
      </c>
      <c r="O41" s="75">
        <v>78.25</v>
      </c>
    </row>
    <row r="42" spans="1:15">
      <c r="A42" s="46" t="str">
        <f>'ERPs by country'!A48</f>
        <v>Curacao</v>
      </c>
      <c r="B42" s="134" t="e">
        <f t="shared" si="0"/>
        <v>#N/A</v>
      </c>
      <c r="C42" s="98">
        <f>'ERPs by country'!E48</f>
        <v>9.2263023632599236E-2</v>
      </c>
      <c r="D42" s="24">
        <f>'ERPs by country'!D48</f>
        <v>2.3296788990825688E-2</v>
      </c>
      <c r="E42" s="24">
        <f t="shared" si="1"/>
        <v>9.2263023632599236E-2</v>
      </c>
      <c r="F42" s="57">
        <f>'Country Tax Rates'!C42</f>
        <v>0.22</v>
      </c>
      <c r="G42" s="57">
        <f>E42-'ERPs by country'!$E$3</f>
        <v>3.2863023632599235E-2</v>
      </c>
      <c r="H42" s="75"/>
      <c r="N42" s="208" t="s">
        <v>180</v>
      </c>
      <c r="O42" s="75">
        <v>72.25</v>
      </c>
    </row>
    <row r="43" spans="1:15">
      <c r="A43" s="46" t="str">
        <f>'ERPs by country'!A49</f>
        <v>Cyprus</v>
      </c>
      <c r="B43" s="134">
        <f t="shared" si="0"/>
        <v>70</v>
      </c>
      <c r="C43" s="98">
        <f>'ERPs by country'!E49</f>
        <v>0.10260879033175085</v>
      </c>
      <c r="D43" s="24">
        <f>'ERPs by country'!D49</f>
        <v>3.0630963302752296E-2</v>
      </c>
      <c r="E43" s="24">
        <f t="shared" si="1"/>
        <v>0.10260879033175085</v>
      </c>
      <c r="F43" s="57">
        <f>'Country Tax Rates'!C43</f>
        <v>0.125</v>
      </c>
      <c r="G43" s="57">
        <f>E43-'ERPs by country'!$E$3</f>
        <v>4.3208790331750853E-2</v>
      </c>
      <c r="H43" s="75"/>
      <c r="N43" s="208" t="s">
        <v>220</v>
      </c>
      <c r="O43" s="75">
        <v>66.5</v>
      </c>
    </row>
    <row r="44" spans="1:15">
      <c r="A44" s="46" t="str">
        <f>'ERPs by country'!A50</f>
        <v>Czech Republic</v>
      </c>
      <c r="B44" s="134">
        <f t="shared" si="0"/>
        <v>75.5</v>
      </c>
      <c r="C44" s="98">
        <f>'ERPs by country'!E50</f>
        <v>6.9745766699151612E-2</v>
      </c>
      <c r="D44" s="24">
        <f>'ERPs by country'!D50</f>
        <v>7.3341743119266058E-3</v>
      </c>
      <c r="E44" s="24">
        <f t="shared" si="1"/>
        <v>6.9745766699151612E-2</v>
      </c>
      <c r="F44" s="57">
        <f>'Country Tax Rates'!C44</f>
        <v>0.19</v>
      </c>
      <c r="G44" s="57">
        <f>E44-'ERPs by country'!$E$3</f>
        <v>1.0345766699151611E-2</v>
      </c>
      <c r="H44" s="75"/>
      <c r="N44" s="208" t="s">
        <v>334</v>
      </c>
      <c r="O44" s="75">
        <v>65</v>
      </c>
    </row>
    <row r="45" spans="1:15">
      <c r="A45" s="46" t="str">
        <f>'ERPs by country'!A51</f>
        <v>Denmark</v>
      </c>
      <c r="B45" s="134">
        <f t="shared" si="0"/>
        <v>84.25</v>
      </c>
      <c r="C45" s="98">
        <f>'ERPs by country'!E51</f>
        <v>5.9400000000000001E-2</v>
      </c>
      <c r="D45" s="24">
        <f>'ERPs by country'!D51</f>
        <v>0</v>
      </c>
      <c r="E45" s="24">
        <f t="shared" si="1"/>
        <v>5.9400000000000001E-2</v>
      </c>
      <c r="F45" s="57">
        <f>'Country Tax Rates'!C45</f>
        <v>0.22</v>
      </c>
      <c r="G45" s="57">
        <f>E45-'ERPs by country'!$E$3</f>
        <v>0</v>
      </c>
      <c r="H45" s="75"/>
      <c r="N45" s="208" t="s">
        <v>181</v>
      </c>
      <c r="O45" s="75">
        <v>78.75</v>
      </c>
    </row>
    <row r="46" spans="1:15">
      <c r="A46" s="46" t="str">
        <f>'ERPs by country'!A52</f>
        <v>Dominican Republic</v>
      </c>
      <c r="B46" s="134">
        <f t="shared" si="0"/>
        <v>72.5</v>
      </c>
      <c r="C46" s="98">
        <f>'ERPs by country'!E52</f>
        <v>0.12147460019490969</v>
      </c>
      <c r="D46" s="24">
        <f>'ERPs by country'!D52</f>
        <v>4.4005045871559637E-2</v>
      </c>
      <c r="E46" s="24">
        <f t="shared" si="1"/>
        <v>0.12147460019490969</v>
      </c>
      <c r="F46" s="57">
        <f>'Country Tax Rates'!C46</f>
        <v>0.27</v>
      </c>
      <c r="G46" s="57">
        <f>E46-'ERPs by country'!$E$3</f>
        <v>6.2074600194909686E-2</v>
      </c>
      <c r="H46" s="75"/>
      <c r="N46" s="208" t="s">
        <v>221</v>
      </c>
      <c r="O46" s="75">
        <v>58.75</v>
      </c>
    </row>
    <row r="47" spans="1:15">
      <c r="A47" s="46" t="str">
        <f>'ERPs by country'!A53</f>
        <v>Ecuador</v>
      </c>
      <c r="B47" s="134">
        <f t="shared" si="0"/>
        <v>68.25</v>
      </c>
      <c r="C47" s="98">
        <f>'ERPs by country'!E53</f>
        <v>0.23203230315643184</v>
      </c>
      <c r="D47" s="24">
        <f>'ERPs by country'!D53</f>
        <v>0.12238004587155965</v>
      </c>
      <c r="E47" s="24">
        <f t="shared" si="1"/>
        <v>0.23203230315643184</v>
      </c>
      <c r="F47" s="57">
        <f>'Country Tax Rates'!C47</f>
        <v>0.25</v>
      </c>
      <c r="G47" s="57">
        <f>E47-'ERPs by country'!$E$3</f>
        <v>0.17263230315643183</v>
      </c>
      <c r="H47" s="75"/>
      <c r="N47" s="208" t="s">
        <v>182</v>
      </c>
      <c r="O47" s="75">
        <v>68</v>
      </c>
    </row>
    <row r="48" spans="1:15">
      <c r="A48" s="46" t="str">
        <f>'ERPs by country'!A54</f>
        <v>Egypt</v>
      </c>
      <c r="B48" s="134">
        <f t="shared" si="0"/>
        <v>57.75</v>
      </c>
      <c r="C48" s="98">
        <f>'ERPs by country'!E54</f>
        <v>0.15433762382750893</v>
      </c>
      <c r="D48" s="24">
        <f>'ERPs by country'!D54</f>
        <v>6.7301834862385335E-2</v>
      </c>
      <c r="E48" s="24">
        <f t="shared" si="1"/>
        <v>0.15433762382750893</v>
      </c>
      <c r="F48" s="57">
        <f>'Country Tax Rates'!C48</f>
        <v>0.22500000000000001</v>
      </c>
      <c r="G48" s="57">
        <f>E48-'ERPs by country'!$E$3</f>
        <v>9.4937623827508921E-2</v>
      </c>
      <c r="H48" s="75"/>
      <c r="N48" s="208" t="s">
        <v>107</v>
      </c>
      <c r="O48" s="75">
        <v>71</v>
      </c>
    </row>
    <row r="49" spans="1:15">
      <c r="A49" s="46" t="str">
        <f>'ERPs by country'!A55</f>
        <v>El Salvador</v>
      </c>
      <c r="B49" s="134">
        <f t="shared" si="0"/>
        <v>63.75</v>
      </c>
      <c r="C49" s="98">
        <f>'ERPs by country'!E55</f>
        <v>0.23203230315643184</v>
      </c>
      <c r="D49" s="24">
        <f>'ERPs by country'!D55</f>
        <v>0.12238004587155965</v>
      </c>
      <c r="E49" s="24">
        <f t="shared" si="1"/>
        <v>0.23203230315643184</v>
      </c>
      <c r="F49" s="57">
        <f>'Country Tax Rates'!C49</f>
        <v>0.3</v>
      </c>
      <c r="G49" s="57">
        <f>E49-'ERPs by country'!$E$3</f>
        <v>0.17263230315643183</v>
      </c>
      <c r="H49" s="75"/>
      <c r="N49" s="208" t="s">
        <v>317</v>
      </c>
      <c r="O49" s="75">
        <v>57.25</v>
      </c>
    </row>
    <row r="50" spans="1:15">
      <c r="A50" s="46" t="str">
        <f>'ERPs by country'!A56</f>
        <v>Estonia</v>
      </c>
      <c r="B50" s="134">
        <f t="shared" si="0"/>
        <v>71.5</v>
      </c>
      <c r="C50" s="98">
        <f>'ERPs by country'!E56</f>
        <v>7.1571490234296015E-2</v>
      </c>
      <c r="D50" s="24">
        <f>'ERPs by country'!D56</f>
        <v>8.6284403669724778E-3</v>
      </c>
      <c r="E50" s="24">
        <f t="shared" si="1"/>
        <v>7.1571490234296015E-2</v>
      </c>
      <c r="F50" s="57">
        <f>'Country Tax Rates'!C50</f>
        <v>0.2</v>
      </c>
      <c r="G50" s="57">
        <f>E50-'ERPs by country'!$E$3</f>
        <v>1.2171490234296013E-2</v>
      </c>
      <c r="H50" s="75"/>
      <c r="N50" s="208" t="s">
        <v>333</v>
      </c>
      <c r="O50" s="75">
        <v>64</v>
      </c>
    </row>
    <row r="51" spans="1:15">
      <c r="A51" s="46" t="str">
        <f>'ERPs by country'!A57</f>
        <v>Ethiopia</v>
      </c>
      <c r="B51" s="134">
        <f t="shared" si="0"/>
        <v>58.5</v>
      </c>
      <c r="C51" s="98">
        <f>'ERPs by country'!E57</f>
        <v>0.21478935865784579</v>
      </c>
      <c r="D51" s="24">
        <f>'ERPs by country'!D57</f>
        <v>0.11015642201834862</v>
      </c>
      <c r="E51" s="24">
        <f t="shared" si="1"/>
        <v>0.21478935865784579</v>
      </c>
      <c r="F51" s="57">
        <f>'Country Tax Rates'!C51</f>
        <v>0.3</v>
      </c>
      <c r="G51" s="57">
        <f>E51-'ERPs by country'!$E$3</f>
        <v>0.15538935865784578</v>
      </c>
      <c r="H51" s="75"/>
      <c r="N51" s="208" t="s">
        <v>330</v>
      </c>
      <c r="O51" s="75">
        <v>75.75</v>
      </c>
    </row>
    <row r="52" spans="1:15">
      <c r="A52" s="46" t="str">
        <f>'ERPs by country'!A58</f>
        <v>Fiji</v>
      </c>
      <c r="B52" s="134" t="e">
        <f t="shared" si="0"/>
        <v>#N/A</v>
      </c>
      <c r="C52" s="98">
        <f>'ERPs by country'!E58</f>
        <v>0.13709467932892289</v>
      </c>
      <c r="D52" s="24">
        <f>'ERPs by country'!D58</f>
        <v>5.5078211009174309E-2</v>
      </c>
      <c r="E52" s="24">
        <f t="shared" si="1"/>
        <v>0.13709467932892289</v>
      </c>
      <c r="F52" s="57">
        <f>'Country Tax Rates'!C52</f>
        <v>0.2</v>
      </c>
      <c r="G52" s="57">
        <f>E52-'ERPs by country'!$E$3</f>
        <v>7.7694679328922878E-2</v>
      </c>
      <c r="H52" s="75"/>
      <c r="N52" s="208" t="s">
        <v>326</v>
      </c>
      <c r="O52" s="75">
        <v>54.25</v>
      </c>
    </row>
    <row r="53" spans="1:15">
      <c r="A53" s="46" t="str">
        <f>'ERPs by country'!A59</f>
        <v>Finland</v>
      </c>
      <c r="B53" s="134">
        <f t="shared" si="0"/>
        <v>78.25</v>
      </c>
      <c r="C53" s="98">
        <f>'ERPs by country'!E59</f>
        <v>6.6297177799434406E-2</v>
      </c>
      <c r="D53" s="24">
        <f>'ERPs by country'!D59</f>
        <v>4.8894495412844033E-3</v>
      </c>
      <c r="E53" s="24">
        <f t="shared" si="1"/>
        <v>6.6297177799434406E-2</v>
      </c>
      <c r="F53" s="57">
        <f>'Country Tax Rates'!C53</f>
        <v>0.2</v>
      </c>
      <c r="G53" s="57">
        <f>E53-'ERPs by country'!$E$3</f>
        <v>6.897177799434405E-3</v>
      </c>
      <c r="H53" s="75"/>
      <c r="N53" s="208" t="s">
        <v>108</v>
      </c>
      <c r="O53" s="75">
        <v>66.75</v>
      </c>
    </row>
    <row r="54" spans="1:15">
      <c r="A54" s="46" t="str">
        <f>'ERPs by country'!A60</f>
        <v>France</v>
      </c>
      <c r="B54" s="134">
        <f t="shared" si="0"/>
        <v>72.25</v>
      </c>
      <c r="C54" s="98">
        <f>'ERPs by country'!E60</f>
        <v>6.792004316400721E-2</v>
      </c>
      <c r="D54" s="24">
        <f>'ERPs by country'!D60</f>
        <v>6.0399082568807346E-3</v>
      </c>
      <c r="E54" s="24">
        <f t="shared" si="1"/>
        <v>6.792004316400721E-2</v>
      </c>
      <c r="F54" s="57">
        <f>'Country Tax Rates'!C54</f>
        <v>0.25</v>
      </c>
      <c r="G54" s="57">
        <f>E54-'ERPs by country'!$E$3</f>
        <v>8.5200431640072086E-3</v>
      </c>
      <c r="H54" s="75"/>
      <c r="N54" s="208" t="s">
        <v>59</v>
      </c>
      <c r="O54" s="75">
        <v>74</v>
      </c>
    </row>
    <row r="55" spans="1:15">
      <c r="A55" s="46" t="str">
        <f>'ERPs by country'!A61</f>
        <v>Gabon</v>
      </c>
      <c r="B55" s="134">
        <f t="shared" si="0"/>
        <v>66.5</v>
      </c>
      <c r="C55" s="98">
        <f>'ERPs by country'!E61</f>
        <v>0.18882351282468096</v>
      </c>
      <c r="D55" s="24">
        <f>'ERPs by country'!D61</f>
        <v>9.1749082568807344E-2</v>
      </c>
      <c r="E55" s="24">
        <f t="shared" si="1"/>
        <v>0.18882351282468096</v>
      </c>
      <c r="F55" s="57">
        <f>'Country Tax Rates'!C55</f>
        <v>0.3</v>
      </c>
      <c r="G55" s="57">
        <f>E55-'ERPs by country'!$E$3</f>
        <v>0.12942351282468095</v>
      </c>
      <c r="H55" s="75"/>
      <c r="N55" s="208" t="s">
        <v>109</v>
      </c>
      <c r="O55" s="75">
        <v>71.5</v>
      </c>
    </row>
    <row r="56" spans="1:15">
      <c r="A56" s="46" t="str">
        <f>'ERPs by country'!A62</f>
        <v>Georgia</v>
      </c>
      <c r="B56" s="134" t="e">
        <f t="shared" si="0"/>
        <v>#N/A</v>
      </c>
      <c r="C56" s="98">
        <f>'ERPs by country'!E62</f>
        <v>0.11133169166632967</v>
      </c>
      <c r="D56" s="24">
        <f>'ERPs by country'!D62</f>
        <v>3.6814678899082569E-2</v>
      </c>
      <c r="E56" s="24">
        <f t="shared" si="1"/>
        <v>0.11133169166632967</v>
      </c>
      <c r="F56" s="57">
        <f>'Country Tax Rates'!C56</f>
        <v>0.15</v>
      </c>
      <c r="G56" s="57">
        <f>E56-'ERPs by country'!$E$3</f>
        <v>5.1931691666329667E-2</v>
      </c>
      <c r="H56" s="75"/>
      <c r="N56" s="208" t="s">
        <v>110</v>
      </c>
      <c r="O56" s="75">
        <v>80.5</v>
      </c>
    </row>
    <row r="57" spans="1:15">
      <c r="A57" s="46" t="str">
        <f>'ERPs by country'!A63</f>
        <v>Germany</v>
      </c>
      <c r="B57" s="134">
        <f t="shared" si="0"/>
        <v>78.75</v>
      </c>
      <c r="C57" s="98">
        <f>'ERPs by country'!E63</f>
        <v>5.9400000000000001E-2</v>
      </c>
      <c r="D57" s="24">
        <f>'ERPs by country'!D63</f>
        <v>0</v>
      </c>
      <c r="E57" s="24">
        <f t="shared" si="1"/>
        <v>5.9400000000000001E-2</v>
      </c>
      <c r="F57" s="57">
        <f>'Country Tax Rates'!C57</f>
        <v>0.3</v>
      </c>
      <c r="G57" s="57">
        <f>E57-'ERPs by country'!$E$3</f>
        <v>0</v>
      </c>
      <c r="H57" s="75"/>
      <c r="N57" s="208" t="s">
        <v>111</v>
      </c>
      <c r="O57" s="75">
        <v>70.25</v>
      </c>
    </row>
    <row r="58" spans="1:15">
      <c r="A58" s="46" t="str">
        <f>'ERPs by country'!A64</f>
        <v>Ghana</v>
      </c>
      <c r="B58" s="134">
        <f t="shared" si="0"/>
        <v>58.75</v>
      </c>
      <c r="C58" s="98">
        <f>'ERPs by country'!E64</f>
        <v>0.26651819215360384</v>
      </c>
      <c r="D58" s="24">
        <f>'ERPs by country'!D64</f>
        <v>0.14682729357798166</v>
      </c>
      <c r="E58" s="24">
        <f t="shared" si="1"/>
        <v>0.26651819215360384</v>
      </c>
      <c r="F58" s="57">
        <f>'Country Tax Rates'!C58</f>
        <v>0.25</v>
      </c>
      <c r="G58" s="57">
        <f>E58-'ERPs by country'!$E$3</f>
        <v>0.20711819215360383</v>
      </c>
      <c r="H58" s="75"/>
      <c r="N58" s="208" t="s">
        <v>112</v>
      </c>
      <c r="O58" s="75">
        <v>68.25</v>
      </c>
    </row>
    <row r="59" spans="1:15">
      <c r="A59" s="46" t="str">
        <f>'ERPs by country'!A65</f>
        <v>Greece</v>
      </c>
      <c r="B59" s="134">
        <f t="shared" si="0"/>
        <v>68</v>
      </c>
      <c r="C59" s="98">
        <f>'ERPs by country'!E65</f>
        <v>0.12147460019490969</v>
      </c>
      <c r="D59" s="24">
        <f>'ERPs by country'!D65</f>
        <v>4.4005045871559637E-2</v>
      </c>
      <c r="E59" s="24">
        <f t="shared" si="1"/>
        <v>0.12147460019490969</v>
      </c>
      <c r="F59" s="57">
        <f>'Country Tax Rates'!C59</f>
        <v>0.22</v>
      </c>
      <c r="G59" s="57">
        <f>E59-'ERPs by country'!$E$3</f>
        <v>6.2074600194909686E-2</v>
      </c>
      <c r="H59" s="75"/>
      <c r="N59" s="208" t="s">
        <v>328</v>
      </c>
      <c r="O59" s="75">
        <v>66.5</v>
      </c>
    </row>
    <row r="60" spans="1:15">
      <c r="A60" s="46" t="str">
        <f>'ERPs by country'!A66</f>
        <v>Guatemala</v>
      </c>
      <c r="B60" s="134">
        <f t="shared" si="0"/>
        <v>71</v>
      </c>
      <c r="C60" s="98">
        <f>'ERPs by country'!E66</f>
        <v>0.10260879033175085</v>
      </c>
      <c r="D60" s="24">
        <f>'ERPs by country'!D66</f>
        <v>3.0630963302752296E-2</v>
      </c>
      <c r="E60" s="24">
        <f t="shared" si="1"/>
        <v>0.10260879033175085</v>
      </c>
      <c r="F60" s="57">
        <f>'Country Tax Rates'!C60</f>
        <v>0.25</v>
      </c>
      <c r="G60" s="57">
        <f>E60-'ERPs by country'!$E$3</f>
        <v>4.3208790331750853E-2</v>
      </c>
      <c r="H60" s="75"/>
      <c r="N60" s="208" t="s">
        <v>331</v>
      </c>
      <c r="O60" s="75">
        <v>71</v>
      </c>
    </row>
    <row r="61" spans="1:15">
      <c r="A61" s="46" t="str">
        <f>'ERPs by country'!A67</f>
        <v>Guernsey (States of)</v>
      </c>
      <c r="B61" s="134" t="e">
        <f t="shared" si="0"/>
        <v>#N/A</v>
      </c>
      <c r="C61" s="98">
        <f>'ERPs by country'!E67</f>
        <v>5.9400000000000001E-2</v>
      </c>
      <c r="D61" s="24">
        <f>'ERPs by country'!D67</f>
        <v>0</v>
      </c>
      <c r="E61" s="24">
        <f t="shared" si="1"/>
        <v>5.9400000000000001E-2</v>
      </c>
      <c r="F61" s="57">
        <f>'Country Tax Rates'!C61</f>
        <v>0</v>
      </c>
      <c r="G61" s="57">
        <f>E61-'ERPs by country'!$E$3</f>
        <v>0</v>
      </c>
      <c r="H61" s="75"/>
      <c r="N61" s="208" t="s">
        <v>183</v>
      </c>
      <c r="O61" s="75">
        <v>82.25</v>
      </c>
    </row>
    <row r="62" spans="1:15">
      <c r="A62" s="46" t="str">
        <f>'ERPs by country'!A68</f>
        <v>Honduras</v>
      </c>
      <c r="B62" s="134">
        <f t="shared" si="0"/>
        <v>66.75</v>
      </c>
      <c r="C62" s="98">
        <f>'ERPs by country'!E68</f>
        <v>0.13709467932892289</v>
      </c>
      <c r="D62" s="24">
        <f>'ERPs by country'!D68</f>
        <v>5.5078211009174309E-2</v>
      </c>
      <c r="E62" s="24">
        <f t="shared" si="1"/>
        <v>0.13709467932892289</v>
      </c>
      <c r="F62" s="57">
        <f>'Country Tax Rates'!C62</f>
        <v>0.25</v>
      </c>
      <c r="G62" s="57">
        <f>E62-'ERPs by country'!$E$3</f>
        <v>7.7694679328922878E-2</v>
      </c>
      <c r="H62" s="75"/>
      <c r="N62" s="208" t="s">
        <v>114</v>
      </c>
      <c r="O62" s="75">
        <v>76</v>
      </c>
    </row>
    <row r="63" spans="1:15">
      <c r="A63" s="46" t="str">
        <f>'ERPs by country'!A69</f>
        <v>Hong Kong</v>
      </c>
      <c r="B63" s="134">
        <f t="shared" si="0"/>
        <v>74</v>
      </c>
      <c r="C63" s="98">
        <f>'ERPs by country'!E69</f>
        <v>6.9745766699151612E-2</v>
      </c>
      <c r="D63" s="24">
        <f>'ERPs by country'!D69</f>
        <v>7.3341743119266058E-3</v>
      </c>
      <c r="E63" s="24">
        <f t="shared" si="1"/>
        <v>6.9745766699151612E-2</v>
      </c>
      <c r="F63" s="57">
        <f>'Country Tax Rates'!C63</f>
        <v>0.16500000000000001</v>
      </c>
      <c r="G63" s="57">
        <f>E63-'ERPs by country'!$E$3</f>
        <v>1.0345766699151611E-2</v>
      </c>
      <c r="H63" s="75"/>
      <c r="N63" s="208" t="s">
        <v>145</v>
      </c>
      <c r="O63" s="75">
        <v>73.5</v>
      </c>
    </row>
    <row r="64" spans="1:15">
      <c r="A64" s="46" t="str">
        <f>'ERPs by country'!A70</f>
        <v>Hungary</v>
      </c>
      <c r="B64" s="134">
        <f t="shared" si="0"/>
        <v>71.5</v>
      </c>
      <c r="C64" s="98">
        <f>'ERPs by country'!E70</f>
        <v>9.2263023632599236E-2</v>
      </c>
      <c r="D64" s="24">
        <f>'ERPs by country'!D70</f>
        <v>2.3296788990825688E-2</v>
      </c>
      <c r="E64" s="24">
        <f t="shared" si="1"/>
        <v>9.2263023632599236E-2</v>
      </c>
      <c r="F64" s="57">
        <f>'Country Tax Rates'!C64</f>
        <v>0.09</v>
      </c>
      <c r="G64" s="57">
        <f>E64-'ERPs by country'!$E$3</f>
        <v>3.2863023632599235E-2</v>
      </c>
      <c r="H64" s="75"/>
      <c r="N64" s="208" t="s">
        <v>115</v>
      </c>
      <c r="O64" s="75">
        <v>72.25</v>
      </c>
    </row>
    <row r="65" spans="1:15">
      <c r="A65" s="46" t="str">
        <f>'ERPs by country'!A71</f>
        <v>Iceland</v>
      </c>
      <c r="B65" s="134">
        <f t="shared" si="0"/>
        <v>80.5</v>
      </c>
      <c r="C65" s="98">
        <f>'ERPs by country'!E71</f>
        <v>7.4005788281155213E-2</v>
      </c>
      <c r="D65" s="24">
        <f>'ERPs by country'!D71</f>
        <v>1.0354128440366973E-2</v>
      </c>
      <c r="E65" s="24">
        <f t="shared" si="1"/>
        <v>7.4005788281155213E-2</v>
      </c>
      <c r="F65" s="57">
        <f>'Country Tax Rates'!C65</f>
        <v>0.2</v>
      </c>
      <c r="G65" s="57">
        <f>E65-'ERPs by country'!$E$3</f>
        <v>1.4605788281155212E-2</v>
      </c>
      <c r="H65" s="75"/>
      <c r="N65" s="208" t="s">
        <v>116</v>
      </c>
      <c r="O65" s="75">
        <v>76.25</v>
      </c>
    </row>
    <row r="66" spans="1:15">
      <c r="A66" s="46" t="str">
        <f>'ERPs by country'!A72</f>
        <v>India</v>
      </c>
      <c r="B66" s="134">
        <f t="shared" si="0"/>
        <v>70.25</v>
      </c>
      <c r="C66" s="98">
        <f>'ERPs by country'!E72</f>
        <v>9.733447789688926E-2</v>
      </c>
      <c r="D66" s="24">
        <f>'ERPs by country'!D72</f>
        <v>2.6891972477064225E-2</v>
      </c>
      <c r="E66" s="24">
        <f t="shared" si="1"/>
        <v>9.733447789688926E-2</v>
      </c>
      <c r="F66" s="57">
        <f>'Country Tax Rates'!C66</f>
        <v>0.3</v>
      </c>
      <c r="G66" s="57">
        <f>E66-'ERPs by country'!$E$3</f>
        <v>3.7934477896889258E-2</v>
      </c>
      <c r="H66" s="75"/>
      <c r="N66" s="208" t="s">
        <v>117</v>
      </c>
      <c r="O66" s="75">
        <v>64.5</v>
      </c>
    </row>
    <row r="67" spans="1:15">
      <c r="A67" s="46" t="str">
        <f>'ERPs by country'!A73</f>
        <v>Indonesia</v>
      </c>
      <c r="B67" s="134">
        <f t="shared" ref="B67:B130" si="2">VLOOKUP(A67,$N$2:$O$142,2,FALSE)</f>
        <v>68.25</v>
      </c>
      <c r="C67" s="98">
        <f>'ERPs by country'!E73</f>
        <v>9.2263023632599236E-2</v>
      </c>
      <c r="D67" s="24">
        <f>'ERPs by country'!D73</f>
        <v>2.3296788990825688E-2</v>
      </c>
      <c r="E67" s="24">
        <f t="shared" ref="E67:E131" si="3">C67</f>
        <v>9.2263023632599236E-2</v>
      </c>
      <c r="F67" s="57">
        <f>'Country Tax Rates'!C67</f>
        <v>0.15</v>
      </c>
      <c r="G67" s="57">
        <f>E67-'ERPs by country'!$E$3</f>
        <v>3.2863023632599235E-2</v>
      </c>
      <c r="H67" s="75"/>
      <c r="N67" s="208" t="s">
        <v>118</v>
      </c>
      <c r="O67" s="75">
        <v>76</v>
      </c>
    </row>
    <row r="68" spans="1:15">
      <c r="A68" s="46" t="str">
        <f>'ERPs by country'!A74</f>
        <v>Iraq</v>
      </c>
      <c r="B68" s="134">
        <f t="shared" si="2"/>
        <v>71</v>
      </c>
      <c r="C68" s="98">
        <f>'ERPs by country'!E74</f>
        <v>0.18882351282468096</v>
      </c>
      <c r="D68" s="24">
        <f>'ERPs by country'!D74</f>
        <v>9.1749082568807344E-2</v>
      </c>
      <c r="E68" s="24">
        <f t="shared" si="3"/>
        <v>0.18882351282468096</v>
      </c>
      <c r="F68" s="57">
        <f>'Country Tax Rates'!C68</f>
        <v>0.15</v>
      </c>
      <c r="G68" s="57">
        <f>E68-'ERPs by country'!$E$3</f>
        <v>0.12942351282468095</v>
      </c>
      <c r="H68" s="75"/>
      <c r="N68" s="208" t="s">
        <v>184</v>
      </c>
      <c r="O68" s="75">
        <v>58.25</v>
      </c>
    </row>
    <row r="69" spans="1:15">
      <c r="A69" s="46" t="str">
        <f>'ERPs by country'!A75</f>
        <v>Ireland</v>
      </c>
      <c r="B69" s="134">
        <f t="shared" si="2"/>
        <v>82.25</v>
      </c>
      <c r="C69" s="98">
        <f>'ERPs by country'!E75</f>
        <v>7.1571490234296015E-2</v>
      </c>
      <c r="D69" s="24">
        <f>'ERPs by country'!D75</f>
        <v>8.6284403669724778E-3</v>
      </c>
      <c r="E69" s="24">
        <f t="shared" si="3"/>
        <v>7.1571490234296015E-2</v>
      </c>
      <c r="F69" s="57">
        <f>'Country Tax Rates'!C69</f>
        <v>0.125</v>
      </c>
      <c r="G69" s="57">
        <f>E69-'ERPs by country'!$E$3</f>
        <v>1.2171490234296013E-2</v>
      </c>
      <c r="H69" s="75"/>
      <c r="N69" s="208" t="s">
        <v>373</v>
      </c>
      <c r="O69" s="75">
        <v>51</v>
      </c>
    </row>
    <row r="70" spans="1:15">
      <c r="A70" s="46" t="str">
        <f>'ERPs by country'!A76</f>
        <v>Isle of Man</v>
      </c>
      <c r="B70" s="134" t="e">
        <f t="shared" si="2"/>
        <v>#N/A</v>
      </c>
      <c r="C70" s="98">
        <f>'ERPs by country'!E76</f>
        <v>6.9745766699151612E-2</v>
      </c>
      <c r="D70" s="24">
        <f>'ERPs by country'!D76</f>
        <v>7.3341743119266058E-3</v>
      </c>
      <c r="E70" s="24">
        <f t="shared" si="3"/>
        <v>6.9745766699151612E-2</v>
      </c>
      <c r="F70" s="57">
        <f>'Country Tax Rates'!C70</f>
        <v>0</v>
      </c>
      <c r="G70" s="57">
        <f>E70-'ERPs by country'!$E$3</f>
        <v>1.0345766699151611E-2</v>
      </c>
      <c r="H70" s="75"/>
      <c r="N70" s="208" t="s">
        <v>478</v>
      </c>
      <c r="O70" s="75">
        <v>77.75</v>
      </c>
    </row>
    <row r="71" spans="1:15">
      <c r="A71" s="46" t="str">
        <f>'ERPs by country'!A77</f>
        <v>Israel</v>
      </c>
      <c r="B71" s="134">
        <f t="shared" si="2"/>
        <v>76</v>
      </c>
      <c r="C71" s="98">
        <f>'ERPs by country'!E77</f>
        <v>7.1571490234296015E-2</v>
      </c>
      <c r="D71" s="24">
        <f>'ERPs by country'!D77</f>
        <v>8.6284403669724778E-3</v>
      </c>
      <c r="E71" s="24">
        <f t="shared" si="3"/>
        <v>7.1571490234296015E-2</v>
      </c>
      <c r="F71" s="57">
        <f>'Country Tax Rates'!C71</f>
        <v>0.23</v>
      </c>
      <c r="G71" s="57">
        <f>E71-'ERPs by country'!$E$3</f>
        <v>1.2171490234296013E-2</v>
      </c>
      <c r="H71" s="75"/>
      <c r="N71" s="208" t="s">
        <v>120</v>
      </c>
      <c r="O71" s="75">
        <v>80.75</v>
      </c>
    </row>
    <row r="72" spans="1:15">
      <c r="A72" s="46" t="str">
        <f>'ERPs by country'!A78</f>
        <v>Italy</v>
      </c>
      <c r="B72" s="134">
        <f t="shared" si="2"/>
        <v>73.5</v>
      </c>
      <c r="C72" s="98">
        <f>'ERPs by country'!E78</f>
        <v>9.733447789688926E-2</v>
      </c>
      <c r="D72" s="24">
        <f>'ERPs by country'!D78</f>
        <v>2.6891972477064225E-2</v>
      </c>
      <c r="E72" s="24">
        <f t="shared" si="3"/>
        <v>9.733447789688926E-2</v>
      </c>
      <c r="F72" s="57">
        <f>'Country Tax Rates'!C72</f>
        <v>0.24</v>
      </c>
      <c r="G72" s="57">
        <f>E72-'ERPs by country'!$E$3</f>
        <v>3.7934477896889258E-2</v>
      </c>
      <c r="H72" s="75"/>
      <c r="N72" s="208" t="s">
        <v>121</v>
      </c>
      <c r="O72" s="75">
        <v>71.5</v>
      </c>
    </row>
    <row r="73" spans="1:15">
      <c r="A73" s="46" t="str">
        <f>'ERPs by country'!A79</f>
        <v>Jamaica</v>
      </c>
      <c r="B73" s="134">
        <f t="shared" si="2"/>
        <v>72.25</v>
      </c>
      <c r="C73" s="98">
        <f>'ERPs by country'!E79</f>
        <v>0.15433762382750893</v>
      </c>
      <c r="D73" s="24">
        <f>'ERPs by country'!D79</f>
        <v>6.7301834862385335E-2</v>
      </c>
      <c r="E73" s="24">
        <f t="shared" si="3"/>
        <v>0.15433762382750893</v>
      </c>
      <c r="F73" s="57">
        <f>'Country Tax Rates'!C73</f>
        <v>0.25</v>
      </c>
      <c r="G73" s="57">
        <f>E73-'ERPs by country'!$E$3</f>
        <v>9.4937623827508921E-2</v>
      </c>
      <c r="H73" s="75"/>
      <c r="N73" s="208" t="s">
        <v>122</v>
      </c>
      <c r="O73" s="75">
        <v>41.25</v>
      </c>
    </row>
    <row r="74" spans="1:15">
      <c r="A74" s="46" t="str">
        <f>'ERPs by country'!A80</f>
        <v>Japan</v>
      </c>
      <c r="B74" s="134">
        <f t="shared" si="2"/>
        <v>76.25</v>
      </c>
      <c r="C74" s="98">
        <f>'ERPs by country'!E80</f>
        <v>7.1571490234296015E-2</v>
      </c>
      <c r="D74" s="24">
        <f>'ERPs by country'!D80</f>
        <v>8.6284403669724778E-3</v>
      </c>
      <c r="E74" s="24">
        <f t="shared" si="3"/>
        <v>7.1571490234296015E-2</v>
      </c>
      <c r="F74" s="57">
        <f>'Country Tax Rates'!C74</f>
        <v>0.23200000000000001</v>
      </c>
      <c r="G74" s="57">
        <f>E74-'ERPs by country'!$E$3</f>
        <v>1.2171490234296013E-2</v>
      </c>
      <c r="H74" s="75"/>
      <c r="N74" s="208" t="s">
        <v>318</v>
      </c>
      <c r="O74" s="75">
        <v>58</v>
      </c>
    </row>
    <row r="75" spans="1:15">
      <c r="A75" s="46" t="str">
        <f>'ERPs by country'!A81</f>
        <v>Jersey (States of)</v>
      </c>
      <c r="B75" s="134" t="e">
        <f t="shared" si="2"/>
        <v>#N/A</v>
      </c>
      <c r="C75" s="98">
        <f>'ERPs by country'!E81</f>
        <v>5.9400000000000001E-2</v>
      </c>
      <c r="D75" s="24">
        <f>'ERPs by country'!D81</f>
        <v>0</v>
      </c>
      <c r="E75" s="24">
        <f t="shared" si="3"/>
        <v>5.9400000000000001E-2</v>
      </c>
      <c r="F75" s="57">
        <f>'Country Tax Rates'!C75</f>
        <v>0</v>
      </c>
      <c r="G75" s="57">
        <f>E75-'ERPs by country'!$E$3</f>
        <v>0</v>
      </c>
      <c r="H75" s="75"/>
      <c r="N75" s="208" t="s">
        <v>322</v>
      </c>
      <c r="O75" s="75">
        <v>70.75</v>
      </c>
    </row>
    <row r="76" spans="1:15">
      <c r="A76" s="46" t="str">
        <f>'ERPs by country'!A82</f>
        <v>Jordan</v>
      </c>
      <c r="B76" s="134">
        <f t="shared" si="2"/>
        <v>64.5</v>
      </c>
      <c r="C76" s="98">
        <f>'ERPs by country'!E82</f>
        <v>0.13709467932892289</v>
      </c>
      <c r="D76" s="24">
        <f>'ERPs by country'!D82</f>
        <v>5.5078211009174309E-2</v>
      </c>
      <c r="E76" s="24">
        <f t="shared" si="3"/>
        <v>0.13709467932892289</v>
      </c>
      <c r="F76" s="57">
        <f>'Country Tax Rates'!C76</f>
        <v>0.2</v>
      </c>
      <c r="G76" s="57">
        <f>E76-'ERPs by country'!$E$3</f>
        <v>7.7694679328922878E-2</v>
      </c>
      <c r="H76" s="75"/>
      <c r="N76" s="208" t="s">
        <v>13</v>
      </c>
      <c r="O76" s="75">
        <v>70.25</v>
      </c>
    </row>
    <row r="77" spans="1:15">
      <c r="A77" s="46" t="str">
        <f>'ERPs by country'!A83</f>
        <v>Kazakhstan</v>
      </c>
      <c r="B77" s="134">
        <f t="shared" si="2"/>
        <v>76</v>
      </c>
      <c r="C77" s="98">
        <f>'ERPs by country'!E83</f>
        <v>9.2263023632599236E-2</v>
      </c>
      <c r="D77" s="24">
        <f>'ERPs by country'!D83</f>
        <v>2.3296788990825688E-2</v>
      </c>
      <c r="E77" s="24">
        <f t="shared" si="3"/>
        <v>9.2263023632599236E-2</v>
      </c>
      <c r="F77" s="57">
        <f>'Country Tax Rates'!C77</f>
        <v>0.2</v>
      </c>
      <c r="G77" s="57">
        <f>E77-'ERPs by country'!$E$3</f>
        <v>3.2863023632599235E-2</v>
      </c>
      <c r="H77" s="75"/>
      <c r="N77" s="208" t="s">
        <v>185</v>
      </c>
      <c r="O77" s="75">
        <v>86</v>
      </c>
    </row>
    <row r="78" spans="1:15">
      <c r="A78" s="46" t="str">
        <f>'ERPs by country'!A84</f>
        <v>Kenya</v>
      </c>
      <c r="B78" s="134">
        <f t="shared" si="2"/>
        <v>58.25</v>
      </c>
      <c r="C78" s="98">
        <f>'ERPs by country'!E84</f>
        <v>0.15433762382750893</v>
      </c>
      <c r="D78" s="24">
        <f>'ERPs by country'!D84</f>
        <v>6.7301834862385335E-2</v>
      </c>
      <c r="E78" s="24">
        <f t="shared" si="3"/>
        <v>0.15433762382750893</v>
      </c>
      <c r="F78" s="57">
        <f>'Country Tax Rates'!C78</f>
        <v>0.3</v>
      </c>
      <c r="G78" s="57">
        <f>E78-'ERPs by country'!$E$3</f>
        <v>9.4937623827508921E-2</v>
      </c>
      <c r="H78" s="75"/>
      <c r="N78" s="208" t="s">
        <v>336</v>
      </c>
      <c r="O78" s="75">
        <v>62.5</v>
      </c>
    </row>
    <row r="79" spans="1:15">
      <c r="A79" s="46" t="str">
        <f>'ERPs by country'!A85</f>
        <v>Korea</v>
      </c>
      <c r="B79" s="134" t="e">
        <f t="shared" si="2"/>
        <v>#N/A</v>
      </c>
      <c r="C79" s="98">
        <f>'ERPs by country'!E85</f>
        <v>6.792004316400721E-2</v>
      </c>
      <c r="D79" s="24">
        <f>'ERPs by country'!D85</f>
        <v>6.0399082568807346E-3</v>
      </c>
      <c r="E79" s="24">
        <f t="shared" si="3"/>
        <v>6.792004316400721E-2</v>
      </c>
      <c r="F79" s="57">
        <f>'Country Tax Rates'!C79</f>
        <v>0.25</v>
      </c>
      <c r="G79" s="57">
        <f>E79-'ERPs by country'!$E$3</f>
        <v>8.5200431640072086E-3</v>
      </c>
      <c r="H79" s="75"/>
      <c r="N79" s="208" t="s">
        <v>327</v>
      </c>
      <c r="O79" s="75">
        <v>51</v>
      </c>
    </row>
    <row r="80" spans="1:15">
      <c r="A80" s="46" t="str">
        <f>'ERPs by country'!A86</f>
        <v>Kuwait</v>
      </c>
      <c r="B80" s="134">
        <f t="shared" si="2"/>
        <v>80.75</v>
      </c>
      <c r="C80" s="98">
        <f>'ERPs by country'!E86</f>
        <v>7.1571490234296015E-2</v>
      </c>
      <c r="D80" s="24">
        <f>'ERPs by country'!D86</f>
        <v>8.6284403669724778E-3</v>
      </c>
      <c r="E80" s="24">
        <f t="shared" si="3"/>
        <v>7.1571490234296015E-2</v>
      </c>
      <c r="F80" s="57">
        <f>'Country Tax Rates'!C80</f>
        <v>0.15</v>
      </c>
      <c r="G80" s="57">
        <f>E80-'ERPs by country'!$E$3</f>
        <v>1.2171490234296013E-2</v>
      </c>
      <c r="H80" s="75"/>
      <c r="N80" s="208" t="s">
        <v>14</v>
      </c>
      <c r="O80" s="75">
        <v>73.5</v>
      </c>
    </row>
    <row r="81" spans="1:15">
      <c r="A81" s="46" t="str">
        <f>'ERPs by country'!A87</f>
        <v>Kyrgyzstan</v>
      </c>
      <c r="B81" s="134" t="e">
        <f t="shared" si="2"/>
        <v>#N/A</v>
      </c>
      <c r="C81" s="98">
        <f>'ERPs by country'!E87</f>
        <v>0.17158056832609495</v>
      </c>
      <c r="D81" s="24">
        <f>'ERPs by country'!D87</f>
        <v>7.9525458715596339E-2</v>
      </c>
      <c r="E81" s="24">
        <f t="shared" si="3"/>
        <v>0.17158056832609495</v>
      </c>
      <c r="F81" s="57">
        <f>'Country Tax Rates'!C81</f>
        <v>0.1</v>
      </c>
      <c r="G81" s="57">
        <f>E81-'ERPs by country'!$E$3</f>
        <v>0.11218056832609494</v>
      </c>
      <c r="H81" s="75"/>
      <c r="N81" s="208" t="s">
        <v>325</v>
      </c>
      <c r="O81" s="75">
        <v>58.75</v>
      </c>
    </row>
    <row r="82" spans="1:15">
      <c r="A82" s="46" t="str">
        <f>'ERPs by country'!A89</f>
        <v>Latvia</v>
      </c>
      <c r="B82" s="134">
        <f t="shared" si="2"/>
        <v>71.5</v>
      </c>
      <c r="C82" s="98">
        <f>'ERPs by country'!E89</f>
        <v>8.009153339830323E-2</v>
      </c>
      <c r="D82" s="24">
        <f>'ERPs by country'!D89</f>
        <v>1.4668348623853212E-2</v>
      </c>
      <c r="E82" s="24">
        <f t="shared" si="3"/>
        <v>8.009153339830323E-2</v>
      </c>
      <c r="F82" s="57">
        <f>'Country Tax Rates'!C83</f>
        <v>0.2</v>
      </c>
      <c r="G82" s="57">
        <f>E82-'ERPs by country'!$E$3</f>
        <v>2.0691533398303229E-2</v>
      </c>
      <c r="H82" s="75"/>
      <c r="N82" s="208" t="s">
        <v>186</v>
      </c>
      <c r="O82" s="75">
        <v>74.75</v>
      </c>
    </row>
    <row r="83" spans="1:15">
      <c r="A83" s="46" t="str">
        <f>'ERPs by country'!A90</f>
        <v>Lebanon</v>
      </c>
      <c r="B83" s="134">
        <f t="shared" si="2"/>
        <v>41.25</v>
      </c>
      <c r="C83" s="98">
        <f>'ERPs by country'!E90</f>
        <v>0.30625930485826308</v>
      </c>
      <c r="D83" s="24">
        <f>'ERPs by country'!D90</f>
        <v>0.17499999999999999</v>
      </c>
      <c r="E83" s="24">
        <f t="shared" si="3"/>
        <v>0.30625930485826308</v>
      </c>
      <c r="F83" s="57">
        <f>'Country Tax Rates'!C84</f>
        <v>0.17</v>
      </c>
      <c r="G83" s="57">
        <f>E83-'ERPs by country'!$E$3</f>
        <v>0.24685930485826307</v>
      </c>
      <c r="H83" s="75"/>
      <c r="N83" s="208" t="s">
        <v>16</v>
      </c>
      <c r="O83" s="75">
        <v>68.25</v>
      </c>
    </row>
    <row r="84" spans="1:15">
      <c r="A84" s="46" t="str">
        <f>'ERPs by country'!A91</f>
        <v>Liechtenstein</v>
      </c>
      <c r="B84" s="134" t="e">
        <f t="shared" si="2"/>
        <v>#N/A</v>
      </c>
      <c r="C84" s="98">
        <f>'ERPs by country'!E91</f>
        <v>5.9400000000000001E-2</v>
      </c>
      <c r="D84" s="24">
        <f>'ERPs by country'!D91</f>
        <v>0</v>
      </c>
      <c r="E84" s="24">
        <f t="shared" si="3"/>
        <v>5.9400000000000001E-2</v>
      </c>
      <c r="F84" s="57">
        <f>'Country Tax Rates'!C85</f>
        <v>0.125</v>
      </c>
      <c r="G84" s="57">
        <f>E84-'ERPs by country'!$E$3</f>
        <v>0</v>
      </c>
      <c r="H84" s="75"/>
      <c r="N84" s="208" t="s">
        <v>17</v>
      </c>
      <c r="O84" s="75">
        <v>59</v>
      </c>
    </row>
    <row r="85" spans="1:15">
      <c r="A85" s="46" t="str">
        <f>'ERPs by country'!A92</f>
        <v>Lithuania</v>
      </c>
      <c r="B85" s="134">
        <f t="shared" si="2"/>
        <v>70.25</v>
      </c>
      <c r="C85" s="98">
        <f>'ERPs by country'!E92</f>
        <v>7.4005788281155213E-2</v>
      </c>
      <c r="D85" s="24">
        <f>'ERPs by country'!D92</f>
        <v>1.0354128440366973E-2</v>
      </c>
      <c r="E85" s="24">
        <f t="shared" si="3"/>
        <v>7.4005788281155213E-2</v>
      </c>
      <c r="F85" s="57">
        <f>'Country Tax Rates'!C86</f>
        <v>0.15</v>
      </c>
      <c r="G85" s="57">
        <f>E85-'ERPs by country'!$E$3</f>
        <v>1.4605788281155212E-2</v>
      </c>
      <c r="H85" s="75"/>
      <c r="N85" s="208" t="s">
        <v>63</v>
      </c>
      <c r="O85" s="75">
        <v>65</v>
      </c>
    </row>
    <row r="86" spans="1:15">
      <c r="A86" s="46" t="str">
        <f>'ERPs by country'!A93</f>
        <v>Luxembourg</v>
      </c>
      <c r="B86" s="134">
        <f t="shared" si="2"/>
        <v>86</v>
      </c>
      <c r="C86" s="98">
        <f>'ERPs by country'!E93</f>
        <v>5.9400000000000001E-2</v>
      </c>
      <c r="D86" s="24">
        <f>'ERPs by country'!D93</f>
        <v>0</v>
      </c>
      <c r="E86" s="24">
        <f t="shared" si="3"/>
        <v>5.9400000000000001E-2</v>
      </c>
      <c r="F86" s="57">
        <f>'Country Tax Rates'!C87</f>
        <v>0.24940000000000001</v>
      </c>
      <c r="G86" s="57">
        <f>E86-'ERPs by country'!$E$3</f>
        <v>0</v>
      </c>
      <c r="H86" s="75"/>
      <c r="N86" s="208" t="s">
        <v>18</v>
      </c>
      <c r="O86" s="75">
        <v>64.5</v>
      </c>
    </row>
    <row r="87" spans="1:15">
      <c r="A87" s="46" t="str">
        <f>'ERPs by country'!A94</f>
        <v>Macao</v>
      </c>
      <c r="B87" s="134" t="e">
        <f t="shared" si="2"/>
        <v>#N/A</v>
      </c>
      <c r="C87" s="98">
        <f>'ERPs by country'!E94</f>
        <v>6.9745766699151612E-2</v>
      </c>
      <c r="D87" s="24">
        <f>'ERPs by country'!D94</f>
        <v>7.3341743119266058E-3</v>
      </c>
      <c r="E87" s="24">
        <f t="shared" si="3"/>
        <v>6.9745766699151612E-2</v>
      </c>
      <c r="F87" s="57">
        <f>'Country Tax Rates'!C88</f>
        <v>0.2281</v>
      </c>
      <c r="G87" s="57">
        <f>E87-'ERPs by country'!$E$3</f>
        <v>1.0345766699151611E-2</v>
      </c>
      <c r="H87" s="75"/>
      <c r="N87" s="208" t="s">
        <v>226</v>
      </c>
      <c r="O87" s="75">
        <v>54.5</v>
      </c>
    </row>
    <row r="88" spans="1:15">
      <c r="A88" s="46" t="str">
        <f>'ERPs by country'!A95</f>
        <v>Macedonia</v>
      </c>
      <c r="B88" s="134" t="e">
        <f t="shared" si="2"/>
        <v>#N/A</v>
      </c>
      <c r="C88" s="98">
        <f>'ERPs by country'!E95</f>
        <v>0.12147460019490969</v>
      </c>
      <c r="D88" s="24">
        <f>'ERPs by country'!D95</f>
        <v>4.4005045871559637E-2</v>
      </c>
      <c r="E88" s="24">
        <f t="shared" si="3"/>
        <v>0.12147460019490969</v>
      </c>
      <c r="F88" s="57">
        <f>'Country Tax Rates'!C89</f>
        <v>0.1</v>
      </c>
      <c r="G88" s="57">
        <f>E88-'ERPs by country'!$E$3</f>
        <v>6.2074600194909686E-2</v>
      </c>
      <c r="H88" s="75"/>
      <c r="N88" s="208" t="s">
        <v>335</v>
      </c>
      <c r="O88" s="75">
        <v>55.75</v>
      </c>
    </row>
    <row r="89" spans="1:15">
      <c r="A89" s="46" t="str">
        <f>'ERPs by country'!A96</f>
        <v>Malaysia</v>
      </c>
      <c r="B89" s="134">
        <f t="shared" si="2"/>
        <v>73.5</v>
      </c>
      <c r="C89" s="98">
        <f>'ERPs by country'!E96</f>
        <v>8.009153339830323E-2</v>
      </c>
      <c r="D89" s="24">
        <f>'ERPs by country'!D96</f>
        <v>1.4668348623853212E-2</v>
      </c>
      <c r="E89" s="24">
        <f t="shared" si="3"/>
        <v>8.009153339830323E-2</v>
      </c>
      <c r="F89" s="57">
        <f>'Country Tax Rates'!C90</f>
        <v>0.24</v>
      </c>
      <c r="G89" s="57">
        <f>E89-'ERPs by country'!$E$3</f>
        <v>2.0691533398303229E-2</v>
      </c>
      <c r="H89" s="75"/>
      <c r="N89" s="208" t="s">
        <v>136</v>
      </c>
      <c r="O89" s="75">
        <v>71.75</v>
      </c>
    </row>
    <row r="90" spans="1:15">
      <c r="A90" s="46" t="str">
        <f>'ERPs by country'!A97</f>
        <v>Maldives</v>
      </c>
      <c r="B90" s="134" t="e">
        <f t="shared" si="2"/>
        <v>#N/A</v>
      </c>
      <c r="C90" s="98">
        <f>'ERPs by country'!E97</f>
        <v>0.18882351282468096</v>
      </c>
      <c r="D90" s="24">
        <f>'ERPs by country'!D97</f>
        <v>9.1749082568807344E-2</v>
      </c>
      <c r="E90" s="24">
        <f t="shared" si="3"/>
        <v>0.18882351282468096</v>
      </c>
      <c r="F90" s="57">
        <f>'Country Tax Rates'!C91</f>
        <v>0.2281</v>
      </c>
      <c r="G90" s="57">
        <f>E90-'ERPs by country'!$E$3</f>
        <v>0.12942351282468095</v>
      </c>
      <c r="H90" s="75"/>
      <c r="N90" s="208" t="s">
        <v>187</v>
      </c>
      <c r="O90" s="75">
        <v>79.75</v>
      </c>
    </row>
    <row r="91" spans="1:15">
      <c r="A91" s="46" t="str">
        <f>'ERPs by country'!A98</f>
        <v>Mali</v>
      </c>
      <c r="B91" s="134">
        <f t="shared" si="2"/>
        <v>58.75</v>
      </c>
      <c r="C91" s="98">
        <f>'ERPs by country'!E98</f>
        <v>0.21478935865784579</v>
      </c>
      <c r="D91" s="24">
        <f>'ERPs by country'!D98</f>
        <v>0.11015642201834862</v>
      </c>
      <c r="E91" s="24">
        <f t="shared" si="3"/>
        <v>0.21478935865784579</v>
      </c>
      <c r="F91" s="57">
        <f>'Country Tax Rates'!C92</f>
        <v>0.2281</v>
      </c>
      <c r="G91" s="57">
        <f>E91-'ERPs by country'!$E$3</f>
        <v>0.15538935865784578</v>
      </c>
      <c r="H91" s="75"/>
      <c r="N91" s="208" t="s">
        <v>21</v>
      </c>
      <c r="O91" s="75">
        <v>76</v>
      </c>
    </row>
    <row r="92" spans="1:15">
      <c r="A92" s="46" t="str">
        <f>'ERPs by country'!A99</f>
        <v>Malta</v>
      </c>
      <c r="B92" s="134">
        <f t="shared" si="2"/>
        <v>74.75</v>
      </c>
      <c r="C92" s="98">
        <f>'ERPs by country'!E99</f>
        <v>7.4005788281155213E-2</v>
      </c>
      <c r="D92" s="24">
        <f>'ERPs by country'!D99</f>
        <v>1.0354128440366973E-2</v>
      </c>
      <c r="E92" s="24">
        <f t="shared" si="3"/>
        <v>7.4005788281155213E-2</v>
      </c>
      <c r="F92" s="57">
        <f>'Country Tax Rates'!C93</f>
        <v>0.35</v>
      </c>
      <c r="G92" s="57">
        <f>E92-'ERPs by country'!$E$3</f>
        <v>1.4605788281155212E-2</v>
      </c>
      <c r="H92" s="75"/>
      <c r="N92" s="208" t="s">
        <v>22</v>
      </c>
      <c r="O92" s="75">
        <v>62.75</v>
      </c>
    </row>
    <row r="93" spans="1:15">
      <c r="A93" s="46" t="str">
        <f>'ERPs by country'!A100</f>
        <v>Mauritius</v>
      </c>
      <c r="B93" s="134" t="e">
        <f t="shared" si="2"/>
        <v>#N/A</v>
      </c>
      <c r="C93" s="98">
        <f>'ERPs by country'!E100</f>
        <v>9.733447789688926E-2</v>
      </c>
      <c r="D93" s="24">
        <f>'ERPs by country'!D100</f>
        <v>2.6891972477064225E-2</v>
      </c>
      <c r="E93" s="24">
        <f t="shared" si="3"/>
        <v>9.733447789688926E-2</v>
      </c>
      <c r="F93" s="57">
        <f>'Country Tax Rates'!C94</f>
        <v>0.15</v>
      </c>
      <c r="G93" s="57">
        <f>E93-'ERPs by country'!$E$3</f>
        <v>3.7934477896889258E-2</v>
      </c>
      <c r="H93" s="75"/>
      <c r="N93" s="208" t="s">
        <v>321</v>
      </c>
      <c r="O93" s="75">
        <v>57.25</v>
      </c>
    </row>
    <row r="94" spans="1:15">
      <c r="A94" s="46" t="str">
        <f>'ERPs by country'!A101</f>
        <v>Mexico</v>
      </c>
      <c r="B94" s="134">
        <f t="shared" si="2"/>
        <v>68.25</v>
      </c>
      <c r="C94" s="98">
        <f>'ERPs by country'!E101</f>
        <v>9.2263023632599236E-2</v>
      </c>
      <c r="D94" s="24">
        <f>'ERPs by country'!D101</f>
        <v>2.3296788990825688E-2</v>
      </c>
      <c r="E94" s="24">
        <f t="shared" si="3"/>
        <v>9.2263023632599236E-2</v>
      </c>
      <c r="F94" s="57">
        <f>'Country Tax Rates'!C95</f>
        <v>0.3</v>
      </c>
      <c r="G94" s="57">
        <f>E94-'ERPs by country'!$E$3</f>
        <v>3.2863023632599235E-2</v>
      </c>
      <c r="H94" s="75"/>
      <c r="N94" s="208" t="s">
        <v>188</v>
      </c>
      <c r="O94" s="75">
        <v>59.5</v>
      </c>
    </row>
    <row r="95" spans="1:15">
      <c r="A95" s="46" t="str">
        <f>'ERPs by country'!A102</f>
        <v>Moldova</v>
      </c>
      <c r="B95" s="134">
        <f t="shared" si="2"/>
        <v>59</v>
      </c>
      <c r="C95" s="98">
        <f>'ERPs by country'!E102</f>
        <v>0.17158056832609495</v>
      </c>
      <c r="D95" s="24">
        <f>'ERPs by country'!D102</f>
        <v>7.9525458715596339E-2</v>
      </c>
      <c r="E95" s="24">
        <f t="shared" si="3"/>
        <v>0.17158056832609495</v>
      </c>
      <c r="F95" s="57">
        <f>'Country Tax Rates'!C96</f>
        <v>0.12</v>
      </c>
      <c r="G95" s="57">
        <f>E95-'ERPs by country'!$E$3</f>
        <v>0.11218056832609494</v>
      </c>
      <c r="H95" s="75"/>
      <c r="N95" s="208" t="s">
        <v>23</v>
      </c>
      <c r="O95" s="75">
        <v>87</v>
      </c>
    </row>
    <row r="96" spans="1:15">
      <c r="A96" s="46" t="str">
        <f>'ERPs by country'!A103</f>
        <v>Mongolia</v>
      </c>
      <c r="B96" s="134">
        <f t="shared" si="2"/>
        <v>65</v>
      </c>
      <c r="C96" s="98">
        <f>'ERPs by country'!E103</f>
        <v>0.17158056832609495</v>
      </c>
      <c r="D96" s="24">
        <f>'ERPs by country'!D103</f>
        <v>7.9525458715596339E-2</v>
      </c>
      <c r="E96" s="24">
        <f t="shared" si="3"/>
        <v>0.17158056832609495</v>
      </c>
      <c r="F96" s="57">
        <f>'Country Tax Rates'!C97</f>
        <v>0.25</v>
      </c>
      <c r="G96" s="57">
        <f>E96-'ERPs by country'!$E$3</f>
        <v>0.11218056832609494</v>
      </c>
      <c r="H96" s="75"/>
      <c r="N96" s="208" t="s">
        <v>24</v>
      </c>
      <c r="O96" s="75">
        <v>78.25</v>
      </c>
    </row>
    <row r="97" spans="1:15">
      <c r="A97" s="46" t="str">
        <f>'ERPs by country'!A104</f>
        <v>Montenegro</v>
      </c>
      <c r="B97" s="134" t="e">
        <f t="shared" si="2"/>
        <v>#N/A</v>
      </c>
      <c r="C97" s="98">
        <f>'ERPs by country'!E104</f>
        <v>0.13709467932892289</v>
      </c>
      <c r="D97" s="24">
        <f>'ERPs by country'!D104</f>
        <v>5.5078211009174309E-2</v>
      </c>
      <c r="E97" s="24">
        <f t="shared" si="3"/>
        <v>0.13709467932892289</v>
      </c>
      <c r="F97" s="57">
        <f>'Country Tax Rates'!C98</f>
        <v>0.15</v>
      </c>
      <c r="G97" s="57">
        <f>E97-'ERPs by country'!$E$3</f>
        <v>7.7694679328922878E-2</v>
      </c>
      <c r="H97" s="75"/>
      <c r="N97" s="208" t="s">
        <v>25</v>
      </c>
      <c r="O97" s="75">
        <v>51</v>
      </c>
    </row>
    <row r="98" spans="1:15">
      <c r="A98" s="46" t="str">
        <f>'ERPs by country'!A105</f>
        <v>Montserrat</v>
      </c>
      <c r="B98" s="134" t="e">
        <f t="shared" si="2"/>
        <v>#N/A</v>
      </c>
      <c r="C98" s="98">
        <f>'ERPs by country'!E105</f>
        <v>9.733447789688926E-2</v>
      </c>
      <c r="D98" s="24">
        <f>'ERPs by country'!D105</f>
        <v>2.6891972477064225E-2</v>
      </c>
      <c r="E98" s="24">
        <f t="shared" si="3"/>
        <v>9.733447789688926E-2</v>
      </c>
      <c r="F98" s="57">
        <f>'Country Tax Rates'!C99</f>
        <v>0.27179999999999999</v>
      </c>
      <c r="G98" s="57">
        <f>E98-'ERPs by country'!$E$3</f>
        <v>3.7934477896889258E-2</v>
      </c>
      <c r="H98" s="75"/>
      <c r="N98" s="208" t="s">
        <v>26</v>
      </c>
      <c r="O98" s="75">
        <v>73.5</v>
      </c>
    </row>
    <row r="99" spans="1:15">
      <c r="A99" s="46" t="str">
        <f>'ERPs by country'!A106</f>
        <v>Morocco</v>
      </c>
      <c r="B99" s="134">
        <f t="shared" si="2"/>
        <v>64.5</v>
      </c>
      <c r="C99" s="98">
        <f>'ERPs by country'!E106</f>
        <v>0.10260879033175085</v>
      </c>
      <c r="D99" s="24">
        <f>'ERPs by country'!D106</f>
        <v>3.0630963302752296E-2</v>
      </c>
      <c r="E99" s="24">
        <f t="shared" si="3"/>
        <v>0.10260879033175085</v>
      </c>
      <c r="F99" s="57">
        <f>'Country Tax Rates'!C100</f>
        <v>0.31</v>
      </c>
      <c r="G99" s="57">
        <f>E99-'ERPs by country'!$E$3</f>
        <v>4.3208790331750853E-2</v>
      </c>
      <c r="H99" s="75"/>
      <c r="N99" s="208" t="s">
        <v>9</v>
      </c>
      <c r="O99" s="75">
        <v>69.25</v>
      </c>
    </row>
    <row r="100" spans="1:15">
      <c r="A100" s="46" t="str">
        <f>'ERPs by country'!A107</f>
        <v>Mozambique</v>
      </c>
      <c r="B100" s="134">
        <f t="shared" si="2"/>
        <v>54.5</v>
      </c>
      <c r="C100" s="98">
        <f>'ERPs by country'!E107</f>
        <v>0.21478935865784579</v>
      </c>
      <c r="D100" s="24">
        <f>'ERPs by country'!D107</f>
        <v>0.11015642201834862</v>
      </c>
      <c r="E100" s="24">
        <f t="shared" si="3"/>
        <v>0.21478935865784579</v>
      </c>
      <c r="F100" s="57">
        <f>'Country Tax Rates'!C101</f>
        <v>0.32</v>
      </c>
      <c r="G100" s="57">
        <f>E100-'ERPs by country'!$E$3</f>
        <v>0.15538935865784578</v>
      </c>
      <c r="H100" s="75"/>
      <c r="N100" s="208" t="s">
        <v>27</v>
      </c>
      <c r="O100" s="75">
        <v>64.25</v>
      </c>
    </row>
    <row r="101" spans="1:15">
      <c r="A101" s="46" t="str">
        <f>'ERPs by country'!A108</f>
        <v>Namibia</v>
      </c>
      <c r="B101" s="134">
        <f t="shared" si="2"/>
        <v>71.75</v>
      </c>
      <c r="C101" s="98">
        <f>'ERPs by country'!E108</f>
        <v>0.13709467932892289</v>
      </c>
      <c r="D101" s="24">
        <f>'ERPs by country'!D108</f>
        <v>5.5078211009174309E-2</v>
      </c>
      <c r="E101" s="24">
        <f t="shared" si="3"/>
        <v>0.13709467932892289</v>
      </c>
      <c r="F101" s="57">
        <f>'Country Tax Rates'!C102</f>
        <v>0.32</v>
      </c>
      <c r="G101" s="57">
        <f>E101-'ERPs by country'!$E$3</f>
        <v>7.7694679328922878E-2</v>
      </c>
      <c r="H101" s="75"/>
      <c r="N101" s="208" t="s">
        <v>28</v>
      </c>
      <c r="O101" s="75">
        <v>68</v>
      </c>
    </row>
    <row r="102" spans="1:15">
      <c r="A102" s="46" t="str">
        <f>'ERPs by country'!A109</f>
        <v>Netherlands</v>
      </c>
      <c r="B102" s="134">
        <f t="shared" si="2"/>
        <v>79.75</v>
      </c>
      <c r="C102" s="98">
        <f>'ERPs by country'!E109</f>
        <v>5.9400000000000001E-2</v>
      </c>
      <c r="D102" s="24">
        <f>'ERPs by country'!D109</f>
        <v>0</v>
      </c>
      <c r="E102" s="24">
        <f t="shared" si="3"/>
        <v>5.9400000000000001E-2</v>
      </c>
      <c r="F102" s="57">
        <f>'Country Tax Rates'!C103</f>
        <v>0.25800000000000001</v>
      </c>
      <c r="G102" s="57">
        <f>E102-'ERPs by country'!$E$3</f>
        <v>0</v>
      </c>
      <c r="H102" s="75"/>
      <c r="N102" s="208" t="s">
        <v>29</v>
      </c>
      <c r="O102" s="75">
        <v>70.75</v>
      </c>
    </row>
    <row r="103" spans="1:15">
      <c r="A103" s="46" t="str">
        <f>'ERPs by country'!A110</f>
        <v>New Zealand</v>
      </c>
      <c r="B103" s="134">
        <f t="shared" si="2"/>
        <v>76</v>
      </c>
      <c r="C103" s="98">
        <f>'ERPs by country'!E110</f>
        <v>5.9400000000000001E-2</v>
      </c>
      <c r="D103" s="24">
        <f>'ERPs by country'!D110</f>
        <v>0</v>
      </c>
      <c r="E103" s="24">
        <f t="shared" si="3"/>
        <v>5.9400000000000001E-2</v>
      </c>
      <c r="F103" s="57">
        <f>'Country Tax Rates'!C104</f>
        <v>0.28000000000000003</v>
      </c>
      <c r="G103" s="57">
        <f>E103-'ERPs by country'!$E$3</f>
        <v>0</v>
      </c>
      <c r="H103" s="75"/>
      <c r="N103" s="208" t="s">
        <v>30</v>
      </c>
      <c r="O103" s="75">
        <v>71</v>
      </c>
    </row>
    <row r="104" spans="1:15">
      <c r="A104" s="46" t="str">
        <f>'ERPs by country'!A111</f>
        <v>Nicaragua</v>
      </c>
      <c r="B104" s="134">
        <f t="shared" si="2"/>
        <v>62.75</v>
      </c>
      <c r="C104" s="98">
        <f>'ERPs by country'!E111</f>
        <v>0.17158056832609495</v>
      </c>
      <c r="D104" s="24">
        <f>'ERPs by country'!D111</f>
        <v>7.9525458715596339E-2</v>
      </c>
      <c r="E104" s="24">
        <f t="shared" si="3"/>
        <v>0.17158056832609495</v>
      </c>
      <c r="F104" s="57">
        <f>'Country Tax Rates'!C105</f>
        <v>0.3</v>
      </c>
      <c r="G104" s="57">
        <f>E104-'ERPs by country'!$E$3</f>
        <v>0.11218056832609494</v>
      </c>
      <c r="H104" s="75"/>
      <c r="N104" s="208" t="s">
        <v>189</v>
      </c>
      <c r="O104" s="75">
        <v>75.5</v>
      </c>
    </row>
    <row r="105" spans="1:15">
      <c r="A105" s="46" t="str">
        <f>'ERPs by country'!A112</f>
        <v>Niger</v>
      </c>
      <c r="B105" s="134">
        <f t="shared" si="2"/>
        <v>57.25</v>
      </c>
      <c r="C105" s="98">
        <f>'ERPs by country'!E112</f>
        <v>0.17158056832609495</v>
      </c>
      <c r="D105" s="24">
        <f>'ERPs by country'!D112</f>
        <v>7.9525458715596339E-2</v>
      </c>
      <c r="E105" s="24">
        <f t="shared" ref="E105" si="4">C105</f>
        <v>0.17158056832609495</v>
      </c>
      <c r="F105" s="57">
        <f>'Country Tax Rates'!C106</f>
        <v>0.2281</v>
      </c>
      <c r="G105" s="57">
        <f>E105-'ERPs by country'!$E$3</f>
        <v>0.11218056832609494</v>
      </c>
      <c r="H105" s="75"/>
      <c r="N105" s="208" t="s">
        <v>74</v>
      </c>
      <c r="O105" s="75">
        <v>78.75</v>
      </c>
    </row>
    <row r="106" spans="1:15">
      <c r="A106" s="46" t="str">
        <f>'ERPs by country'!A113</f>
        <v>Nigeria</v>
      </c>
      <c r="B106" s="134">
        <f t="shared" si="2"/>
        <v>59.5</v>
      </c>
      <c r="C106" s="98">
        <f>'ERPs by country'!E113</f>
        <v>0.17158056832609495</v>
      </c>
      <c r="D106" s="24">
        <f>'ERPs by country'!D113</f>
        <v>7.9525458715596339E-2</v>
      </c>
      <c r="E106" s="24">
        <f t="shared" si="3"/>
        <v>0.17158056832609495</v>
      </c>
      <c r="F106" s="57">
        <f>'Country Tax Rates'!C107</f>
        <v>0.3</v>
      </c>
      <c r="G106" s="57">
        <f>E106-'ERPs by country'!$E$3</f>
        <v>0.11218056832609494</v>
      </c>
      <c r="H106" s="75"/>
      <c r="N106" s="208" t="s">
        <v>0</v>
      </c>
      <c r="O106" s="75">
        <v>66.75</v>
      </c>
    </row>
    <row r="107" spans="1:15">
      <c r="A107" s="46" t="str">
        <f>'ERPs by country'!A114</f>
        <v>Norway</v>
      </c>
      <c r="B107" s="134">
        <f t="shared" si="2"/>
        <v>87</v>
      </c>
      <c r="C107" s="98">
        <f>'ERPs by country'!E114</f>
        <v>5.9400000000000001E-2</v>
      </c>
      <c r="D107" s="24">
        <f>'ERPs by country'!D114</f>
        <v>0</v>
      </c>
      <c r="E107" s="24">
        <f t="shared" si="3"/>
        <v>5.9400000000000001E-2</v>
      </c>
      <c r="F107" s="57">
        <f>'Country Tax Rates'!C108</f>
        <v>0.22</v>
      </c>
      <c r="G107" s="57">
        <f>E107-'ERPs by country'!$E$3</f>
        <v>0</v>
      </c>
      <c r="H107" s="75"/>
      <c r="N107" s="208" t="s">
        <v>1</v>
      </c>
      <c r="O107" s="75">
        <v>66</v>
      </c>
    </row>
    <row r="108" spans="1:15">
      <c r="A108" s="46" t="str">
        <f>'ERPs by country'!A115</f>
        <v>Oman</v>
      </c>
      <c r="B108" s="134">
        <f t="shared" si="2"/>
        <v>78.25</v>
      </c>
      <c r="C108" s="98">
        <f>'ERPs by country'!E115</f>
        <v>0.12147460019490969</v>
      </c>
      <c r="D108" s="24">
        <f>'ERPs by country'!D115</f>
        <v>4.4005045871559637E-2</v>
      </c>
      <c r="E108" s="24">
        <f t="shared" si="3"/>
        <v>0.12147460019490969</v>
      </c>
      <c r="F108" s="57">
        <f>'Country Tax Rates'!C109</f>
        <v>0.15</v>
      </c>
      <c r="G108" s="57">
        <f>E108-'ERPs by country'!$E$3</f>
        <v>6.2074600194909686E-2</v>
      </c>
      <c r="H108" s="75"/>
      <c r="N108" s="208" t="s">
        <v>2</v>
      </c>
      <c r="O108" s="75">
        <v>85.5</v>
      </c>
    </row>
    <row r="109" spans="1:15">
      <c r="A109" s="46" t="str">
        <f>'ERPs by country'!A116</f>
        <v>Pakistan</v>
      </c>
      <c r="B109" s="134">
        <f t="shared" si="2"/>
        <v>51</v>
      </c>
      <c r="C109" s="98">
        <f>'ERPs by country'!E116</f>
        <v>0.18882351282468096</v>
      </c>
      <c r="D109" s="24">
        <f>'ERPs by country'!D116</f>
        <v>9.1749082568807344E-2</v>
      </c>
      <c r="E109" s="24">
        <f t="shared" si="3"/>
        <v>0.18882351282468096</v>
      </c>
      <c r="F109" s="57">
        <f>'Country Tax Rates'!C110</f>
        <v>0.28999999999999998</v>
      </c>
      <c r="G109" s="57">
        <f>E109-'ERPs by country'!$E$3</f>
        <v>0.12942351282468095</v>
      </c>
      <c r="H109" s="75"/>
      <c r="N109" s="208" t="s">
        <v>135</v>
      </c>
      <c r="O109" s="75">
        <v>58.25</v>
      </c>
    </row>
    <row r="110" spans="1:15">
      <c r="A110" s="46" t="str">
        <f>'ERPs by country'!A117</f>
        <v>Panama</v>
      </c>
      <c r="B110" s="134">
        <f t="shared" si="2"/>
        <v>73.5</v>
      </c>
      <c r="C110" s="98">
        <f>'ERPs by country'!E117</f>
        <v>9.2263023632599236E-2</v>
      </c>
      <c r="D110" s="24">
        <f>'ERPs by country'!D117</f>
        <v>2.3296788990825688E-2</v>
      </c>
      <c r="E110" s="24">
        <f t="shared" si="3"/>
        <v>9.2263023632599236E-2</v>
      </c>
      <c r="F110" s="57">
        <f>'Country Tax Rates'!C111</f>
        <v>0.25</v>
      </c>
      <c r="G110" s="57">
        <f>E110-'ERPs by country'!$E$3</f>
        <v>3.2863023632599235E-2</v>
      </c>
      <c r="H110" s="75"/>
      <c r="N110" s="208" t="s">
        <v>481</v>
      </c>
      <c r="O110" s="75">
        <v>67.25</v>
      </c>
    </row>
    <row r="111" spans="1:15">
      <c r="A111" s="46" t="str">
        <f>'ERPs by country'!A118</f>
        <v>Papua New Guinea</v>
      </c>
      <c r="B111" s="134">
        <f t="shared" si="2"/>
        <v>69.25</v>
      </c>
      <c r="C111" s="98">
        <f>'ERPs by country'!E118</f>
        <v>0.15433762382750893</v>
      </c>
      <c r="D111" s="24">
        <f>'ERPs by country'!D118</f>
        <v>6.7301834862385335E-2</v>
      </c>
      <c r="E111" s="24">
        <f t="shared" si="3"/>
        <v>0.15433762382750893</v>
      </c>
      <c r="F111" s="57">
        <f>'Country Tax Rates'!C112</f>
        <v>0.3</v>
      </c>
      <c r="G111" s="57">
        <f>E111-'ERPs by country'!$E$3</f>
        <v>9.4937623827508921E-2</v>
      </c>
      <c r="H111" s="75"/>
      <c r="N111" s="208" t="s">
        <v>329</v>
      </c>
      <c r="O111" s="75">
        <v>53.5</v>
      </c>
    </row>
    <row r="112" spans="1:15">
      <c r="A112" s="46" t="str">
        <f>'ERPs by country'!A119</f>
        <v>Paraguay</v>
      </c>
      <c r="B112" s="134">
        <f t="shared" si="2"/>
        <v>64.25</v>
      </c>
      <c r="C112" s="98">
        <f>'ERPs by country'!E119</f>
        <v>0.10260879033175085</v>
      </c>
      <c r="D112" s="24">
        <f>'ERPs by country'!D119</f>
        <v>3.0630963302752296E-2</v>
      </c>
      <c r="E112" s="24">
        <f t="shared" si="3"/>
        <v>0.10260879033175085</v>
      </c>
      <c r="F112" s="57">
        <f>'Country Tax Rates'!C113</f>
        <v>0.1</v>
      </c>
      <c r="G112" s="57">
        <f>E112-'ERPs by country'!$E$3</f>
        <v>4.3208790331750853E-2</v>
      </c>
      <c r="H112" s="75"/>
      <c r="N112" s="208" t="s">
        <v>3</v>
      </c>
      <c r="O112" s="75">
        <v>85.75</v>
      </c>
    </row>
    <row r="113" spans="1:15">
      <c r="A113" s="46" t="str">
        <f>'ERPs by country'!A120</f>
        <v>Peru</v>
      </c>
      <c r="B113" s="134">
        <f t="shared" si="2"/>
        <v>68</v>
      </c>
      <c r="C113" s="98">
        <f>'ERPs by country'!E120</f>
        <v>8.6988711197737628E-2</v>
      </c>
      <c r="D113" s="24">
        <f>'ERPs by country'!D120</f>
        <v>1.9557798165137613E-2</v>
      </c>
      <c r="E113" s="24">
        <f t="shared" si="3"/>
        <v>8.6988711197737628E-2</v>
      </c>
      <c r="F113" s="57">
        <f>'Country Tax Rates'!C114</f>
        <v>0.29499999999999998</v>
      </c>
      <c r="G113" s="57">
        <f>E113-'ERPs by country'!$E$3</f>
        <v>2.7588711197737627E-2</v>
      </c>
      <c r="H113" s="75"/>
      <c r="N113" s="208" t="s">
        <v>61</v>
      </c>
      <c r="O113" s="75">
        <v>68.75</v>
      </c>
    </row>
    <row r="114" spans="1:15">
      <c r="A114" s="46" t="str">
        <f>'ERPs by country'!A121</f>
        <v>Philippines</v>
      </c>
      <c r="B114" s="134">
        <f t="shared" si="2"/>
        <v>70.75</v>
      </c>
      <c r="C114" s="98">
        <f>'ERPs by country'!E121</f>
        <v>9.2263023632599236E-2</v>
      </c>
      <c r="D114" s="24">
        <f>'ERPs by country'!D121</f>
        <v>2.3296788990825688E-2</v>
      </c>
      <c r="E114" s="24">
        <f t="shared" si="3"/>
        <v>9.2263023632599236E-2</v>
      </c>
      <c r="F114" s="57">
        <f>'Country Tax Rates'!C115</f>
        <v>0.25</v>
      </c>
      <c r="G114" s="57">
        <f>E114-'ERPs by country'!$E$3</f>
        <v>3.2863023632599235E-2</v>
      </c>
      <c r="H114" s="75"/>
      <c r="N114" s="208" t="s">
        <v>190</v>
      </c>
      <c r="O114" s="75">
        <v>73</v>
      </c>
    </row>
    <row r="115" spans="1:15">
      <c r="A115" s="46" t="str">
        <f>'ERPs by country'!A122</f>
        <v>Poland</v>
      </c>
      <c r="B115" s="134">
        <f t="shared" si="2"/>
        <v>71</v>
      </c>
      <c r="C115" s="98">
        <f>'ERPs by country'!E122</f>
        <v>7.4005788281155213E-2</v>
      </c>
      <c r="D115" s="24">
        <f>'ERPs by country'!D122</f>
        <v>1.0354128440366973E-2</v>
      </c>
      <c r="E115" s="24">
        <f t="shared" si="3"/>
        <v>7.4005788281155213E-2</v>
      </c>
      <c r="F115" s="57">
        <f>'Country Tax Rates'!C116</f>
        <v>0.19</v>
      </c>
      <c r="G115" s="57">
        <f>E115-'ERPs by country'!$E$3</f>
        <v>1.4605788281155212E-2</v>
      </c>
      <c r="H115" s="75"/>
      <c r="N115" s="208" t="s">
        <v>315</v>
      </c>
      <c r="O115" s="75">
        <v>52</v>
      </c>
    </row>
    <row r="116" spans="1:15">
      <c r="A116" s="46" t="str">
        <f>'ERPs by country'!A123</f>
        <v>Portugal</v>
      </c>
      <c r="B116" s="134">
        <f t="shared" si="2"/>
        <v>75.5</v>
      </c>
      <c r="C116" s="98">
        <f>'ERPs by country'!E123</f>
        <v>9.2263023632599236E-2</v>
      </c>
      <c r="D116" s="24">
        <f>'ERPs by country'!D123</f>
        <v>2.3296788990825688E-2</v>
      </c>
      <c r="E116" s="24">
        <f t="shared" si="3"/>
        <v>9.2263023632599236E-2</v>
      </c>
      <c r="F116" s="57">
        <f>'Country Tax Rates'!C117</f>
        <v>0.21</v>
      </c>
      <c r="G116" s="57">
        <f>E116-'ERPs by country'!$E$3</f>
        <v>3.2863023632599235E-2</v>
      </c>
      <c r="H116" s="75"/>
      <c r="N116" s="208" t="s">
        <v>76</v>
      </c>
      <c r="O116" s="75">
        <v>67.25</v>
      </c>
    </row>
    <row r="117" spans="1:15">
      <c r="A117" s="46" t="str">
        <f>'ERPs by country'!A124</f>
        <v>Qatar</v>
      </c>
      <c r="B117" s="134">
        <f t="shared" si="2"/>
        <v>78.75</v>
      </c>
      <c r="C117" s="98">
        <f>'ERPs by country'!E124</f>
        <v>6.9745766699151612E-2</v>
      </c>
      <c r="D117" s="24">
        <f>'ERPs by country'!D124</f>
        <v>7.3341743119266058E-3</v>
      </c>
      <c r="E117" s="24">
        <f t="shared" si="3"/>
        <v>6.9745766699151612E-2</v>
      </c>
      <c r="F117" s="57">
        <f>'Country Tax Rates'!C118</f>
        <v>0.1</v>
      </c>
      <c r="G117" s="57">
        <f>E117-'ERPs by country'!$E$3</f>
        <v>1.0345766699151611E-2</v>
      </c>
      <c r="H117" s="75"/>
      <c r="N117" s="208" t="s">
        <v>138</v>
      </c>
      <c r="O117" s="75">
        <v>72.75</v>
      </c>
    </row>
    <row r="118" spans="1:15">
      <c r="A118" s="46" t="str">
        <f>'ERPs by country'!A125</f>
        <v>Ras Al Khaimah (Emirate of)</v>
      </c>
      <c r="B118" s="134" t="e">
        <f t="shared" si="2"/>
        <v>#N/A</v>
      </c>
      <c r="C118" s="98">
        <f>'ERPs by country'!E125</f>
        <v>8.009153339830323E-2</v>
      </c>
      <c r="D118" s="24">
        <f>'ERPs by country'!D125</f>
        <v>1.4668348623853212E-2</v>
      </c>
      <c r="E118" s="24">
        <f t="shared" si="3"/>
        <v>8.009153339830323E-2</v>
      </c>
      <c r="F118" s="57">
        <f>'Country Tax Rates'!C119</f>
        <v>0</v>
      </c>
      <c r="G118" s="57">
        <f>E118-'ERPs by country'!$E$3</f>
        <v>2.0691533398303229E-2</v>
      </c>
      <c r="H118" s="75"/>
      <c r="N118" s="208" t="s">
        <v>134</v>
      </c>
      <c r="O118" s="75">
        <v>48.5</v>
      </c>
    </row>
    <row r="119" spans="1:15">
      <c r="A119" s="46" t="str">
        <f>'ERPs by country'!A126</f>
        <v>Romania</v>
      </c>
      <c r="B119" s="134">
        <f t="shared" si="2"/>
        <v>66.75</v>
      </c>
      <c r="C119" s="98">
        <f>'ERPs by country'!E126</f>
        <v>9.733447789688926E-2</v>
      </c>
      <c r="D119" s="24">
        <f>'ERPs by country'!D126</f>
        <v>2.6891972477064225E-2</v>
      </c>
      <c r="E119" s="24">
        <f t="shared" si="3"/>
        <v>9.733447789688926E-2</v>
      </c>
      <c r="F119" s="57">
        <f>'Country Tax Rates'!C120</f>
        <v>0.16</v>
      </c>
      <c r="G119" s="57">
        <f>E119-'ERPs by country'!$E$3</f>
        <v>3.7934477896889258E-2</v>
      </c>
      <c r="H119" s="75"/>
      <c r="N119" s="208" t="s">
        <v>319</v>
      </c>
      <c r="O119" s="75">
        <v>43</v>
      </c>
    </row>
    <row r="120" spans="1:15">
      <c r="A120" s="46" t="str">
        <f>'ERPs by country'!A127</f>
        <v>Russia</v>
      </c>
      <c r="B120" s="134">
        <f t="shared" si="2"/>
        <v>66</v>
      </c>
      <c r="C120" s="98">
        <f>'ERPs by country'!E127</f>
        <v>0.18882351282468096</v>
      </c>
      <c r="D120" s="24">
        <f>'ERPs by country'!D127</f>
        <v>9.1749082568807344E-2</v>
      </c>
      <c r="E120" s="24">
        <f t="shared" si="3"/>
        <v>0.18882351282468096</v>
      </c>
      <c r="F120" s="57">
        <f>'Country Tax Rates'!C121</f>
        <v>0.2</v>
      </c>
      <c r="G120" s="57">
        <f>E120-'ERPs by country'!$E$3</f>
        <v>0.12942351282468095</v>
      </c>
      <c r="H120" s="75"/>
      <c r="N120" s="208" t="s">
        <v>33</v>
      </c>
      <c r="O120" s="75">
        <v>58.5</v>
      </c>
    </row>
    <row r="121" spans="1:15">
      <c r="A121" s="46" t="str">
        <f>'ERPs by country'!A128</f>
        <v>Rwanda</v>
      </c>
      <c r="B121" s="134" t="e">
        <f t="shared" si="2"/>
        <v>#N/A</v>
      </c>
      <c r="C121" s="98">
        <f>'ERPs by country'!E128</f>
        <v>0.15433762382750893</v>
      </c>
      <c r="D121" s="24">
        <f>'ERPs by country'!D128</f>
        <v>6.7301834862385335E-2</v>
      </c>
      <c r="E121" s="24">
        <f t="shared" si="3"/>
        <v>0.15433762382750893</v>
      </c>
      <c r="F121" s="57">
        <f>'Country Tax Rates'!C122</f>
        <v>0.3</v>
      </c>
      <c r="G121" s="57">
        <f>E121-'ERPs by country'!$E$3</f>
        <v>9.4937623827508921E-2</v>
      </c>
      <c r="H121" s="75"/>
      <c r="N121" s="208" t="s">
        <v>34</v>
      </c>
      <c r="O121" s="75">
        <v>81</v>
      </c>
    </row>
    <row r="122" spans="1:15">
      <c r="A122" s="46" t="str">
        <f>'ERPs by country'!A129</f>
        <v>Saudi Arabia</v>
      </c>
      <c r="B122" s="134">
        <f t="shared" si="2"/>
        <v>85.5</v>
      </c>
      <c r="C122" s="98">
        <f>'ERPs by country'!E129</f>
        <v>7.1571490234296015E-2</v>
      </c>
      <c r="D122" s="24">
        <f>'ERPs by country'!D129</f>
        <v>8.6284403669724778E-3</v>
      </c>
      <c r="E122" s="24">
        <f t="shared" si="3"/>
        <v>7.1571490234296015E-2</v>
      </c>
      <c r="F122" s="57">
        <f>'Country Tax Rates'!C123</f>
        <v>0.2</v>
      </c>
      <c r="G122" s="57">
        <f>E122-'ERPs by country'!$E$3</f>
        <v>1.2171490234296013E-2</v>
      </c>
      <c r="H122" s="75"/>
      <c r="N122" s="208" t="s">
        <v>35</v>
      </c>
      <c r="O122" s="75">
        <v>87.25</v>
      </c>
    </row>
    <row r="123" spans="1:15">
      <c r="A123" s="46" t="str">
        <f>'ERPs by country'!A130</f>
        <v>Senegal</v>
      </c>
      <c r="B123" s="134">
        <f t="shared" si="2"/>
        <v>58.25</v>
      </c>
      <c r="C123" s="98">
        <f>'ERPs by country'!E130</f>
        <v>0.12147460019490969</v>
      </c>
      <c r="D123" s="24">
        <f>'ERPs by country'!D130</f>
        <v>4.4005045871559637E-2</v>
      </c>
      <c r="E123" s="24">
        <f t="shared" si="3"/>
        <v>0.12147460019490969</v>
      </c>
      <c r="F123" s="57">
        <f>'Country Tax Rates'!C124</f>
        <v>0.3</v>
      </c>
      <c r="G123" s="57">
        <f>E123-'ERPs by country'!$E$3</f>
        <v>6.2074600194909686E-2</v>
      </c>
      <c r="H123" s="75"/>
      <c r="N123" s="208" t="s">
        <v>316</v>
      </c>
      <c r="O123" s="75">
        <v>43.75</v>
      </c>
    </row>
    <row r="124" spans="1:15">
      <c r="A124" s="46" t="str">
        <f>'ERPs by country'!A131</f>
        <v>Serbia</v>
      </c>
      <c r="B124" s="134" t="e">
        <f t="shared" si="2"/>
        <v>#N/A</v>
      </c>
      <c r="C124" s="98">
        <f>'ERPs by country'!E131</f>
        <v>0.11133169166632967</v>
      </c>
      <c r="D124" s="24">
        <f>'ERPs by country'!D131</f>
        <v>3.6814678899082569E-2</v>
      </c>
      <c r="E124" s="24">
        <f t="shared" si="3"/>
        <v>0.11133169166632967</v>
      </c>
      <c r="F124" s="57">
        <f>'Country Tax Rates'!C125</f>
        <v>0.15</v>
      </c>
      <c r="G124" s="57">
        <f>E124-'ERPs by country'!$E$3</f>
        <v>5.1931691666329667E-2</v>
      </c>
      <c r="H124" s="75"/>
      <c r="N124" s="208" t="s">
        <v>64</v>
      </c>
      <c r="O124" s="75">
        <v>84.25</v>
      </c>
    </row>
    <row r="125" spans="1:15">
      <c r="A125" s="46" t="str">
        <f>'ERPs by country'!A132</f>
        <v>Sharjah</v>
      </c>
      <c r="B125" s="134" t="e">
        <f t="shared" si="2"/>
        <v>#N/A</v>
      </c>
      <c r="C125" s="98">
        <f>'ERPs by country'!E132</f>
        <v>0.10260879033175085</v>
      </c>
      <c r="D125" s="24">
        <f>'ERPs by country'!D132</f>
        <v>3.0630963302752296E-2</v>
      </c>
      <c r="E125" s="24">
        <f t="shared" si="3"/>
        <v>0.10260879033175085</v>
      </c>
      <c r="F125" s="57">
        <f>'Country Tax Rates'!C126</f>
        <v>0</v>
      </c>
      <c r="G125" s="57">
        <f>E125-'ERPs by country'!$E$3</f>
        <v>4.3208790331750853E-2</v>
      </c>
      <c r="H125" s="75"/>
      <c r="N125" s="208" t="s">
        <v>332</v>
      </c>
      <c r="O125" s="75">
        <v>65</v>
      </c>
    </row>
    <row r="126" spans="1:15">
      <c r="A126" s="46" t="str">
        <f>'ERPs by country'!A133</f>
        <v>Singapore</v>
      </c>
      <c r="B126" s="134">
        <f t="shared" si="2"/>
        <v>85.75</v>
      </c>
      <c r="C126" s="98">
        <f>'ERPs by country'!E133</f>
        <v>5.9400000000000001E-2</v>
      </c>
      <c r="D126" s="24">
        <f>'ERPs by country'!D133</f>
        <v>0</v>
      </c>
      <c r="E126" s="24">
        <f t="shared" si="3"/>
        <v>5.9400000000000001E-2</v>
      </c>
      <c r="F126" s="57">
        <f>'Country Tax Rates'!C127</f>
        <v>0.17</v>
      </c>
      <c r="G126" s="57">
        <f>E126-'ERPs by country'!$E$3</f>
        <v>0</v>
      </c>
      <c r="H126" s="75"/>
      <c r="N126" s="208" t="s">
        <v>65</v>
      </c>
      <c r="O126" s="75">
        <v>65</v>
      </c>
    </row>
    <row r="127" spans="1:15">
      <c r="A127" s="46" t="str">
        <f>'ERPs by country'!A134</f>
        <v>Slovakia</v>
      </c>
      <c r="B127" s="134">
        <f t="shared" si="2"/>
        <v>68.75</v>
      </c>
      <c r="C127" s="98">
        <f>'ERPs by country'!E134</f>
        <v>7.4005788281155213E-2</v>
      </c>
      <c r="D127" s="24">
        <f>'ERPs by country'!D134</f>
        <v>1.0354128440366973E-2</v>
      </c>
      <c r="E127" s="24">
        <f t="shared" si="3"/>
        <v>7.4005788281155213E-2</v>
      </c>
      <c r="F127" s="57">
        <f>'Country Tax Rates'!C128</f>
        <v>0.21</v>
      </c>
      <c r="G127" s="57">
        <f>E127-'ERPs by country'!$E$3</f>
        <v>1.4605788281155212E-2</v>
      </c>
      <c r="H127" s="75"/>
      <c r="N127" s="208" t="s">
        <v>324</v>
      </c>
      <c r="O127" s="75">
        <v>63.25</v>
      </c>
    </row>
    <row r="128" spans="1:15">
      <c r="A128" s="46" t="str">
        <f>'ERPs by country'!A135</f>
        <v>Slovenia</v>
      </c>
      <c r="B128" s="134">
        <f t="shared" si="2"/>
        <v>73</v>
      </c>
      <c r="C128" s="98">
        <f>'ERPs by country'!E135</f>
        <v>8.009153339830323E-2</v>
      </c>
      <c r="D128" s="24">
        <f>'ERPs by country'!D135</f>
        <v>1.4668348623853212E-2</v>
      </c>
      <c r="E128" s="24">
        <f t="shared" si="3"/>
        <v>8.009153339830323E-2</v>
      </c>
      <c r="F128" s="57">
        <f>'Country Tax Rates'!C129</f>
        <v>0.19</v>
      </c>
      <c r="G128" s="57">
        <f>E128-'ERPs by country'!$E$3</f>
        <v>2.0691533398303229E-2</v>
      </c>
      <c r="H128" s="75"/>
      <c r="N128" s="208" t="s">
        <v>479</v>
      </c>
      <c r="O128" s="75">
        <v>77.5</v>
      </c>
    </row>
    <row r="129" spans="1:15">
      <c r="A129" s="46" t="str">
        <f>'ERPs by country'!A136</f>
        <v>Solomon Islands</v>
      </c>
      <c r="B129" s="134" t="e">
        <f t="shared" si="2"/>
        <v>#N/A</v>
      </c>
      <c r="C129" s="98">
        <f>'ERPs by country'!E136</f>
        <v>0.18882351282468096</v>
      </c>
      <c r="D129" s="24">
        <f>'ERPs by country'!D136</f>
        <v>9.1749082568807344E-2</v>
      </c>
      <c r="E129" s="24">
        <f t="shared" si="3"/>
        <v>0.18882351282468096</v>
      </c>
      <c r="F129" s="57">
        <f>'Country Tax Rates'!C130</f>
        <v>0.3</v>
      </c>
      <c r="G129" s="57">
        <f>E129-'ERPs by country'!$E$3</f>
        <v>0.12942351282468095</v>
      </c>
      <c r="H129" s="75"/>
      <c r="N129" s="208" t="s">
        <v>77</v>
      </c>
      <c r="O129" s="75">
        <v>61.25</v>
      </c>
    </row>
    <row r="130" spans="1:15">
      <c r="A130" s="46" t="str">
        <f>'ERPs by country'!A137</f>
        <v>South Africa</v>
      </c>
      <c r="B130" s="134">
        <f t="shared" si="2"/>
        <v>67.25</v>
      </c>
      <c r="C130" s="98">
        <f>'ERPs by country'!E137</f>
        <v>0.11133169166632967</v>
      </c>
      <c r="D130" s="24">
        <f>'ERPs by country'!D137</f>
        <v>3.6814678899082569E-2</v>
      </c>
      <c r="E130" s="24">
        <f t="shared" si="3"/>
        <v>0.11133169166632967</v>
      </c>
      <c r="F130" s="57">
        <f>'Country Tax Rates'!C131</f>
        <v>0.27</v>
      </c>
      <c r="G130" s="57">
        <f>E130-'ERPs by country'!$E$3</f>
        <v>5.1931691666329667E-2</v>
      </c>
      <c r="H130" s="75"/>
      <c r="N130" s="208" t="s">
        <v>66</v>
      </c>
      <c r="O130" s="75">
        <v>54.25</v>
      </c>
    </row>
    <row r="131" spans="1:15">
      <c r="A131" s="46" t="str">
        <f>'ERPs by country'!A138</f>
        <v>Spain</v>
      </c>
      <c r="B131" s="134">
        <f t="shared" ref="B131:B157" si="5">VLOOKUP(A131,$N$2:$O$142,2,FALSE)</f>
        <v>72.75</v>
      </c>
      <c r="C131" s="98">
        <f>'ERPs by country'!E138</f>
        <v>8.6988711197737628E-2</v>
      </c>
      <c r="D131" s="24">
        <f>'ERPs by country'!D138</f>
        <v>1.9557798165137613E-2</v>
      </c>
      <c r="E131" s="24">
        <f t="shared" si="3"/>
        <v>8.6988711197737628E-2</v>
      </c>
      <c r="F131" s="57">
        <f>'Country Tax Rates'!C132</f>
        <v>0.25</v>
      </c>
      <c r="G131" s="57">
        <f>E131-'ERPs by country'!$E$3</f>
        <v>2.7588711197737627E-2</v>
      </c>
      <c r="H131" s="75"/>
      <c r="N131" s="208" t="s">
        <v>228</v>
      </c>
      <c r="O131" s="75">
        <v>59.25</v>
      </c>
    </row>
    <row r="132" spans="1:15">
      <c r="A132" s="46" t="str">
        <f>'ERPs by country'!A139</f>
        <v>Sri Lanka</v>
      </c>
      <c r="B132" s="134">
        <f t="shared" si="5"/>
        <v>48.5</v>
      </c>
      <c r="C132" s="98">
        <f>'ERPs by country'!E139</f>
        <v>0.26651819215360384</v>
      </c>
      <c r="D132" s="24">
        <f>'ERPs by country'!D139</f>
        <v>0.14682729357798166</v>
      </c>
      <c r="E132" s="24">
        <f t="shared" ref="E132:E157" si="6">C132</f>
        <v>0.26651819215360384</v>
      </c>
      <c r="F132" s="57">
        <f>'Country Tax Rates'!C133</f>
        <v>0.24</v>
      </c>
      <c r="G132" s="57">
        <f>E132-'ERPs by country'!$E$3</f>
        <v>0.20711819215360383</v>
      </c>
      <c r="H132" s="75"/>
      <c r="N132" s="208" t="s">
        <v>68</v>
      </c>
      <c r="O132" s="75">
        <v>51.75</v>
      </c>
    </row>
    <row r="133" spans="1:15">
      <c r="A133" s="46" t="str">
        <f>'ERPs by country'!A140</f>
        <v>St. Maarten</v>
      </c>
      <c r="B133" s="134" t="e">
        <f t="shared" si="5"/>
        <v>#N/A</v>
      </c>
      <c r="C133" s="98">
        <f>'ERPs by country'!E140</f>
        <v>0.11133169166632967</v>
      </c>
      <c r="D133" s="24">
        <f>'ERPs by country'!D140</f>
        <v>3.6814678899082569E-2</v>
      </c>
      <c r="E133" s="24">
        <f t="shared" si="6"/>
        <v>0.11133169166632967</v>
      </c>
      <c r="F133" s="57">
        <f>'Country Tax Rates'!C134</f>
        <v>0.27179999999999999</v>
      </c>
      <c r="G133" s="57">
        <f>E133-'ERPs by country'!$E$3</f>
        <v>5.1931691666329667E-2</v>
      </c>
      <c r="H133" s="75"/>
      <c r="N133" s="208" t="s">
        <v>60</v>
      </c>
      <c r="O133" s="75">
        <v>82.25</v>
      </c>
    </row>
    <row r="134" spans="1:15">
      <c r="A134" s="46" t="str">
        <f>'ERPs by country'!A141</f>
        <v>St. Vincent &amp; the Grenadines</v>
      </c>
      <c r="B134" s="134" t="e">
        <f t="shared" si="5"/>
        <v>#N/A</v>
      </c>
      <c r="C134" s="98">
        <f>'ERPs by country'!E141</f>
        <v>0.17158056832609495</v>
      </c>
      <c r="D134" s="24">
        <f>'ERPs by country'!D141</f>
        <v>7.9525458715596339E-2</v>
      </c>
      <c r="E134" s="24">
        <f t="shared" si="6"/>
        <v>0.17158056832609495</v>
      </c>
      <c r="F134" s="57">
        <f>'Country Tax Rates'!C135</f>
        <v>0.27179999999999999</v>
      </c>
      <c r="G134" s="57">
        <f>E134-'ERPs by country'!$E$3</f>
        <v>0.11218056832609494</v>
      </c>
      <c r="H134" s="75"/>
      <c r="N134" s="208" t="s">
        <v>57</v>
      </c>
      <c r="O134" s="75">
        <v>76.75</v>
      </c>
    </row>
    <row r="135" spans="1:15">
      <c r="A135" s="46" t="str">
        <f>'ERPs by country'!A142</f>
        <v>Suriname</v>
      </c>
      <c r="B135" s="134">
        <f t="shared" si="5"/>
        <v>58.5</v>
      </c>
      <c r="C135" s="98">
        <f>'ERPs by country'!E142</f>
        <v>0.23203230315643184</v>
      </c>
      <c r="D135" s="24">
        <f>'ERPs by country'!D142</f>
        <v>0.12238004587155965</v>
      </c>
      <c r="E135" s="24">
        <f t="shared" si="6"/>
        <v>0.23203230315643184</v>
      </c>
      <c r="F135" s="57">
        <f>'Country Tax Rates'!C136</f>
        <v>0.36</v>
      </c>
      <c r="G135" s="57">
        <f>E135-'ERPs by country'!$E$3</f>
        <v>0.17263230315643183</v>
      </c>
      <c r="H135" s="75"/>
      <c r="N135" s="208" t="s">
        <v>356</v>
      </c>
      <c r="O135" s="75">
        <v>71.75</v>
      </c>
    </row>
    <row r="136" spans="1:15">
      <c r="A136" s="46" t="str">
        <f>'ERPs by country'!A143</f>
        <v>Swaziland</v>
      </c>
      <c r="B136" s="134" t="e">
        <f t="shared" si="5"/>
        <v>#N/A</v>
      </c>
      <c r="C136" s="98">
        <f>'ERPs by country'!E143</f>
        <v>0.17158056832609495</v>
      </c>
      <c r="D136" s="24">
        <f>'ERPs by country'!D143</f>
        <v>7.9525458715596339E-2</v>
      </c>
      <c r="E136" s="24">
        <f t="shared" si="6"/>
        <v>0.17158056832609495</v>
      </c>
      <c r="F136" s="57">
        <f>'Country Tax Rates'!C137</f>
        <v>0.27500000000000002</v>
      </c>
      <c r="G136" s="57">
        <f>E136-'ERPs by country'!$E$3</f>
        <v>0.11218056832609494</v>
      </c>
      <c r="H136" s="75"/>
      <c r="N136" s="208" t="s">
        <v>69</v>
      </c>
      <c r="O136" s="75">
        <v>75.25</v>
      </c>
    </row>
    <row r="137" spans="1:15">
      <c r="A137" s="46" t="str">
        <f>'ERPs by country'!A144</f>
        <v>Sweden</v>
      </c>
      <c r="B137" s="134">
        <f t="shared" si="5"/>
        <v>81</v>
      </c>
      <c r="C137" s="98">
        <f>'ERPs by country'!E144</f>
        <v>5.9400000000000001E-2</v>
      </c>
      <c r="D137" s="24">
        <f>'ERPs by country'!D144</f>
        <v>0</v>
      </c>
      <c r="E137" s="24">
        <f t="shared" si="6"/>
        <v>5.9400000000000001E-2</v>
      </c>
      <c r="F137" s="57">
        <f>'Country Tax Rates'!C138</f>
        <v>0.20600000000000002</v>
      </c>
      <c r="G137" s="57">
        <f>E137-'ERPs by country'!$E$3</f>
        <v>0</v>
      </c>
      <c r="H137" s="75"/>
      <c r="N137" s="208" t="s">
        <v>387</v>
      </c>
      <c r="O137" s="75">
        <v>72.5</v>
      </c>
    </row>
    <row r="138" spans="1:15">
      <c r="A138" s="46" t="str">
        <f>'ERPs by country'!A145</f>
        <v>Switzerland</v>
      </c>
      <c r="B138" s="134">
        <f t="shared" si="5"/>
        <v>87.25</v>
      </c>
      <c r="C138" s="98">
        <f>'ERPs by country'!E145</f>
        <v>5.9400000000000001E-2</v>
      </c>
      <c r="D138" s="24">
        <f>'ERPs by country'!D145</f>
        <v>0</v>
      </c>
      <c r="E138" s="24">
        <f t="shared" si="6"/>
        <v>5.9400000000000001E-2</v>
      </c>
      <c r="F138" s="57">
        <f>'Country Tax Rates'!C139</f>
        <v>0.18</v>
      </c>
      <c r="G138" s="57">
        <f>E138-'ERPs by country'!$E$3</f>
        <v>0</v>
      </c>
      <c r="H138" s="75"/>
      <c r="N138" s="208" t="s">
        <v>70</v>
      </c>
      <c r="O138" s="75">
        <v>58</v>
      </c>
    </row>
    <row r="139" spans="1:15">
      <c r="A139" s="46" t="str">
        <f>'ERPs by country'!A146</f>
        <v>Taiwan</v>
      </c>
      <c r="B139" s="134">
        <f t="shared" si="5"/>
        <v>84.25</v>
      </c>
      <c r="C139" s="98">
        <f>'ERPs by country'!E146</f>
        <v>6.9745766699151612E-2</v>
      </c>
      <c r="D139" s="24">
        <f>'ERPs by country'!D146</f>
        <v>7.3341743119266058E-3</v>
      </c>
      <c r="E139" s="24">
        <f t="shared" si="6"/>
        <v>6.9745766699151612E-2</v>
      </c>
      <c r="F139" s="57">
        <f>'Country Tax Rates'!C140</f>
        <v>0.2</v>
      </c>
      <c r="G139" s="57">
        <f>E139-'ERPs by country'!$E$3</f>
        <v>1.0345766699151611E-2</v>
      </c>
      <c r="N139" s="208" t="s">
        <v>71</v>
      </c>
      <c r="O139" s="75">
        <v>70.75</v>
      </c>
    </row>
    <row r="140" spans="1:15">
      <c r="A140" s="46" t="str">
        <f>'ERPs by country'!A147</f>
        <v>Tajikistan</v>
      </c>
      <c r="B140" s="134" t="e">
        <f t="shared" si="5"/>
        <v>#N/A</v>
      </c>
      <c r="C140" s="98">
        <f>'ERPs by country'!E147</f>
        <v>0.17158056832609495</v>
      </c>
      <c r="D140" s="24">
        <f>'ERPs by country'!D147</f>
        <v>7.9525458715596339E-2</v>
      </c>
      <c r="E140" s="24">
        <f t="shared" si="6"/>
        <v>0.17158056832609495</v>
      </c>
      <c r="F140" s="57">
        <f>'Country Tax Rates'!C141</f>
        <v>0.18</v>
      </c>
      <c r="G140" s="57">
        <f>E140-'ERPs by country'!$E$3</f>
        <v>0.11218056832609494</v>
      </c>
      <c r="N140" s="208" t="s">
        <v>323</v>
      </c>
      <c r="O140" s="75">
        <v>48.25</v>
      </c>
    </row>
    <row r="141" spans="1:15">
      <c r="A141" s="46" t="str">
        <f>'ERPs by country'!A148</f>
        <v>Tanzania</v>
      </c>
      <c r="B141" s="134">
        <f t="shared" si="5"/>
        <v>65</v>
      </c>
      <c r="C141" s="98">
        <f>'ERPs by country'!E148</f>
        <v>0.15433762382750893</v>
      </c>
      <c r="D141" s="24">
        <f>'ERPs by country'!D148</f>
        <v>6.7301834862385335E-2</v>
      </c>
      <c r="E141" s="24">
        <f t="shared" si="6"/>
        <v>0.15433762382750893</v>
      </c>
      <c r="F141" s="57">
        <f>'Country Tax Rates'!C142</f>
        <v>0.3</v>
      </c>
      <c r="G141" s="57">
        <f>E141-'ERPs by country'!$E$3</f>
        <v>9.4937623827508921E-2</v>
      </c>
      <c r="N141" s="208" t="s">
        <v>192</v>
      </c>
      <c r="O141" s="75">
        <v>62.75</v>
      </c>
    </row>
    <row r="142" spans="1:15">
      <c r="A142" s="46" t="str">
        <f>'ERPs by country'!A149</f>
        <v>Thailand</v>
      </c>
      <c r="B142" s="134">
        <f t="shared" si="5"/>
        <v>65</v>
      </c>
      <c r="C142" s="98">
        <f>'ERPs by country'!E149</f>
        <v>8.6988711197737628E-2</v>
      </c>
      <c r="D142" s="24">
        <f>'ERPs by country'!D149</f>
        <v>1.9557798165137613E-2</v>
      </c>
      <c r="E142" s="24">
        <f t="shared" si="6"/>
        <v>8.6988711197737628E-2</v>
      </c>
      <c r="F142" s="57">
        <f>'Country Tax Rates'!C143</f>
        <v>0.2</v>
      </c>
      <c r="G142" s="57">
        <f>E142-'ERPs by country'!$E$3</f>
        <v>2.7588711197737627E-2</v>
      </c>
      <c r="N142" s="208" t="s">
        <v>320</v>
      </c>
      <c r="O142" s="75">
        <v>61.5</v>
      </c>
    </row>
    <row r="143" spans="1:15">
      <c r="A143" s="46" t="str">
        <f>'ERPs by country'!A150</f>
        <v>Togo</v>
      </c>
      <c r="B143" s="134">
        <f t="shared" si="5"/>
        <v>63.25</v>
      </c>
      <c r="C143" s="98">
        <f>'ERPs by country'!E150</f>
        <v>0.17158056832609495</v>
      </c>
      <c r="D143" s="24">
        <f>'ERPs by country'!D150</f>
        <v>7.9525458715596339E-2</v>
      </c>
      <c r="E143" s="24">
        <f t="shared" si="6"/>
        <v>0.17158056832609495</v>
      </c>
      <c r="F143" s="57">
        <f>'Country Tax Rates'!C144</f>
        <v>0.2281</v>
      </c>
      <c r="G143" s="57">
        <f>E143-'ERPs by country'!$E$3</f>
        <v>0.11218056832609494</v>
      </c>
    </row>
    <row r="144" spans="1:15">
      <c r="A144" s="46" t="str">
        <f>'ERPs by country'!A151</f>
        <v>Trinidad and Tobago</v>
      </c>
      <c r="B144" s="134" t="e">
        <f t="shared" si="5"/>
        <v>#N/A</v>
      </c>
      <c r="C144" s="98">
        <f>'ERPs by country'!E151</f>
        <v>0.11133169166632967</v>
      </c>
      <c r="D144" s="24">
        <f>'ERPs by country'!D151</f>
        <v>3.6814678899082569E-2</v>
      </c>
      <c r="E144" s="24">
        <f t="shared" si="6"/>
        <v>0.11133169166632967</v>
      </c>
      <c r="F144" s="57">
        <f>'Country Tax Rates'!C145</f>
        <v>0.3</v>
      </c>
      <c r="G144" s="57">
        <f>E144-'ERPs by country'!$E$3</f>
        <v>5.1931691666329667E-2</v>
      </c>
    </row>
    <row r="145" spans="1:11">
      <c r="A145" s="46" t="str">
        <f>'ERPs by country'!A152</f>
        <v>Tunisia</v>
      </c>
      <c r="B145" s="134">
        <f t="shared" si="5"/>
        <v>61.25</v>
      </c>
      <c r="C145" s="98">
        <f>'ERPs by country'!E152</f>
        <v>0.18882351282468096</v>
      </c>
      <c r="D145" s="24">
        <f>'ERPs by country'!D152</f>
        <v>9.1749082568807344E-2</v>
      </c>
      <c r="E145" s="24">
        <f t="shared" si="6"/>
        <v>0.18882351282468096</v>
      </c>
      <c r="F145" s="57">
        <f>'Country Tax Rates'!C146</f>
        <v>0.15</v>
      </c>
      <c r="G145" s="57">
        <f>E145-'ERPs by country'!$E$3</f>
        <v>0.12942351282468095</v>
      </c>
    </row>
    <row r="146" spans="1:11">
      <c r="A146" s="46" t="str">
        <f>'ERPs by country'!A153</f>
        <v>Turkey</v>
      </c>
      <c r="B146" s="134">
        <f t="shared" si="5"/>
        <v>54.25</v>
      </c>
      <c r="C146" s="98">
        <f>'ERPs by country'!E153</f>
        <v>0.17158056832609495</v>
      </c>
      <c r="D146" s="24">
        <f>'ERPs by country'!D153</f>
        <v>7.9525458715596339E-2</v>
      </c>
      <c r="E146" s="24">
        <f t="shared" si="6"/>
        <v>0.17158056832609495</v>
      </c>
      <c r="F146" s="57">
        <f>'Country Tax Rates'!C147</f>
        <v>0.23</v>
      </c>
      <c r="G146" s="57">
        <f>E146-'ERPs by country'!$E$3</f>
        <v>0.11218056832609494</v>
      </c>
    </row>
    <row r="147" spans="1:11">
      <c r="A147" s="46" t="str">
        <f>'ERPs by country'!A154</f>
        <v>Turks and Caicos Islands</v>
      </c>
      <c r="B147" s="134" t="e">
        <f t="shared" si="5"/>
        <v>#N/A</v>
      </c>
      <c r="C147" s="98">
        <f>'ERPs by country'!E154</f>
        <v>8.6988711197737628E-2</v>
      </c>
      <c r="D147" s="24">
        <f>'ERPs by country'!D154</f>
        <v>1.9557798165137613E-2</v>
      </c>
      <c r="E147" s="24">
        <f t="shared" si="6"/>
        <v>8.6988711197737628E-2</v>
      </c>
      <c r="F147" s="57">
        <f>'Country Tax Rates'!C148</f>
        <v>0</v>
      </c>
      <c r="G147" s="57">
        <f>E147-'ERPs by country'!$E$3</f>
        <v>2.7588711197737627E-2</v>
      </c>
    </row>
    <row r="148" spans="1:11">
      <c r="A148" s="46" t="str">
        <f>'ERPs by country'!A155</f>
        <v>Uganda</v>
      </c>
      <c r="B148" s="134">
        <f t="shared" si="5"/>
        <v>59.25</v>
      </c>
      <c r="C148" s="98">
        <f>'ERPs by country'!E155</f>
        <v>0.15433762382750893</v>
      </c>
      <c r="D148" s="24">
        <f>'ERPs by country'!D155</f>
        <v>6.7301834862385335E-2</v>
      </c>
      <c r="E148" s="24">
        <f t="shared" si="6"/>
        <v>0.15433762382750893</v>
      </c>
      <c r="F148" s="57">
        <f>'Country Tax Rates'!C149</f>
        <v>0.3</v>
      </c>
      <c r="G148" s="57">
        <f>E148-'ERPs by country'!$E$3</f>
        <v>9.4937623827508921E-2</v>
      </c>
    </row>
    <row r="149" spans="1:11">
      <c r="A149" s="46" t="str">
        <f>'ERPs by country'!A156</f>
        <v>Ukraine</v>
      </c>
      <c r="B149" s="134">
        <f t="shared" si="5"/>
        <v>51.75</v>
      </c>
      <c r="C149" s="98">
        <f>'ERPs by country'!E156</f>
        <v>0.23203230315643184</v>
      </c>
      <c r="D149" s="24">
        <f>'ERPs by country'!D156</f>
        <v>0.12238004587155965</v>
      </c>
      <c r="E149" s="24">
        <f t="shared" si="6"/>
        <v>0.23203230315643184</v>
      </c>
      <c r="F149" s="57">
        <f>'Country Tax Rates'!C150</f>
        <v>0.18</v>
      </c>
      <c r="G149" s="57">
        <f>E149-'ERPs by country'!$E$3</f>
        <v>0.17263230315643183</v>
      </c>
    </row>
    <row r="150" spans="1:11">
      <c r="A150" s="46" t="str">
        <f>'ERPs by country'!A157</f>
        <v>United Arab Emirates</v>
      </c>
      <c r="B150" s="134">
        <f t="shared" si="5"/>
        <v>82.25</v>
      </c>
      <c r="C150" s="98">
        <f>'ERPs by country'!E157</f>
        <v>6.792004316400721E-2</v>
      </c>
      <c r="D150" s="24">
        <f>'ERPs by country'!D157</f>
        <v>6.0399082568807346E-3</v>
      </c>
      <c r="E150" s="24">
        <f t="shared" si="6"/>
        <v>6.792004316400721E-2</v>
      </c>
      <c r="F150" s="57">
        <f>'Country Tax Rates'!C151</f>
        <v>0</v>
      </c>
      <c r="G150" s="57">
        <f>E150-'ERPs by country'!$E$3</f>
        <v>8.5200431640072086E-3</v>
      </c>
    </row>
    <row r="151" spans="1:11">
      <c r="A151" s="46" t="str">
        <f>'ERPs by country'!A158</f>
        <v>United Kingdom</v>
      </c>
      <c r="B151" s="134">
        <f t="shared" si="5"/>
        <v>76.75</v>
      </c>
      <c r="C151" s="98">
        <f>'ERPs by country'!E158</f>
        <v>6.9745766699151612E-2</v>
      </c>
      <c r="D151" s="24">
        <f>'ERPs by country'!D158</f>
        <v>7.3341743119266058E-3</v>
      </c>
      <c r="E151" s="24">
        <f t="shared" si="6"/>
        <v>6.9745766699151612E-2</v>
      </c>
      <c r="F151" s="57">
        <f>'Country Tax Rates'!C152</f>
        <v>0.25</v>
      </c>
      <c r="G151" s="57">
        <f>E151-'ERPs by country'!$E$3</f>
        <v>1.0345766699151611E-2</v>
      </c>
    </row>
    <row r="152" spans="1:11">
      <c r="A152" s="46" t="str">
        <f>'ERPs by country'!A159</f>
        <v>United States</v>
      </c>
      <c r="B152" s="134">
        <f t="shared" si="5"/>
        <v>71.75</v>
      </c>
      <c r="C152" s="98">
        <f>'ERPs by country'!E159</f>
        <v>5.9400000000000001E-2</v>
      </c>
      <c r="D152" s="24">
        <f>'ERPs by country'!D159</f>
        <v>0</v>
      </c>
      <c r="E152" s="24">
        <f t="shared" si="6"/>
        <v>5.9400000000000001E-2</v>
      </c>
      <c r="F152" s="57">
        <f>'Country Tax Rates'!C153</f>
        <v>0.25</v>
      </c>
      <c r="G152" s="57">
        <f>E152-'ERPs by country'!$E$3</f>
        <v>0</v>
      </c>
    </row>
    <row r="153" spans="1:11">
      <c r="A153" s="46" t="str">
        <f>'ERPs by country'!A160</f>
        <v>Uruguay</v>
      </c>
      <c r="B153" s="134">
        <f t="shared" si="5"/>
        <v>75.25</v>
      </c>
      <c r="C153" s="98">
        <f>'ERPs by country'!E160</f>
        <v>9.2263023632599236E-2</v>
      </c>
      <c r="D153" s="24">
        <f>'ERPs by country'!D160</f>
        <v>2.3296788990825688E-2</v>
      </c>
      <c r="E153" s="24">
        <f t="shared" si="6"/>
        <v>9.2263023632599236E-2</v>
      </c>
      <c r="F153" s="57">
        <f>'Country Tax Rates'!C154</f>
        <v>0.25</v>
      </c>
      <c r="G153" s="57">
        <f>E153-'ERPs by country'!$E$3</f>
        <v>3.2863023632599235E-2</v>
      </c>
    </row>
    <row r="154" spans="1:11">
      <c r="A154" s="46" t="str">
        <f>'ERPs by country'!A161</f>
        <v>Uzbekistan</v>
      </c>
      <c r="B154" s="134">
        <f t="shared" si="5"/>
        <v>72.5</v>
      </c>
      <c r="C154" s="98">
        <f>'ERPs by country'!E161</f>
        <v>0.13709467932892289</v>
      </c>
      <c r="D154" s="24">
        <f>'ERPs by country'!D161</f>
        <v>5.5078211009174309E-2</v>
      </c>
      <c r="E154" s="24">
        <f t="shared" si="6"/>
        <v>0.13709467932892289</v>
      </c>
      <c r="F154" s="57">
        <f>'Country Tax Rates'!C155</f>
        <v>0.15</v>
      </c>
      <c r="G154" s="57">
        <f>E154-'ERPs by country'!$E$3</f>
        <v>7.7694679328922878E-2</v>
      </c>
    </row>
    <row r="155" spans="1:11">
      <c r="A155" s="46" t="str">
        <f>'ERPs by country'!A162</f>
        <v>Venezuela</v>
      </c>
      <c r="B155" s="134">
        <f t="shared" si="5"/>
        <v>58</v>
      </c>
      <c r="C155" s="98">
        <f>'ERPs by country'!E162</f>
        <v>0.30625930485826308</v>
      </c>
      <c r="D155" s="24">
        <f>'ERPs by country'!D162</f>
        <v>0.17499999999999999</v>
      </c>
      <c r="E155" s="24">
        <f t="shared" si="6"/>
        <v>0.30625930485826308</v>
      </c>
      <c r="F155" s="57">
        <f>'Country Tax Rates'!C156</f>
        <v>0.34</v>
      </c>
      <c r="G155" s="57">
        <f>E155-'ERPs by country'!$E$3</f>
        <v>0.24685930485826307</v>
      </c>
    </row>
    <row r="156" spans="1:11">
      <c r="A156" s="46" t="str">
        <f>'ERPs by country'!A163</f>
        <v>Vietnam</v>
      </c>
      <c r="B156" s="134">
        <f t="shared" si="5"/>
        <v>70.75</v>
      </c>
      <c r="C156" s="98">
        <f>'ERPs by country'!E163</f>
        <v>0.11133169166632967</v>
      </c>
      <c r="D156" s="24">
        <f>'ERPs by country'!D163</f>
        <v>3.6814678899082569E-2</v>
      </c>
      <c r="E156" s="24">
        <f t="shared" si="6"/>
        <v>0.11133169166632967</v>
      </c>
      <c r="F156" s="57">
        <f>'Country Tax Rates'!C157</f>
        <v>0.2</v>
      </c>
      <c r="G156" s="57">
        <f>E156-'ERPs by country'!$E$3</f>
        <v>5.1931691666329667E-2</v>
      </c>
    </row>
    <row r="157" spans="1:11">
      <c r="A157" s="46" t="str">
        <f>'ERPs by country'!A164</f>
        <v>Zambia</v>
      </c>
      <c r="B157" s="134">
        <f t="shared" si="5"/>
        <v>62.75</v>
      </c>
      <c r="C157" s="98">
        <f>'ERPs by country'!E164</f>
        <v>0.26651819215360384</v>
      </c>
      <c r="D157" s="24">
        <f>'ERPs by country'!D164</f>
        <v>0.14682729357798166</v>
      </c>
      <c r="E157" s="24">
        <f t="shared" si="6"/>
        <v>0.26651819215360384</v>
      </c>
      <c r="F157" s="57">
        <f>'Country Tax Rates'!C158</f>
        <v>0.35</v>
      </c>
      <c r="G157" s="57">
        <f>E157-'ERPs by country'!$E$3</f>
        <v>0.20711819215360383</v>
      </c>
    </row>
    <row r="158" spans="1:11">
      <c r="A158" s="46"/>
      <c r="B158" s="135"/>
      <c r="C158" s="98"/>
      <c r="D158" s="24"/>
      <c r="E158" s="24"/>
      <c r="F158" s="57"/>
      <c r="G158" s="57"/>
    </row>
    <row r="159" spans="1:11">
      <c r="A159" s="46"/>
      <c r="B159" s="135"/>
      <c r="C159" s="98"/>
      <c r="D159" s="24"/>
      <c r="E159" s="24"/>
      <c r="F159" s="57"/>
      <c r="G159" s="57"/>
    </row>
    <row r="160" spans="1:11">
      <c r="A160" s="46"/>
      <c r="B160" s="135"/>
      <c r="C160" s="98"/>
      <c r="D160" s="24"/>
      <c r="E160" s="24"/>
      <c r="F160" s="57"/>
      <c r="G160" s="57"/>
      <c r="H160" s="75"/>
      <c r="J160" s="137" t="s">
        <v>171</v>
      </c>
      <c r="K160" s="138" t="s">
        <v>468</v>
      </c>
    </row>
    <row r="161" spans="1:11">
      <c r="A161" s="46" t="s">
        <v>337</v>
      </c>
      <c r="B161" s="134">
        <f t="shared" ref="B161:B181" si="7">VLOOKUP(A161,$N$2:$O$142,2,FALSE)</f>
        <v>69.25</v>
      </c>
      <c r="C161" s="57"/>
      <c r="D161" s="57">
        <f>G161/'ERPs by country'!$E$5</f>
        <v>3.6814678899082576E-2</v>
      </c>
      <c r="E161" s="93">
        <f t="shared" ref="E161:E181" si="8">IF(C161&gt;0,C161,VLOOKUP(B161,$I$3:$K$19,3))</f>
        <v>0.11133169166632967</v>
      </c>
      <c r="F161" s="93">
        <v>0.26</v>
      </c>
      <c r="G161" s="57">
        <f>E161-'ERPs by country'!$E$3</f>
        <v>5.1931691666329667E-2</v>
      </c>
      <c r="H161" s="75"/>
      <c r="J161" s="139" t="s">
        <v>128</v>
      </c>
      <c r="K161" s="140">
        <v>0.29153846153846152</v>
      </c>
    </row>
    <row r="162" spans="1:11">
      <c r="A162" s="46" t="s">
        <v>338</v>
      </c>
      <c r="B162" s="134">
        <f t="shared" si="7"/>
        <v>79.5</v>
      </c>
      <c r="C162" s="57"/>
      <c r="D162" s="57">
        <f>G162/'ERPs by country'!$E$5</f>
        <v>1.0354128440366969E-2</v>
      </c>
      <c r="E162" s="93">
        <f t="shared" si="8"/>
        <v>7.4005788281155213E-2</v>
      </c>
      <c r="F162" s="57">
        <v>0.185</v>
      </c>
      <c r="G162" s="57">
        <f>E162-'ERPs by country'!$E$3</f>
        <v>1.4605788281155212E-2</v>
      </c>
      <c r="H162" s="75"/>
      <c r="J162" s="139" t="s">
        <v>129</v>
      </c>
      <c r="K162" s="140">
        <v>0.23102608695652177</v>
      </c>
    </row>
    <row r="163" spans="1:11">
      <c r="A163" s="46" t="s">
        <v>334</v>
      </c>
      <c r="B163" s="134">
        <f t="shared" si="7"/>
        <v>65</v>
      </c>
      <c r="C163" s="57"/>
      <c r="D163" s="57">
        <f>G163/'ERPs by country'!$E$5</f>
        <v>6.7301834862385335E-2</v>
      </c>
      <c r="E163" s="93">
        <f t="shared" si="8"/>
        <v>0.15433762382750893</v>
      </c>
      <c r="F163" s="57">
        <v>0.31</v>
      </c>
      <c r="G163" s="57">
        <f>E163-'ERPs by country'!$E$3</f>
        <v>9.4937623827508921E-2</v>
      </c>
      <c r="H163" s="75"/>
      <c r="J163" s="139" t="s">
        <v>53</v>
      </c>
      <c r="K163" s="140">
        <v>0.19333333333333336</v>
      </c>
    </row>
    <row r="164" spans="1:11">
      <c r="A164" s="46" t="s">
        <v>317</v>
      </c>
      <c r="B164" s="134">
        <f t="shared" si="7"/>
        <v>57.25</v>
      </c>
      <c r="C164" s="57"/>
      <c r="D164" s="57">
        <f>G164/'ERPs by country'!$E$5</f>
        <v>0.11015642201834863</v>
      </c>
      <c r="E164" s="93">
        <f t="shared" si="8"/>
        <v>0.21478935865784579</v>
      </c>
      <c r="F164" s="57">
        <v>0.29149999999999998</v>
      </c>
      <c r="G164" s="57">
        <f>E164-'ERPs by country'!$E$3</f>
        <v>0.15538935865784578</v>
      </c>
      <c r="H164" s="75"/>
      <c r="J164" s="139" t="s">
        <v>54</v>
      </c>
      <c r="K164" s="140">
        <v>0.18641428571428573</v>
      </c>
    </row>
    <row r="165" spans="1:11">
      <c r="A165" s="46" t="s">
        <v>333</v>
      </c>
      <c r="B165" s="134">
        <f t="shared" si="7"/>
        <v>64</v>
      </c>
      <c r="C165" s="57"/>
      <c r="D165" s="57">
        <f>G165/'ERPs by country'!$E$5</f>
        <v>7.9525458715596339E-2</v>
      </c>
      <c r="E165" s="93">
        <f t="shared" si="8"/>
        <v>0.17158056832609495</v>
      </c>
      <c r="F165" s="57">
        <v>0.29149999999999998</v>
      </c>
      <c r="G165" s="57">
        <f>E165-'ERPs by country'!$E$3</f>
        <v>0.11218056832609494</v>
      </c>
      <c r="H165" s="75"/>
      <c r="J165" s="139" t="s">
        <v>51</v>
      </c>
      <c r="K165" s="140">
        <v>0.27932105263157891</v>
      </c>
    </row>
    <row r="166" spans="1:11">
      <c r="A166" s="46" t="s">
        <v>330</v>
      </c>
      <c r="B166" s="134">
        <f t="shared" si="7"/>
        <v>75.75</v>
      </c>
      <c r="C166" s="57"/>
      <c r="D166" s="57">
        <f>G166/'ERPs by country'!$E$5</f>
        <v>1.955779816513761E-2</v>
      </c>
      <c r="E166" s="93">
        <f t="shared" si="8"/>
        <v>8.6988711197737628E-2</v>
      </c>
      <c r="F166" s="57">
        <v>0.18640000000000001</v>
      </c>
      <c r="G166" s="57">
        <f>E166-'ERPs by country'!$E$3</f>
        <v>2.7588711197737627E-2</v>
      </c>
      <c r="H166" s="75"/>
      <c r="J166" s="139" t="s">
        <v>125</v>
      </c>
      <c r="K166" s="140">
        <v>0.16692307692307692</v>
      </c>
    </row>
    <row r="167" spans="1:11">
      <c r="A167" s="46" t="s">
        <v>326</v>
      </c>
      <c r="B167" s="134">
        <f t="shared" si="7"/>
        <v>54.25</v>
      </c>
      <c r="C167" s="57"/>
      <c r="D167" s="57">
        <f>G167/'ERPs by country'!$E$5</f>
        <v>0.14682729357798163</v>
      </c>
      <c r="E167" s="93">
        <f t="shared" si="8"/>
        <v>0.26651819215360384</v>
      </c>
      <c r="F167" s="57">
        <v>0.18640000000000001</v>
      </c>
      <c r="G167" s="57">
        <f>E167-'ERPs by country'!$E$3</f>
        <v>0.20711819215360383</v>
      </c>
      <c r="H167" s="75"/>
      <c r="J167" s="139" t="s">
        <v>127</v>
      </c>
      <c r="K167" s="140">
        <v>0.2023076923076923</v>
      </c>
    </row>
    <row r="168" spans="1:11">
      <c r="A168" s="46" t="s">
        <v>328</v>
      </c>
      <c r="B168" s="134">
        <f t="shared" si="7"/>
        <v>66.5</v>
      </c>
      <c r="C168" s="57"/>
      <c r="D168" s="57">
        <f>G168/'ERPs by country'!$E$5</f>
        <v>5.5078211009174302E-2</v>
      </c>
      <c r="E168" s="93">
        <f t="shared" si="8"/>
        <v>0.13709467932892289</v>
      </c>
      <c r="F168" s="57">
        <v>0.20230000000000001</v>
      </c>
      <c r="G168" s="57">
        <f>E168-'ERPs by country'!$E$3</f>
        <v>7.7694679328922878E-2</v>
      </c>
      <c r="H168" s="75"/>
      <c r="J168" s="139" t="s">
        <v>130</v>
      </c>
      <c r="K168" s="140">
        <v>0.25750000000000001</v>
      </c>
    </row>
    <row r="169" spans="1:11">
      <c r="A169" s="46" t="s">
        <v>373</v>
      </c>
      <c r="B169" s="134">
        <f t="shared" si="7"/>
        <v>51</v>
      </c>
      <c r="C169" s="57"/>
      <c r="D169" s="57">
        <f>G169/'ERPs by country'!$E$5</f>
        <v>0.14682729357798163</v>
      </c>
      <c r="E169" s="93">
        <f t="shared" si="8"/>
        <v>0.26651819215360384</v>
      </c>
      <c r="F169" s="57">
        <v>0.23100000000000001</v>
      </c>
      <c r="G169" s="57">
        <f>E169-'ERPs by country'!$E$3</f>
        <v>0.20711819215360383</v>
      </c>
      <c r="H169" s="75"/>
      <c r="J169" s="139" t="s">
        <v>126</v>
      </c>
      <c r="K169" s="140">
        <v>0.20019615384615383</v>
      </c>
    </row>
    <row r="170" spans="1:11">
      <c r="A170" s="46" t="s">
        <v>318</v>
      </c>
      <c r="B170" s="134">
        <f t="shared" si="7"/>
        <v>58</v>
      </c>
      <c r="C170" s="57"/>
      <c r="D170" s="57">
        <f>G170/'ERPs by country'!$E$5</f>
        <v>0.11015642201834863</v>
      </c>
      <c r="E170" s="93">
        <f t="shared" si="8"/>
        <v>0.21478935865784579</v>
      </c>
      <c r="F170" s="57">
        <v>0.29149999999999998</v>
      </c>
      <c r="G170" s="57">
        <f>E170-'ERPs by country'!$E$3</f>
        <v>0.15538935865784578</v>
      </c>
      <c r="H170" s="75"/>
    </row>
    <row r="171" spans="1:11">
      <c r="A171" s="46" t="s">
        <v>322</v>
      </c>
      <c r="B171" s="134">
        <f t="shared" si="7"/>
        <v>70.75</v>
      </c>
      <c r="C171" s="57"/>
      <c r="D171" s="57">
        <f>G171/'ERPs by country'!$E$5</f>
        <v>3.6814678899082576E-2</v>
      </c>
      <c r="E171" s="93">
        <f t="shared" si="8"/>
        <v>0.11133169166632967</v>
      </c>
      <c r="F171" s="93">
        <v>0.2</v>
      </c>
      <c r="G171" s="57">
        <f>E171-'ERPs by country'!$E$3</f>
        <v>5.1931691666329667E-2</v>
      </c>
      <c r="H171" s="75"/>
    </row>
    <row r="172" spans="1:11">
      <c r="A172" s="46" t="s">
        <v>336</v>
      </c>
      <c r="B172" s="134">
        <f t="shared" si="7"/>
        <v>62.5</v>
      </c>
      <c r="C172" s="57"/>
      <c r="D172" s="57">
        <f>G172/'ERPs by country'!$E$5</f>
        <v>7.9525458715596339E-2</v>
      </c>
      <c r="E172" s="93">
        <f t="shared" si="8"/>
        <v>0.17158056832609495</v>
      </c>
      <c r="F172" s="57">
        <v>0.2</v>
      </c>
      <c r="G172" s="57">
        <f>E172-'ERPs by country'!$E$3</f>
        <v>0.11218056832609494</v>
      </c>
      <c r="H172" s="75"/>
    </row>
    <row r="173" spans="1:11">
      <c r="A173" s="46" t="s">
        <v>327</v>
      </c>
      <c r="B173" s="134">
        <f t="shared" si="7"/>
        <v>51</v>
      </c>
      <c r="C173" s="57"/>
      <c r="D173" s="57">
        <f>G173/'ERPs by country'!$E$5</f>
        <v>0.14682729357798163</v>
      </c>
      <c r="E173" s="93">
        <f t="shared" si="8"/>
        <v>0.26651819215360384</v>
      </c>
      <c r="F173" s="57">
        <v>0.3</v>
      </c>
      <c r="G173" s="57">
        <f>E173-'ERPs by country'!$E$3</f>
        <v>0.20711819215360383</v>
      </c>
      <c r="H173" s="75"/>
    </row>
    <row r="174" spans="1:11">
      <c r="A174" s="46" t="s">
        <v>335</v>
      </c>
      <c r="B174" s="134">
        <f t="shared" si="7"/>
        <v>55.75</v>
      </c>
      <c r="C174" s="57"/>
      <c r="D174" s="57">
        <f>G174/'ERPs by country'!$E$5</f>
        <v>0.12238004587155965</v>
      </c>
      <c r="E174" s="93">
        <f t="shared" si="8"/>
        <v>0.23203230315643184</v>
      </c>
      <c r="F174" s="57">
        <v>0.25</v>
      </c>
      <c r="G174" s="57">
        <f>E174-'ERPs by country'!$E$3</f>
        <v>0.17263230315643183</v>
      </c>
      <c r="H174" s="75"/>
    </row>
    <row r="175" spans="1:11">
      <c r="A175" s="46" t="s">
        <v>1</v>
      </c>
      <c r="B175" s="134">
        <f t="shared" si="7"/>
        <v>66</v>
      </c>
      <c r="C175" s="57"/>
      <c r="D175" s="57">
        <f>G175/'ERPs by country'!$E$5</f>
        <v>6.7301834862385335E-2</v>
      </c>
      <c r="E175" s="93">
        <f t="shared" ref="E175" si="9">IF(C175&gt;0,C175,VLOOKUP(B175,$I$3:$K$19,3))</f>
        <v>0.15433762382750893</v>
      </c>
      <c r="F175" s="57">
        <v>0.25</v>
      </c>
      <c r="G175" s="57">
        <f>E175-'ERPs by country'!$E$3</f>
        <v>9.4937623827508921E-2</v>
      </c>
      <c r="H175" s="75"/>
    </row>
    <row r="176" spans="1:11">
      <c r="A176" s="46" t="s">
        <v>329</v>
      </c>
      <c r="B176" s="134">
        <f t="shared" si="7"/>
        <v>53.5</v>
      </c>
      <c r="C176" s="57"/>
      <c r="D176" s="57">
        <f>G176/'ERPs by country'!$E$5</f>
        <v>0.14682729357798163</v>
      </c>
      <c r="E176" s="93">
        <f t="shared" si="8"/>
        <v>0.26651819215360384</v>
      </c>
      <c r="F176" s="57">
        <v>0.3</v>
      </c>
      <c r="G176" s="57">
        <f>E176-'ERPs by country'!$E$3</f>
        <v>0.20711819215360383</v>
      </c>
      <c r="H176" s="75"/>
    </row>
    <row r="177" spans="1:8">
      <c r="A177" s="46" t="s">
        <v>315</v>
      </c>
      <c r="B177" s="134">
        <f t="shared" si="7"/>
        <v>52</v>
      </c>
      <c r="C177" s="57"/>
      <c r="D177" s="57">
        <f>G177/'ERPs by country'!$E$5</f>
        <v>0.14682729357798163</v>
      </c>
      <c r="E177" s="93">
        <f t="shared" si="8"/>
        <v>0.26651819215360384</v>
      </c>
      <c r="F177" s="57">
        <v>0.29149999999999998</v>
      </c>
      <c r="G177" s="57">
        <f>E177-'ERPs by country'!$E$3</f>
        <v>0.20711819215360383</v>
      </c>
      <c r="H177" s="75"/>
    </row>
    <row r="178" spans="1:8">
      <c r="A178" s="46" t="s">
        <v>319</v>
      </c>
      <c r="B178" s="134">
        <f t="shared" si="7"/>
        <v>43</v>
      </c>
      <c r="C178" s="57"/>
      <c r="D178" s="57">
        <f>G178/'ERPs by country'!$E$5</f>
        <v>0.17499999999999996</v>
      </c>
      <c r="E178" s="93">
        <f t="shared" si="8"/>
        <v>0.30625930485826308</v>
      </c>
      <c r="F178" s="57">
        <v>0.35</v>
      </c>
      <c r="G178" s="57">
        <f>E178-'ERPs by country'!$E$3</f>
        <v>0.24685930485826307</v>
      </c>
      <c r="H178" s="75"/>
    </row>
    <row r="179" spans="1:8">
      <c r="A179" s="46" t="s">
        <v>316</v>
      </c>
      <c r="B179" s="134">
        <f t="shared" si="7"/>
        <v>43.75</v>
      </c>
      <c r="C179" s="57"/>
      <c r="D179" s="57">
        <f>G179/'ERPs by country'!$E$5</f>
        <v>0.17499999999999996</v>
      </c>
      <c r="E179" s="93">
        <f t="shared" si="8"/>
        <v>0.30625930485826308</v>
      </c>
      <c r="F179" s="57">
        <v>0.28000000000000003</v>
      </c>
      <c r="G179" s="57">
        <f>E179-'ERPs by country'!$E$3</f>
        <v>0.24685930485826307</v>
      </c>
      <c r="H179" s="75"/>
    </row>
    <row r="180" spans="1:8">
      <c r="A180" s="46" t="s">
        <v>323</v>
      </c>
      <c r="B180" s="134">
        <f t="shared" si="7"/>
        <v>48.25</v>
      </c>
      <c r="C180" s="57"/>
      <c r="D180" s="57">
        <f>G180/'ERPs by country'!$E$5</f>
        <v>0.17499999999999996</v>
      </c>
      <c r="E180" s="93">
        <f t="shared" si="8"/>
        <v>0.30625930485826308</v>
      </c>
      <c r="F180" s="57">
        <v>0.2</v>
      </c>
      <c r="G180" s="57">
        <f>E180-'ERPs by country'!$E$3</f>
        <v>0.24685930485826307</v>
      </c>
    </row>
    <row r="181" spans="1:8">
      <c r="A181" s="46" t="s">
        <v>320</v>
      </c>
      <c r="B181" s="134">
        <f t="shared" si="7"/>
        <v>61.5</v>
      </c>
      <c r="C181" s="57"/>
      <c r="D181" s="57">
        <f>G181/'ERPs by country'!$E$5</f>
        <v>9.1749082568807344E-2</v>
      </c>
      <c r="E181" s="93">
        <f t="shared" si="8"/>
        <v>0.18882351282468096</v>
      </c>
      <c r="F181" s="57">
        <v>0.25</v>
      </c>
      <c r="G181" s="57">
        <f>E181-'ERPs by country'!$E$3</f>
        <v>0.12942351282468095</v>
      </c>
    </row>
    <row r="182" spans="1:8" ht="13">
      <c r="A182"/>
      <c r="B182" s="79"/>
      <c r="C182"/>
      <c r="D182"/>
    </row>
  </sheetData>
  <sortState xmlns:xlrd2="http://schemas.microsoft.com/office/spreadsheetml/2017/richdata2" ref="N2:O142">
    <sortCondition ref="N2:N142"/>
  </sortState>
  <mergeCells count="1">
    <mergeCell ref="I1:J1"/>
  </mergeCell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4C96-9AF2-BA45-8E66-CC7A4AFE4F76}">
  <dimension ref="A1:A9"/>
  <sheetViews>
    <sheetView workbookViewId="0">
      <selection activeCell="A9" sqref="A9"/>
    </sheetView>
  </sheetViews>
  <sheetFormatPr baseColWidth="10" defaultRowHeight="13"/>
  <sheetData>
    <row r="1" spans="1:1">
      <c r="A1" t="s">
        <v>487</v>
      </c>
    </row>
    <row r="2" spans="1:1">
      <c r="A2" t="s">
        <v>488</v>
      </c>
    </row>
    <row r="3" spans="1:1">
      <c r="A3" t="s">
        <v>489</v>
      </c>
    </row>
    <row r="4" spans="1:1">
      <c r="A4" t="s">
        <v>490</v>
      </c>
    </row>
    <row r="5" spans="1:1">
      <c r="A5" t="s">
        <v>491</v>
      </c>
    </row>
    <row r="6" spans="1:1">
      <c r="A6" t="s">
        <v>492</v>
      </c>
    </row>
    <row r="7" spans="1:1">
      <c r="A7" t="s">
        <v>493</v>
      </c>
    </row>
    <row r="8" spans="1:1">
      <c r="A8" t="s">
        <v>494</v>
      </c>
    </row>
    <row r="9" spans="1:1">
      <c r="A9" t="s">
        <v>495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D13" sqref="D13"/>
    </sheetView>
  </sheetViews>
  <sheetFormatPr baseColWidth="10" defaultRowHeight="16"/>
  <cols>
    <col min="1" max="1" width="35.6640625" style="38" bestFit="1" customWidth="1"/>
    <col min="2" max="2" width="22" customWidth="1"/>
  </cols>
  <sheetData>
    <row r="1" spans="1:4" s="37" customFormat="1" ht="19">
      <c r="A1" s="37" t="s">
        <v>256</v>
      </c>
    </row>
    <row r="2" spans="1:4">
      <c r="A2" s="38" t="s">
        <v>75</v>
      </c>
      <c r="B2" s="39" t="s">
        <v>111</v>
      </c>
      <c r="D2" s="1" t="s">
        <v>339</v>
      </c>
    </row>
    <row r="3" spans="1:4">
      <c r="B3" s="38"/>
      <c r="D3" s="1" t="s">
        <v>340</v>
      </c>
    </row>
    <row r="4" spans="1:4">
      <c r="A4" s="38" t="s">
        <v>259</v>
      </c>
      <c r="B4" s="41" t="str">
        <f>VLOOKUP(B2,'Ratings worksheet'!$A$2:$C$158,3, FALSE)</f>
        <v>Baa3</v>
      </c>
      <c r="C4" t="s">
        <v>261</v>
      </c>
    </row>
    <row r="5" spans="1:4">
      <c r="A5" s="38" t="s">
        <v>260</v>
      </c>
      <c r="B5" s="41" t="str">
        <f>VLOOKUP(B2,'Ratings worksheet'!$A$2:$C$158,2, FALSE)</f>
        <v>BBB-</v>
      </c>
      <c r="C5" t="s">
        <v>261</v>
      </c>
    </row>
    <row r="6" spans="1:4">
      <c r="A6" s="38" t="s">
        <v>258</v>
      </c>
      <c r="B6" s="42">
        <f>VLOOKUP(B2,'10-year CDS Spreads'!A2:D158,3, FALSE)</f>
        <v>1.67E-2</v>
      </c>
    </row>
    <row r="7" spans="1:4">
      <c r="A7" s="38" t="s">
        <v>268</v>
      </c>
      <c r="B7" s="42">
        <f>IF(B6="NA","NA",VLOOKUP(B2,'ERPs by country'!A8:I164,9,FALSE)/'ERPs by country'!E5)</f>
        <v>1.3499999999999998E-2</v>
      </c>
    </row>
    <row r="8" spans="1:4">
      <c r="B8" s="40"/>
    </row>
    <row r="9" spans="1:4">
      <c r="A9" s="38" t="s">
        <v>351</v>
      </c>
      <c r="B9" s="76">
        <f>VLOOKUP(B2,'ERPs by country'!A8:I164,4,FALSE)</f>
        <v>2.6891972477064225E-2</v>
      </c>
    </row>
    <row r="10" spans="1:4">
      <c r="A10" s="38" t="s">
        <v>262</v>
      </c>
      <c r="B10" s="42">
        <f>VLOOKUP(B2,'ERPs by country'!A8:I164,6,FALSE)</f>
        <v>3.7934477896889252E-2</v>
      </c>
    </row>
    <row r="11" spans="1:4">
      <c r="A11" s="38" t="s">
        <v>263</v>
      </c>
      <c r="B11" s="42">
        <f>VLOOKUP(B2,'ERPs by country'!A8:I164,5,FALSE)</f>
        <v>9.733447789688926E-2</v>
      </c>
    </row>
    <row r="12" spans="1:4">
      <c r="B12" s="40"/>
    </row>
    <row r="13" spans="1:4">
      <c r="A13" s="38" t="s">
        <v>264</v>
      </c>
      <c r="B13" s="42">
        <f>VLOOKUP(B2,'ERPs by country'!A8:I164,9,FALSE)</f>
        <v>1.9043432089066011E-2</v>
      </c>
    </row>
    <row r="14" spans="1:4">
      <c r="A14" s="38" t="s">
        <v>265</v>
      </c>
      <c r="B14" s="42">
        <f>VLOOKUP(B2,'ERPs by country'!A8:I164,8,FALSE)</f>
        <v>7.8443432089066012E-2</v>
      </c>
    </row>
    <row r="16" spans="1:4" ht="19">
      <c r="A16" s="37" t="s">
        <v>257</v>
      </c>
    </row>
    <row r="17" spans="1:2">
      <c r="A17" s="38" t="s">
        <v>52</v>
      </c>
      <c r="B17" s="43" t="s">
        <v>54</v>
      </c>
    </row>
    <row r="19" spans="1:2">
      <c r="A19" s="38" t="s">
        <v>279</v>
      </c>
      <c r="B19" s="44">
        <f>VLOOKUP(B17,'Regional Simple Averages'!$A$5:$E$13,3,FALSE)</f>
        <v>6.7392382237750889E-2</v>
      </c>
    </row>
    <row r="20" spans="1:2">
      <c r="A20" s="38" t="s">
        <v>280</v>
      </c>
      <c r="B20" s="44">
        <f>VLOOKUP(B17,'Regional Simple Averages'!$A$5:$E$13,4,FALSE)</f>
        <v>0.12679238223775088</v>
      </c>
    </row>
    <row r="22" spans="1:2">
      <c r="A22" s="38" t="s">
        <v>266</v>
      </c>
      <c r="B22" s="44">
        <f>VLOOKUP(B17,'Regional Weighted Averages'!A171:C179,3,FALSE)</f>
        <v>0.11190442097799</v>
      </c>
    </row>
    <row r="23" spans="1:2">
      <c r="A23" s="38" t="s">
        <v>267</v>
      </c>
      <c r="B23" s="44">
        <f>VLOOKUP(B17,'Regional Weighted Averages'!A171:C179,2,FALSE)</f>
        <v>0.17130442097798998</v>
      </c>
    </row>
    <row r="25" spans="1:2">
      <c r="A25" s="59" t="s">
        <v>352</v>
      </c>
    </row>
    <row r="27" spans="1:2" s="88" customFormat="1" ht="19">
      <c r="A27" s="37" t="s">
        <v>374</v>
      </c>
    </row>
    <row r="28" spans="1:2">
      <c r="A28" s="38" t="s">
        <v>75</v>
      </c>
      <c r="B28" s="39" t="s">
        <v>373</v>
      </c>
    </row>
    <row r="30" spans="1:2">
      <c r="A30" s="38" t="s">
        <v>349</v>
      </c>
      <c r="B30" s="86">
        <f>VLOOKUP(B28,'PRS Worksheet'!A161:E181,2,FALSE)</f>
        <v>51</v>
      </c>
    </row>
    <row r="31" spans="1:2">
      <c r="A31" s="38" t="s">
        <v>375</v>
      </c>
      <c r="B31" s="87">
        <f>VLOOKUP(B28,'PRS Worksheet'!A161:E181,5,FALSE)</f>
        <v>0.26651819215360384</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'ERPs by country'!$A$8:$A$164</xm:f>
          </x14:formula1>
          <xm:sqref>B2</xm:sqref>
        </x14:dataValidation>
        <x14:dataValidation type="list" allowBlank="1" showInputMessage="1" showErrorMessage="1" xr:uid="{00000000-0002-0000-0100-000001000000}">
          <x14:formula1>
            <xm:f>'Regional Simple Averages'!$A$5:$A$13</xm:f>
          </x14:formula1>
          <xm:sqref>B17</xm:sqref>
        </x14:dataValidation>
        <x14:dataValidation type="list" allowBlank="1" showInputMessage="1" showErrorMessage="1" xr:uid="{00000000-0002-0000-0100-000002000000}">
          <x14:formula1>
            <xm:f>'PRS Worksheet'!$A$161:$A$181</xm:f>
          </x14:formula1>
          <xm:sqref>B28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10"/>
  <sheetViews>
    <sheetView zoomScale="87" zoomScaleNormal="87" workbookViewId="0">
      <selection activeCell="C167" sqref="C167:D186"/>
    </sheetView>
  </sheetViews>
  <sheetFormatPr baseColWidth="10" defaultRowHeight="13"/>
  <cols>
    <col min="1" max="1" width="35.83203125" style="19" customWidth="1"/>
    <col min="2" max="2" width="25.83203125" style="19" customWidth="1"/>
    <col min="3" max="3" width="25.83203125" customWidth="1"/>
    <col min="4" max="4" width="26.6640625" customWidth="1"/>
    <col min="5" max="5" width="25.83203125" customWidth="1"/>
    <col min="6" max="6" width="21.83203125" customWidth="1"/>
    <col min="7" max="7" width="24.1640625" customWidth="1"/>
    <col min="8" max="8" width="26.5" customWidth="1"/>
    <col min="9" max="9" width="22.83203125" customWidth="1"/>
  </cols>
  <sheetData>
    <row r="1" spans="1:12" ht="16">
      <c r="A1" s="104" t="s">
        <v>473</v>
      </c>
      <c r="B1" s="104"/>
      <c r="C1" s="6"/>
      <c r="D1" s="6"/>
      <c r="E1" s="6"/>
      <c r="F1" s="6"/>
      <c r="G1" s="6"/>
      <c r="H1" s="6"/>
      <c r="I1" s="6"/>
      <c r="J1" s="6"/>
      <c r="K1" s="6"/>
      <c r="L1" s="6"/>
    </row>
    <row r="2" spans="1:12" ht="16">
      <c r="A2" s="5" t="s">
        <v>474</v>
      </c>
      <c r="B2" s="186">
        <v>43465</v>
      </c>
      <c r="C2" s="3"/>
      <c r="D2" s="3"/>
      <c r="E2" s="3"/>
      <c r="F2" s="3"/>
      <c r="G2" s="3"/>
      <c r="H2" s="3"/>
      <c r="I2" s="3"/>
      <c r="J2" s="3"/>
      <c r="K2" s="3"/>
      <c r="L2" s="3"/>
    </row>
    <row r="3" spans="1:12">
      <c r="A3" s="19" t="s">
        <v>72</v>
      </c>
      <c r="E3" s="12">
        <v>5.9400000000000001E-2</v>
      </c>
      <c r="F3" s="1"/>
    </row>
    <row r="4" spans="1:12">
      <c r="A4" s="19" t="s">
        <v>141</v>
      </c>
      <c r="E4" s="13" t="s">
        <v>73</v>
      </c>
      <c r="F4" s="18"/>
      <c r="G4" s="18"/>
    </row>
    <row r="5" spans="1:12">
      <c r="A5" s="19" t="s">
        <v>142</v>
      </c>
      <c r="E5" s="84">
        <f>'Relative Equity Volatility'!D7</f>
        <v>1.410624599190075</v>
      </c>
      <c r="F5" s="95"/>
      <c r="G5" s="18"/>
    </row>
    <row r="7" spans="1:12" s="2" customFormat="1" ht="17">
      <c r="A7" s="109" t="s">
        <v>75</v>
      </c>
      <c r="B7" s="110" t="s">
        <v>128</v>
      </c>
      <c r="C7" s="111" t="s">
        <v>271</v>
      </c>
      <c r="D7" s="112" t="s">
        <v>139</v>
      </c>
      <c r="E7" s="112" t="s">
        <v>140</v>
      </c>
      <c r="F7" s="112" t="s">
        <v>37</v>
      </c>
      <c r="G7" s="113" t="s">
        <v>383</v>
      </c>
      <c r="H7" s="112" t="s">
        <v>441</v>
      </c>
      <c r="I7" s="114" t="s">
        <v>442</v>
      </c>
      <c r="J7" s="1" t="s">
        <v>38</v>
      </c>
    </row>
    <row r="8" spans="1:12" ht="16">
      <c r="A8" s="108" t="str">
        <f>'Sovereign Ratings (Moody''s,S&amp;P)'!A2</f>
        <v>Abu Dhabi</v>
      </c>
      <c r="B8" s="103" t="str">
        <f>VLOOKUP(A8,'Regional lookup table'!$A$2:$B$161,2)</f>
        <v>Middle East</v>
      </c>
      <c r="C8" s="9" t="str">
        <f>'Sovereign Ratings (Moody''s,S&amp;P)'!C2</f>
        <v>Aa2</v>
      </c>
      <c r="D8" s="21">
        <f>VLOOKUP(C8,$J$9:$K$31,2,FALSE)/10000</f>
        <v>6.0399082568807346E-3</v>
      </c>
      <c r="E8" s="21">
        <f>$E$3+F8</f>
        <v>6.792004316400721E-2</v>
      </c>
      <c r="F8" s="11">
        <f>IF($E$4="Yes",D8*$E$5,D8)</f>
        <v>8.5200431640072103E-3</v>
      </c>
      <c r="G8" s="11">
        <f>VLOOKUP(A8,'10-year CDS Spreads'!$A$2:$D$157,4)</f>
        <v>4.5999999999999999E-3</v>
      </c>
      <c r="H8" s="11">
        <f>IF(I8="NA","NA",$E$3+I8)</f>
        <v>6.5888873156274341E-2</v>
      </c>
      <c r="I8" s="14">
        <f>IF(G8="NA","NA",G8*$E$5)</f>
        <v>6.4888731562743451E-3</v>
      </c>
      <c r="J8" s="17" t="s">
        <v>39</v>
      </c>
      <c r="K8" s="17" t="s">
        <v>40</v>
      </c>
    </row>
    <row r="9" spans="1:12" ht="16">
      <c r="A9" s="108" t="str">
        <f>'Sovereign Ratings (Moody''s,S&amp;P)'!A3</f>
        <v>Albania</v>
      </c>
      <c r="B9" s="103" t="str">
        <f>VLOOKUP(A9,'Regional lookup table'!$A$3:$B$161,2)</f>
        <v>Eastern Europe &amp; Russia</v>
      </c>
      <c r="C9" s="9" t="str">
        <f>'Sovereign Ratings (Moody''s,S&amp;P)'!C3</f>
        <v>B1</v>
      </c>
      <c r="D9" s="21">
        <f t="shared" ref="D9:D72" si="0">VLOOKUP(C9,$J$9:$K$31,2,FALSE)/10000</f>
        <v>5.5078211009174309E-2</v>
      </c>
      <c r="E9" s="21">
        <f t="shared" ref="E9:E72" si="1">$E$3+F9</f>
        <v>0.13709467932892289</v>
      </c>
      <c r="F9" s="11">
        <f t="shared" ref="F9:F72" si="2">IF($E$4="Yes",D9*$E$5,D9)</f>
        <v>7.7694679328922892E-2</v>
      </c>
      <c r="G9" s="11" t="str">
        <f>VLOOKUP(A9,'10-year CDS Spreads'!$A$2:$D$157,4)</f>
        <v>NA</v>
      </c>
      <c r="H9" s="11" t="str">
        <f t="shared" ref="H9:H72" si="3">IF(I9="NA","NA",$E$3+I9)</f>
        <v>NA</v>
      </c>
      <c r="I9" s="14" t="str">
        <f t="shared" ref="I9:I72" si="4">IF(G9="NA","NA",G9*$E$5)</f>
        <v>NA</v>
      </c>
      <c r="J9" s="4" t="s">
        <v>41</v>
      </c>
      <c r="K9" s="173">
        <f t="shared" ref="K9:K22" si="5">C189</f>
        <v>86.284403669724782</v>
      </c>
    </row>
    <row r="10" spans="1:12" ht="16">
      <c r="A10" s="108" t="str">
        <f>'Sovereign Ratings (Moody''s,S&amp;P)'!A4</f>
        <v>Andorra (Principality of)</v>
      </c>
      <c r="B10" s="103" t="str">
        <f>VLOOKUP(A10,'Regional lookup table'!$A$3:$B$161,2)</f>
        <v>Western Europe</v>
      </c>
      <c r="C10" s="9" t="str">
        <f>'Sovereign Ratings (Moody''s,S&amp;P)'!C4</f>
        <v>Baa2</v>
      </c>
      <c r="D10" s="21">
        <f t="shared" si="0"/>
        <v>2.3296788990825688E-2</v>
      </c>
      <c r="E10" s="21">
        <f t="shared" si="1"/>
        <v>9.2263023632599236E-2</v>
      </c>
      <c r="F10" s="11">
        <f t="shared" si="2"/>
        <v>3.2863023632599235E-2</v>
      </c>
      <c r="G10" s="11" t="str">
        <f>VLOOKUP(A10,'10-year CDS Spreads'!$A$2:$D$157,4)</f>
        <v>NA</v>
      </c>
      <c r="H10" s="11" t="str">
        <f t="shared" si="3"/>
        <v>NA</v>
      </c>
      <c r="I10" s="14" t="str">
        <f t="shared" si="4"/>
        <v>NA</v>
      </c>
      <c r="J10" s="4" t="s">
        <v>42</v>
      </c>
      <c r="K10" s="173">
        <f t="shared" si="5"/>
        <v>103.54128440366974</v>
      </c>
    </row>
    <row r="11" spans="1:12" ht="16">
      <c r="A11" s="108" t="str">
        <f>'Sovereign Ratings (Moody''s,S&amp;P)'!A5</f>
        <v>Angola</v>
      </c>
      <c r="B11" s="103" t="str">
        <f>VLOOKUP(A11,'Regional lookup table'!$A$3:$B$161,2)</f>
        <v>Africa</v>
      </c>
      <c r="C11" s="9" t="str">
        <f>'Sovereign Ratings (Moody''s,S&amp;P)'!C5</f>
        <v>B3</v>
      </c>
      <c r="D11" s="21">
        <f t="shared" si="0"/>
        <v>7.9525458715596339E-2</v>
      </c>
      <c r="E11" s="21">
        <f t="shared" si="1"/>
        <v>0.17158056832609495</v>
      </c>
      <c r="F11" s="11">
        <f t="shared" si="2"/>
        <v>0.11218056832609494</v>
      </c>
      <c r="G11" s="11">
        <f>VLOOKUP(A11,'10-year CDS Spreads'!$A$2:$D$157,4)</f>
        <v>6.2300000000000001E-2</v>
      </c>
      <c r="H11" s="11">
        <f t="shared" si="3"/>
        <v>0.14728191252954168</v>
      </c>
      <c r="I11" s="14">
        <f t="shared" si="4"/>
        <v>8.7881912529541667E-2</v>
      </c>
      <c r="J11" s="4" t="s">
        <v>43</v>
      </c>
      <c r="K11" s="173">
        <f t="shared" si="5"/>
        <v>146.68348623853211</v>
      </c>
    </row>
    <row r="12" spans="1:12" ht="16">
      <c r="A12" s="108" t="str">
        <f>'Sovereign Ratings (Moody''s,S&amp;P)'!A6</f>
        <v>Argentina</v>
      </c>
      <c r="B12" s="103" t="str">
        <f>VLOOKUP(A12,'Regional lookup table'!$A$3:$B$161,2)</f>
        <v>Central and South America</v>
      </c>
      <c r="C12" s="9" t="str">
        <f>'Sovereign Ratings (Moody''s,S&amp;P)'!C6</f>
        <v>Ca</v>
      </c>
      <c r="D12" s="21">
        <f t="shared" si="0"/>
        <v>0.14682729357798166</v>
      </c>
      <c r="E12" s="21">
        <f t="shared" si="1"/>
        <v>0.26651819215360384</v>
      </c>
      <c r="F12" s="11">
        <f t="shared" si="2"/>
        <v>0.20711819215360386</v>
      </c>
      <c r="G12" s="11" t="str">
        <f>VLOOKUP(A12,'10-year CDS Spreads'!$A$2:$D$157,4)</f>
        <v>NA</v>
      </c>
      <c r="H12" s="11" t="str">
        <f t="shared" si="3"/>
        <v>NA</v>
      </c>
      <c r="I12" s="14" t="str">
        <f t="shared" si="4"/>
        <v>NA</v>
      </c>
      <c r="J12" s="4" t="s">
        <v>44</v>
      </c>
      <c r="K12" s="173">
        <f t="shared" si="5"/>
        <v>48.894495412844037</v>
      </c>
    </row>
    <row r="13" spans="1:12" ht="16">
      <c r="A13" s="108" t="str">
        <f>'Sovereign Ratings (Moody''s,S&amp;P)'!A7</f>
        <v>Armenia</v>
      </c>
      <c r="B13" s="103" t="str">
        <f>VLOOKUP(A13,'Regional lookup table'!$A$3:$B$161,2)</f>
        <v>Eastern Europe &amp; Russia</v>
      </c>
      <c r="C13" s="9" t="str">
        <f>'Sovereign Ratings (Moody''s,S&amp;P)'!C7</f>
        <v>Ba3</v>
      </c>
      <c r="D13" s="21">
        <f t="shared" si="0"/>
        <v>4.4005045871559637E-2</v>
      </c>
      <c r="E13" s="21">
        <f t="shared" si="1"/>
        <v>0.12147460019490969</v>
      </c>
      <c r="F13" s="11">
        <f t="shared" si="2"/>
        <v>6.2074600194909679E-2</v>
      </c>
      <c r="G13" s="11" t="str">
        <f>VLOOKUP(A13,'10-year CDS Spreads'!$A$2:$D$157,4)</f>
        <v>NA</v>
      </c>
      <c r="H13" s="11" t="str">
        <f t="shared" si="3"/>
        <v>NA</v>
      </c>
      <c r="I13" s="14" t="str">
        <f t="shared" si="4"/>
        <v>NA</v>
      </c>
      <c r="J13" s="4" t="s">
        <v>45</v>
      </c>
      <c r="K13" s="173">
        <f t="shared" si="5"/>
        <v>60.399082568807344</v>
      </c>
    </row>
    <row r="14" spans="1:12" ht="16">
      <c r="A14" s="108" t="str">
        <f>'Sovereign Ratings (Moody''s,S&amp;P)'!A8</f>
        <v>Aruba</v>
      </c>
      <c r="B14" s="103" t="str">
        <f>VLOOKUP(A14,'Regional lookup table'!$A$3:$B$161,2)</f>
        <v>Caribbean</v>
      </c>
      <c r="C14" s="9" t="str">
        <f>'Sovereign Ratings (Moody''s,S&amp;P)'!C8</f>
        <v>Baa2</v>
      </c>
      <c r="D14" s="21">
        <f t="shared" si="0"/>
        <v>2.3296788990825688E-2</v>
      </c>
      <c r="E14" s="21">
        <f t="shared" si="1"/>
        <v>9.2263023632599236E-2</v>
      </c>
      <c r="F14" s="11">
        <f t="shared" si="2"/>
        <v>3.2863023632599235E-2</v>
      </c>
      <c r="G14" s="11" t="str">
        <f>VLOOKUP(A14,'10-year CDS Spreads'!$A$2:$D$157,4)</f>
        <v>NA</v>
      </c>
      <c r="H14" s="11" t="str">
        <f t="shared" si="3"/>
        <v>NA</v>
      </c>
      <c r="I14" s="14" t="str">
        <f t="shared" si="4"/>
        <v>NA</v>
      </c>
      <c r="J14" s="4" t="s">
        <v>46</v>
      </c>
      <c r="K14" s="173">
        <f t="shared" si="5"/>
        <v>73.341743119266056</v>
      </c>
    </row>
    <row r="15" spans="1:12" ht="16">
      <c r="A15" s="108" t="str">
        <f>'Sovereign Ratings (Moody''s,S&amp;P)'!A9</f>
        <v>Australia</v>
      </c>
      <c r="B15" s="103" t="str">
        <f>VLOOKUP(A15,'Regional lookup table'!$A$3:$B$161,2)</f>
        <v>Australia &amp; New Zealand</v>
      </c>
      <c r="C15" s="9" t="str">
        <f>'Sovereign Ratings (Moody''s,S&amp;P)'!C9</f>
        <v>Aaa</v>
      </c>
      <c r="D15" s="21">
        <f t="shared" si="0"/>
        <v>0</v>
      </c>
      <c r="E15" s="21">
        <f t="shared" si="1"/>
        <v>5.9400000000000001E-2</v>
      </c>
      <c r="F15" s="11">
        <f t="shared" si="2"/>
        <v>0</v>
      </c>
      <c r="G15" s="11">
        <f>VLOOKUP(A15,'10-year CDS Spreads'!$A$2:$D$157,4)</f>
        <v>1.9999999999999966E-4</v>
      </c>
      <c r="H15" s="11">
        <f t="shared" si="3"/>
        <v>5.9682124919838014E-2</v>
      </c>
      <c r="I15" s="14">
        <f t="shared" si="4"/>
        <v>2.8212491983801454E-4</v>
      </c>
      <c r="J15" s="4" t="s">
        <v>47</v>
      </c>
      <c r="K15" s="173">
        <f t="shared" si="5"/>
        <v>0</v>
      </c>
    </row>
    <row r="16" spans="1:12" ht="16">
      <c r="A16" s="108" t="str">
        <f>'Sovereign Ratings (Moody''s,S&amp;P)'!A10</f>
        <v>Austria</v>
      </c>
      <c r="B16" s="103" t="str">
        <f>VLOOKUP(A16,'Regional lookup table'!$A$3:$B$161,2)</f>
        <v>Western Europe</v>
      </c>
      <c r="C16" s="9" t="str">
        <f>'Sovereign Ratings (Moody''s,S&amp;P)'!C10</f>
        <v>Aa1</v>
      </c>
      <c r="D16" s="21">
        <f t="shared" si="0"/>
        <v>4.8894495412844033E-3</v>
      </c>
      <c r="E16" s="21">
        <f t="shared" si="1"/>
        <v>6.6297177799434406E-2</v>
      </c>
      <c r="F16" s="11">
        <f t="shared" si="2"/>
        <v>6.8971777994344076E-3</v>
      </c>
      <c r="G16" s="11">
        <f>VLOOKUP(A16,'10-year CDS Spreads'!$A$2:$D$157,4)</f>
        <v>0</v>
      </c>
      <c r="H16" s="11">
        <f t="shared" si="3"/>
        <v>5.9400000000000001E-2</v>
      </c>
      <c r="I16" s="14">
        <f t="shared" si="4"/>
        <v>0</v>
      </c>
      <c r="J16" s="4" t="s">
        <v>48</v>
      </c>
      <c r="K16" s="173">
        <f t="shared" si="5"/>
        <v>550.78211009174311</v>
      </c>
    </row>
    <row r="17" spans="1:11" ht="16">
      <c r="A17" s="108" t="str">
        <f>'Sovereign Ratings (Moody''s,S&amp;P)'!A11</f>
        <v>Azerbaijan</v>
      </c>
      <c r="B17" s="103" t="str">
        <f>VLOOKUP(A17,'Regional lookup table'!$A$3:$B$161,2)</f>
        <v>Eastern Europe &amp; Russia</v>
      </c>
      <c r="C17" s="9" t="str">
        <f>'Sovereign Ratings (Moody''s,S&amp;P)'!C11</f>
        <v>Ba1</v>
      </c>
      <c r="D17" s="21">
        <f t="shared" si="0"/>
        <v>3.0630963302752296E-2</v>
      </c>
      <c r="E17" s="21">
        <f t="shared" si="1"/>
        <v>0.10260879033175085</v>
      </c>
      <c r="F17" s="11">
        <f t="shared" si="2"/>
        <v>4.3208790331750853E-2</v>
      </c>
      <c r="G17" s="11" t="str">
        <f>VLOOKUP(A17,'10-year CDS Spreads'!$A$2:$D$157,4)</f>
        <v>NA</v>
      </c>
      <c r="H17" s="11" t="str">
        <f t="shared" si="3"/>
        <v>NA</v>
      </c>
      <c r="I17" s="14" t="str">
        <f t="shared" si="4"/>
        <v>NA</v>
      </c>
      <c r="J17" s="4" t="s">
        <v>49</v>
      </c>
      <c r="K17" s="173">
        <f t="shared" si="5"/>
        <v>673.01834862385329</v>
      </c>
    </row>
    <row r="18" spans="1:11" ht="16">
      <c r="A18" s="108" t="str">
        <f>'Sovereign Ratings (Moody''s,S&amp;P)'!A12</f>
        <v>Bahamas</v>
      </c>
      <c r="B18" s="103" t="str">
        <f>VLOOKUP(A18,'Regional lookup table'!$A$3:$B$161,2)</f>
        <v>Caribbean</v>
      </c>
      <c r="C18" s="9" t="str">
        <f>'Sovereign Ratings (Moody''s,S&amp;P)'!C12</f>
        <v>B1</v>
      </c>
      <c r="D18" s="21">
        <f t="shared" si="0"/>
        <v>5.5078211009174309E-2</v>
      </c>
      <c r="E18" s="21">
        <f t="shared" si="1"/>
        <v>0.13709467932892289</v>
      </c>
      <c r="F18" s="11">
        <f t="shared" si="2"/>
        <v>7.7694679328922892E-2</v>
      </c>
      <c r="G18" s="11" t="str">
        <f>VLOOKUP(A18,'10-year CDS Spreads'!$A$2:$D$157,4)</f>
        <v>NA</v>
      </c>
      <c r="H18" s="11" t="str">
        <f t="shared" si="3"/>
        <v>NA</v>
      </c>
      <c r="I18" s="14" t="str">
        <f t="shared" si="4"/>
        <v>NA</v>
      </c>
      <c r="J18" s="4" t="s">
        <v>78</v>
      </c>
      <c r="K18" s="173">
        <f t="shared" si="5"/>
        <v>795.25458715596335</v>
      </c>
    </row>
    <row r="19" spans="1:11" ht="16">
      <c r="A19" s="108" t="str">
        <f>'Sovereign Ratings (Moody''s,S&amp;P)'!A13</f>
        <v>Bahrain</v>
      </c>
      <c r="B19" s="103" t="str">
        <f>VLOOKUP(A19,'Regional lookup table'!$A$3:$B$161,2)</f>
        <v>Middle East</v>
      </c>
      <c r="C19" s="9" t="str">
        <f>'Sovereign Ratings (Moody''s,S&amp;P)'!C13</f>
        <v>B2</v>
      </c>
      <c r="D19" s="21">
        <f t="shared" si="0"/>
        <v>6.7301834862385335E-2</v>
      </c>
      <c r="E19" s="21">
        <f t="shared" si="1"/>
        <v>0.15433762382750893</v>
      </c>
      <c r="F19" s="11">
        <f t="shared" si="2"/>
        <v>9.4937623827508935E-2</v>
      </c>
      <c r="G19" s="11">
        <f>VLOOKUP(A19,'10-year CDS Spreads'!$A$2:$D$157,4)</f>
        <v>2.4599999999999997E-2</v>
      </c>
      <c r="H19" s="11">
        <f t="shared" si="3"/>
        <v>9.4101365140075832E-2</v>
      </c>
      <c r="I19" s="14">
        <f t="shared" si="4"/>
        <v>3.4701365140075838E-2</v>
      </c>
      <c r="J19" s="4" t="s">
        <v>79</v>
      </c>
      <c r="K19" s="173">
        <f t="shared" si="5"/>
        <v>306.30963302752298</v>
      </c>
    </row>
    <row r="20" spans="1:11" ht="16">
      <c r="A20" s="108" t="str">
        <f>'Sovereign Ratings (Moody''s,S&amp;P)'!A14</f>
        <v>Bangladesh</v>
      </c>
      <c r="B20" s="103" t="str">
        <f>VLOOKUP(A20,'Regional lookup table'!$A$3:$B$161,2)</f>
        <v>Asia</v>
      </c>
      <c r="C20" s="9" t="str">
        <f>'Sovereign Ratings (Moody''s,S&amp;P)'!C14</f>
        <v>Ba3</v>
      </c>
      <c r="D20" s="21">
        <f t="shared" si="0"/>
        <v>4.4005045871559637E-2</v>
      </c>
      <c r="E20" s="21">
        <f t="shared" si="1"/>
        <v>0.12147460019490969</v>
      </c>
      <c r="F20" s="11">
        <f t="shared" si="2"/>
        <v>6.2074600194909679E-2</v>
      </c>
      <c r="G20" s="11" t="str">
        <f>VLOOKUP(A20,'10-year CDS Spreads'!$A$2:$D$157,4)</f>
        <v>NA</v>
      </c>
      <c r="H20" s="11" t="str">
        <f t="shared" si="3"/>
        <v>NA</v>
      </c>
      <c r="I20" s="14" t="str">
        <f t="shared" si="4"/>
        <v>NA</v>
      </c>
      <c r="J20" s="4" t="s">
        <v>80</v>
      </c>
      <c r="K20" s="173">
        <f t="shared" si="5"/>
        <v>368.14678899082571</v>
      </c>
    </row>
    <row r="21" spans="1:11" ht="16">
      <c r="A21" s="108" t="str">
        <f>'Sovereign Ratings (Moody''s,S&amp;P)'!A15</f>
        <v>Barbados</v>
      </c>
      <c r="B21" s="103" t="str">
        <f>VLOOKUP(A21,'Regional lookup table'!$A$3:$B$161,2)</f>
        <v>Caribbean</v>
      </c>
      <c r="C21" s="9" t="str">
        <f>'Sovereign Ratings (Moody''s,S&amp;P)'!C15</f>
        <v>Caa1</v>
      </c>
      <c r="D21" s="21">
        <f t="shared" si="0"/>
        <v>9.1749082568807344E-2</v>
      </c>
      <c r="E21" s="21">
        <f t="shared" si="1"/>
        <v>0.18882351282468096</v>
      </c>
      <c r="F21" s="11">
        <f t="shared" si="2"/>
        <v>0.12942351282468095</v>
      </c>
      <c r="G21" s="11" t="str">
        <f>VLOOKUP(A21,'10-year CDS Spreads'!$A$2:$D$157,4)</f>
        <v>NA</v>
      </c>
      <c r="H21" s="11" t="str">
        <f t="shared" si="3"/>
        <v>NA</v>
      </c>
      <c r="I21" s="14" t="str">
        <f t="shared" si="4"/>
        <v>NA</v>
      </c>
      <c r="J21" s="4" t="s">
        <v>81</v>
      </c>
      <c r="K21" s="173">
        <f t="shared" si="5"/>
        <v>440.05045871559633</v>
      </c>
    </row>
    <row r="22" spans="1:11" ht="16">
      <c r="A22" s="108" t="str">
        <f>'Sovereign Ratings (Moody''s,S&amp;P)'!A16</f>
        <v>Belarus</v>
      </c>
      <c r="B22" s="103" t="str">
        <f>VLOOKUP(A22,'Regional lookup table'!$A$3:$B$161,2)</f>
        <v>Eastern Europe &amp; Russia</v>
      </c>
      <c r="C22" s="9" t="str">
        <f>'Sovereign Ratings (Moody''s,S&amp;P)'!C16</f>
        <v>Ca</v>
      </c>
      <c r="D22" s="21">
        <f t="shared" si="0"/>
        <v>0.14682729357798166</v>
      </c>
      <c r="E22" s="21">
        <f t="shared" si="1"/>
        <v>0.26651819215360384</v>
      </c>
      <c r="F22" s="11">
        <f t="shared" si="2"/>
        <v>0.20711819215360386</v>
      </c>
      <c r="G22" s="11" t="str">
        <f>VLOOKUP(A22,'10-year CDS Spreads'!$A$2:$D$157,4)</f>
        <v>NA</v>
      </c>
      <c r="H22" s="11" t="str">
        <f t="shared" si="3"/>
        <v>NA</v>
      </c>
      <c r="I22" s="14" t="str">
        <f t="shared" si="4"/>
        <v>NA</v>
      </c>
      <c r="J22" s="4" t="s">
        <v>82</v>
      </c>
      <c r="K22" s="173">
        <f t="shared" si="5"/>
        <v>195.57798165137615</v>
      </c>
    </row>
    <row r="23" spans="1:11" ht="16">
      <c r="A23" s="108" t="str">
        <f>'Sovereign Ratings (Moody''s,S&amp;P)'!A17</f>
        <v>Belgium</v>
      </c>
      <c r="B23" s="103" t="str">
        <f>VLOOKUP(A23,'Regional lookup table'!$A$3:$B$161,2)</f>
        <v>Western Europe</v>
      </c>
      <c r="C23" s="9" t="str">
        <f>'Sovereign Ratings (Moody''s,S&amp;P)'!C17</f>
        <v>Aa3</v>
      </c>
      <c r="D23" s="21">
        <f t="shared" si="0"/>
        <v>7.3341743119266058E-3</v>
      </c>
      <c r="E23" s="21">
        <f t="shared" si="1"/>
        <v>6.9745766699151612E-2</v>
      </c>
      <c r="F23" s="11">
        <f t="shared" si="2"/>
        <v>1.0345766699151613E-2</v>
      </c>
      <c r="G23" s="11">
        <f>VLOOKUP(A23,'10-year CDS Spreads'!$A$2:$D$157,4)</f>
        <v>5.0000000000000001E-4</v>
      </c>
      <c r="H23" s="11">
        <f t="shared" si="3"/>
        <v>6.0105312299595037E-2</v>
      </c>
      <c r="I23" s="14">
        <f t="shared" si="4"/>
        <v>7.0531229959503751E-4</v>
      </c>
      <c r="J23" s="4" t="s">
        <v>83</v>
      </c>
      <c r="K23" s="173">
        <f t="shared" ref="K23:K29" si="6">C203</f>
        <v>232.96788990825689</v>
      </c>
    </row>
    <row r="24" spans="1:11" ht="16">
      <c r="A24" s="108" t="str">
        <f>'Sovereign Ratings (Moody''s,S&amp;P)'!A18</f>
        <v>Belize</v>
      </c>
      <c r="B24" s="103" t="str">
        <f>VLOOKUP(A24,'Regional lookup table'!$A$3:$B$161,2)</f>
        <v>Central and South America</v>
      </c>
      <c r="C24" s="9" t="str">
        <f>'Sovereign Ratings (Moody''s,S&amp;P)'!C18</f>
        <v>Caa2</v>
      </c>
      <c r="D24" s="21">
        <f t="shared" si="0"/>
        <v>0.11015642201834862</v>
      </c>
      <c r="E24" s="21">
        <f t="shared" si="1"/>
        <v>0.21478935865784579</v>
      </c>
      <c r="F24" s="11">
        <f t="shared" si="2"/>
        <v>0.15538935865784578</v>
      </c>
      <c r="G24" s="11" t="str">
        <f>VLOOKUP(A24,'10-year CDS Spreads'!$A$2:$D$157,4)</f>
        <v>NA</v>
      </c>
      <c r="H24" s="11" t="str">
        <f t="shared" si="3"/>
        <v>NA</v>
      </c>
      <c r="I24" s="14" t="str">
        <f t="shared" si="4"/>
        <v>NA</v>
      </c>
      <c r="J24" s="4" t="s">
        <v>124</v>
      </c>
      <c r="K24" s="173">
        <f t="shared" si="6"/>
        <v>268.91972477064223</v>
      </c>
    </row>
    <row r="25" spans="1:11" ht="16">
      <c r="A25" s="108" t="str">
        <f>'Sovereign Ratings (Moody''s,S&amp;P)'!A19</f>
        <v>Benin</v>
      </c>
      <c r="B25" s="103" t="str">
        <f>VLOOKUP(A25,'Regional lookup table'!$A$3:$B$161,2)</f>
        <v>Africa</v>
      </c>
      <c r="C25" s="9" t="str">
        <f>'Sovereign Ratings (Moody''s,S&amp;P)'!C19</f>
        <v>B1</v>
      </c>
      <c r="D25" s="21">
        <f t="shared" si="0"/>
        <v>5.5078211009174309E-2</v>
      </c>
      <c r="E25" s="21">
        <f t="shared" si="1"/>
        <v>0.13709467932892289</v>
      </c>
      <c r="F25" s="11">
        <f t="shared" si="2"/>
        <v>7.7694679328922892E-2</v>
      </c>
      <c r="G25" s="11" t="str">
        <f>VLOOKUP(A25,'10-year CDS Spreads'!$A$2:$D$157,4)</f>
        <v>NA</v>
      </c>
      <c r="H25" s="11" t="str">
        <f t="shared" si="3"/>
        <v>NA</v>
      </c>
      <c r="I25" s="14" t="str">
        <f t="shared" si="4"/>
        <v>NA</v>
      </c>
      <c r="J25" s="4" t="s">
        <v>137</v>
      </c>
      <c r="K25" s="173">
        <f t="shared" si="6"/>
        <v>1750</v>
      </c>
    </row>
    <row r="26" spans="1:11" ht="16">
      <c r="A26" s="108" t="str">
        <f>'Sovereign Ratings (Moody''s,S&amp;P)'!A20</f>
        <v>Bermuda</v>
      </c>
      <c r="B26" s="103" t="str">
        <f>VLOOKUP(A26,'Regional lookup table'!$A$3:$B$161,2)</f>
        <v>Caribbean</v>
      </c>
      <c r="C26" s="9" t="str">
        <f>'Sovereign Ratings (Moody''s,S&amp;P)'!C20</f>
        <v>A2</v>
      </c>
      <c r="D26" s="21">
        <f t="shared" si="0"/>
        <v>1.0354128440366973E-2</v>
      </c>
      <c r="E26" s="21">
        <f t="shared" si="1"/>
        <v>7.4005788281155213E-2</v>
      </c>
      <c r="F26" s="11">
        <f t="shared" si="2"/>
        <v>1.4605788281155217E-2</v>
      </c>
      <c r="G26" s="11" t="str">
        <f>VLOOKUP(A26,'10-year CDS Spreads'!$A$2:$D$157,4)</f>
        <v>NA</v>
      </c>
      <c r="H26" s="11" t="str">
        <f t="shared" si="3"/>
        <v>NA</v>
      </c>
      <c r="I26" s="14" t="str">
        <f t="shared" si="4"/>
        <v>NA</v>
      </c>
      <c r="J26" s="4" t="s">
        <v>346</v>
      </c>
      <c r="K26" s="173">
        <f t="shared" si="6"/>
        <v>1468.2729357798166</v>
      </c>
    </row>
    <row r="27" spans="1:11" ht="16">
      <c r="A27" s="108" t="str">
        <f>'Sovereign Ratings (Moody''s,S&amp;P)'!A21</f>
        <v>Bolivia</v>
      </c>
      <c r="B27" s="103" t="str">
        <f>VLOOKUP(A27,'Regional lookup table'!$A$3:$B$161,2)</f>
        <v>Central and South America</v>
      </c>
      <c r="C27" s="9" t="str">
        <f>'Sovereign Ratings (Moody''s,S&amp;P)'!C21</f>
        <v>B2</v>
      </c>
      <c r="D27" s="21">
        <f t="shared" si="0"/>
        <v>6.7301834862385335E-2</v>
      </c>
      <c r="E27" s="21">
        <f t="shared" si="1"/>
        <v>0.15433762382750893</v>
      </c>
      <c r="F27" s="11">
        <f t="shared" si="2"/>
        <v>9.4937623827508935E-2</v>
      </c>
      <c r="G27" s="11" t="str">
        <f>VLOOKUP(A27,'10-year CDS Spreads'!$A$2:$D$157,4)</f>
        <v>NA</v>
      </c>
      <c r="H27" s="11" t="str">
        <f t="shared" si="3"/>
        <v>NA</v>
      </c>
      <c r="I27" s="14" t="str">
        <f t="shared" si="4"/>
        <v>NA</v>
      </c>
      <c r="J27" s="4" t="str">
        <f>B207</f>
        <v>Caa1</v>
      </c>
      <c r="K27" s="173">
        <f t="shared" si="6"/>
        <v>917.49082568807341</v>
      </c>
    </row>
    <row r="28" spans="1:11" ht="16">
      <c r="A28" s="108" t="str">
        <f>'Sovereign Ratings (Moody''s,S&amp;P)'!A22</f>
        <v>Bosnia and Herzegovina</v>
      </c>
      <c r="B28" s="103" t="str">
        <f>VLOOKUP(A28,'Regional lookup table'!$A$3:$B$161,2)</f>
        <v>Eastern Europe &amp; Russia</v>
      </c>
      <c r="C28" s="9" t="str">
        <f>'Sovereign Ratings (Moody''s,S&amp;P)'!C22</f>
        <v>B3</v>
      </c>
      <c r="D28" s="21">
        <f t="shared" si="0"/>
        <v>7.9525458715596339E-2</v>
      </c>
      <c r="E28" s="21">
        <f t="shared" si="1"/>
        <v>0.17158056832609495</v>
      </c>
      <c r="F28" s="11">
        <f t="shared" si="2"/>
        <v>0.11218056832609494</v>
      </c>
      <c r="G28" s="11" t="str">
        <f>VLOOKUP(A28,'10-year CDS Spreads'!$A$2:$D$157,4)</f>
        <v>NA</v>
      </c>
      <c r="H28" s="11" t="str">
        <f t="shared" si="3"/>
        <v>NA</v>
      </c>
      <c r="I28" s="14" t="str">
        <f t="shared" si="4"/>
        <v>NA</v>
      </c>
      <c r="J28" s="4" t="str">
        <f>B208</f>
        <v>Caa2</v>
      </c>
      <c r="K28" s="173">
        <f t="shared" si="6"/>
        <v>1101.5642201834862</v>
      </c>
    </row>
    <row r="29" spans="1:11" ht="16">
      <c r="A29" s="108" t="str">
        <f>'Sovereign Ratings (Moody''s,S&amp;P)'!A23</f>
        <v>Botswana</v>
      </c>
      <c r="B29" s="103" t="str">
        <f>VLOOKUP(A29,'Regional lookup table'!$A$3:$B$161,2)</f>
        <v>Africa</v>
      </c>
      <c r="C29" s="9" t="str">
        <f>'Sovereign Ratings (Moody''s,S&amp;P)'!C23</f>
        <v>A3</v>
      </c>
      <c r="D29" s="21">
        <f t="shared" si="0"/>
        <v>1.4668348623853212E-2</v>
      </c>
      <c r="E29" s="21">
        <f t="shared" si="1"/>
        <v>8.009153339830323E-2</v>
      </c>
      <c r="F29" s="11">
        <f t="shared" si="2"/>
        <v>2.0691533398303225E-2</v>
      </c>
      <c r="G29" s="11" t="str">
        <f>VLOOKUP(A29,'10-year CDS Spreads'!$A$2:$D$157,4)</f>
        <v>NA</v>
      </c>
      <c r="H29" s="11" t="str">
        <f t="shared" si="3"/>
        <v>NA</v>
      </c>
      <c r="I29" s="14" t="str">
        <f t="shared" si="4"/>
        <v>NA</v>
      </c>
      <c r="J29" s="4" t="str">
        <f>B209</f>
        <v>Caa3</v>
      </c>
      <c r="K29" s="173">
        <f t="shared" si="6"/>
        <v>1223.8004587155965</v>
      </c>
    </row>
    <row r="30" spans="1:11" ht="16">
      <c r="A30" s="108" t="str">
        <f>'Sovereign Ratings (Moody''s,S&amp;P)'!A24</f>
        <v>Brazil</v>
      </c>
      <c r="B30" s="103" t="str">
        <f>VLOOKUP(A30,'Regional lookup table'!$A$3:$B$161,2)</f>
        <v>Central and South America</v>
      </c>
      <c r="C30" s="9" t="str">
        <f>'Sovereign Ratings (Moody''s,S&amp;P)'!C24</f>
        <v>Ba2</v>
      </c>
      <c r="D30" s="21">
        <f t="shared" si="0"/>
        <v>3.6814678899082569E-2</v>
      </c>
      <c r="E30" s="21">
        <f t="shared" si="1"/>
        <v>0.11133169166632967</v>
      </c>
      <c r="F30" s="11">
        <f t="shared" si="2"/>
        <v>5.193169166632966E-2</v>
      </c>
      <c r="G30" s="11">
        <f>VLOOKUP(A30,'10-year CDS Spreads'!$A$2:$D$157,4)</f>
        <v>3.2000000000000001E-2</v>
      </c>
      <c r="H30" s="11">
        <f t="shared" si="3"/>
        <v>0.1045399871740824</v>
      </c>
      <c r="I30" s="14">
        <f t="shared" si="4"/>
        <v>4.5139987174082401E-2</v>
      </c>
      <c r="J30" s="4" t="s">
        <v>277</v>
      </c>
      <c r="K30" s="174" t="str">
        <f>C210</f>
        <v>NA</v>
      </c>
    </row>
    <row r="31" spans="1:11" ht="16">
      <c r="A31" s="108" t="str">
        <f>'Sovereign Ratings (Moody''s,S&amp;P)'!A25</f>
        <v>Bulgaria</v>
      </c>
      <c r="B31" s="103" t="str">
        <f>VLOOKUP(A31,'Regional lookup table'!$A$3:$B$161,2)</f>
        <v>Eastern Europe &amp; Russia</v>
      </c>
      <c r="C31" s="9" t="str">
        <f>'Sovereign Ratings (Moody''s,S&amp;P)'!C25</f>
        <v>Baa1</v>
      </c>
      <c r="D31" s="21">
        <f t="shared" si="0"/>
        <v>1.9557798165137613E-2</v>
      </c>
      <c r="E31" s="21">
        <f t="shared" si="1"/>
        <v>8.6988711197737628E-2</v>
      </c>
      <c r="F31" s="11">
        <f t="shared" si="2"/>
        <v>2.758871119773763E-2</v>
      </c>
      <c r="G31" s="11">
        <f>VLOOKUP(A31,'10-year CDS Spreads'!$A$2:$D$157,4)</f>
        <v>1.18E-2</v>
      </c>
      <c r="H31" s="11">
        <f t="shared" si="3"/>
        <v>7.6045370270442891E-2</v>
      </c>
      <c r="I31" s="14">
        <f t="shared" si="4"/>
        <v>1.6645370270442883E-2</v>
      </c>
    </row>
    <row r="32" spans="1:11" ht="16">
      <c r="A32" s="108" t="str">
        <f>'Sovereign Ratings (Moody''s,S&amp;P)'!A26</f>
        <v>Burkina Faso</v>
      </c>
      <c r="B32" s="103" t="str">
        <f>VLOOKUP(A32,'Regional lookup table'!$A$3:$B$161,2)</f>
        <v>Africa</v>
      </c>
      <c r="C32" s="9" t="str">
        <f>'Sovereign Ratings (Moody''s,S&amp;P)'!C26</f>
        <v>Caa1</v>
      </c>
      <c r="D32" s="21">
        <f t="shared" si="0"/>
        <v>9.1749082568807344E-2</v>
      </c>
      <c r="E32" s="21">
        <f t="shared" si="1"/>
        <v>0.18882351282468096</v>
      </c>
      <c r="F32" s="11">
        <f t="shared" si="2"/>
        <v>0.12942351282468095</v>
      </c>
      <c r="G32" s="11" t="str">
        <f>VLOOKUP(A32,'10-year CDS Spreads'!$A$2:$D$157,4)</f>
        <v>NA</v>
      </c>
      <c r="H32" s="11" t="str">
        <f t="shared" si="3"/>
        <v>NA</v>
      </c>
      <c r="I32" s="14" t="str">
        <f t="shared" si="4"/>
        <v>NA</v>
      </c>
    </row>
    <row r="33" spans="1:9" ht="16">
      <c r="A33" s="108" t="str">
        <f>'Sovereign Ratings (Moody''s,S&amp;P)'!A27</f>
        <v>Cambodia</v>
      </c>
      <c r="B33" s="103" t="str">
        <f>VLOOKUP(A33,'Regional lookup table'!$A$3:$B$161,2)</f>
        <v>Asia</v>
      </c>
      <c r="C33" s="9" t="str">
        <f>'Sovereign Ratings (Moody''s,S&amp;P)'!C27</f>
        <v>B2</v>
      </c>
      <c r="D33" s="21">
        <f t="shared" si="0"/>
        <v>6.7301834862385335E-2</v>
      </c>
      <c r="E33" s="21">
        <f t="shared" si="1"/>
        <v>0.15433762382750893</v>
      </c>
      <c r="F33" s="11">
        <f t="shared" si="2"/>
        <v>9.4937623827508935E-2</v>
      </c>
      <c r="G33" s="11" t="str">
        <f>VLOOKUP(A33,'10-year CDS Spreads'!$A$2:$D$157,4)</f>
        <v>NA</v>
      </c>
      <c r="H33" s="11" t="str">
        <f t="shared" si="3"/>
        <v>NA</v>
      </c>
      <c r="I33" s="14" t="str">
        <f t="shared" si="4"/>
        <v>NA</v>
      </c>
    </row>
    <row r="34" spans="1:9" ht="16">
      <c r="A34" s="108" t="str">
        <f>'Sovereign Ratings (Moody''s,S&amp;P)'!A28</f>
        <v>Cameroon</v>
      </c>
      <c r="B34" s="103" t="str">
        <f>VLOOKUP(A34,'Regional lookup table'!$A$3:$B$161,2)</f>
        <v>Africa</v>
      </c>
      <c r="C34" s="9" t="str">
        <f>'Sovereign Ratings (Moody''s,S&amp;P)'!C28</f>
        <v>B2</v>
      </c>
      <c r="D34" s="21">
        <f t="shared" si="0"/>
        <v>6.7301834862385335E-2</v>
      </c>
      <c r="E34" s="21">
        <f t="shared" si="1"/>
        <v>0.15433762382750893</v>
      </c>
      <c r="F34" s="11">
        <f t="shared" si="2"/>
        <v>9.4937623827508935E-2</v>
      </c>
      <c r="G34" s="11">
        <f>VLOOKUP(A34,'10-year CDS Spreads'!$A$2:$D$157,4)</f>
        <v>6.3600000000000004E-2</v>
      </c>
      <c r="H34" s="11">
        <f t="shared" si="3"/>
        <v>0.14911572450848878</v>
      </c>
      <c r="I34" s="14">
        <f t="shared" si="4"/>
        <v>8.9715724508488776E-2</v>
      </c>
    </row>
    <row r="35" spans="1:9" ht="16">
      <c r="A35" s="108" t="str">
        <f>'Sovereign Ratings (Moody''s,S&amp;P)'!A29</f>
        <v>Canada</v>
      </c>
      <c r="B35" s="103" t="str">
        <f>VLOOKUP(A35,'Regional lookup table'!$A$3:$B$161,2)</f>
        <v>North America</v>
      </c>
      <c r="C35" s="9" t="str">
        <f>'Sovereign Ratings (Moody''s,S&amp;P)'!C29</f>
        <v>Aaa</v>
      </c>
      <c r="D35" s="21">
        <f t="shared" si="0"/>
        <v>0</v>
      </c>
      <c r="E35" s="21">
        <f t="shared" si="1"/>
        <v>5.9400000000000001E-2</v>
      </c>
      <c r="F35" s="11">
        <f t="shared" si="2"/>
        <v>0</v>
      </c>
      <c r="G35" s="11">
        <f>VLOOKUP(A35,'10-year CDS Spreads'!$A$2:$D$157,4)</f>
        <v>3.9999999999999975E-4</v>
      </c>
      <c r="H35" s="11">
        <f t="shared" si="3"/>
        <v>5.9964249839676034E-2</v>
      </c>
      <c r="I35" s="14">
        <f t="shared" si="4"/>
        <v>5.6424983967602962E-4</v>
      </c>
    </row>
    <row r="36" spans="1:9" ht="16">
      <c r="A36" s="108" t="str">
        <f>'Sovereign Ratings (Moody''s,S&amp;P)'!A30</f>
        <v>Cape Verde</v>
      </c>
      <c r="B36" s="103" t="str">
        <f>VLOOKUP(A36,'Regional lookup table'!$A$3:$B$161,2)</f>
        <v>Africa</v>
      </c>
      <c r="C36" s="9" t="str">
        <f>'Sovereign Ratings (Moody''s,S&amp;P)'!C30</f>
        <v>B3</v>
      </c>
      <c r="D36" s="21">
        <f t="shared" si="0"/>
        <v>7.9525458715596339E-2</v>
      </c>
      <c r="E36" s="21">
        <f t="shared" si="1"/>
        <v>0.17158056832609495</v>
      </c>
      <c r="F36" s="11">
        <f t="shared" si="2"/>
        <v>0.11218056832609494</v>
      </c>
      <c r="G36" s="11" t="str">
        <f>VLOOKUP(A36,'10-year CDS Spreads'!$A$2:$D$157,4)</f>
        <v>NA</v>
      </c>
      <c r="H36" s="11" t="str">
        <f t="shared" si="3"/>
        <v>NA</v>
      </c>
      <c r="I36" s="14" t="str">
        <f t="shared" si="4"/>
        <v>NA</v>
      </c>
    </row>
    <row r="37" spans="1:9" ht="16">
      <c r="A37" s="108" t="str">
        <f>'Sovereign Ratings (Moody''s,S&amp;P)'!A31</f>
        <v>Cayman Islands</v>
      </c>
      <c r="B37" s="103" t="str">
        <f>VLOOKUP(A37,'Regional lookup table'!$A$3:$B$161,2)</f>
        <v>Caribbean</v>
      </c>
      <c r="C37" s="9" t="str">
        <f>'Sovereign Ratings (Moody''s,S&amp;P)'!C31</f>
        <v>Aa3</v>
      </c>
      <c r="D37" s="21">
        <f t="shared" si="0"/>
        <v>7.3341743119266058E-3</v>
      </c>
      <c r="E37" s="21">
        <f t="shared" si="1"/>
        <v>6.9745766699151612E-2</v>
      </c>
      <c r="F37" s="11">
        <f t="shared" si="2"/>
        <v>1.0345766699151613E-2</v>
      </c>
      <c r="G37" s="11" t="str">
        <f>VLOOKUP(A37,'10-year CDS Spreads'!$A$2:$D$157,4)</f>
        <v>NA</v>
      </c>
      <c r="H37" s="11" t="str">
        <f t="shared" si="3"/>
        <v>NA</v>
      </c>
      <c r="I37" s="14" t="str">
        <f t="shared" si="4"/>
        <v>NA</v>
      </c>
    </row>
    <row r="38" spans="1:9" ht="16">
      <c r="A38" s="108" t="str">
        <f>'Sovereign Ratings (Moody''s,S&amp;P)'!A32</f>
        <v>Chile</v>
      </c>
      <c r="B38" s="103" t="str">
        <f>VLOOKUP(A38,'Regional lookup table'!$A$3:$B$161,2)</f>
        <v>Central and South America</v>
      </c>
      <c r="C38" s="9" t="str">
        <f>'Sovereign Ratings (Moody''s,S&amp;P)'!C32</f>
        <v>A2</v>
      </c>
      <c r="D38" s="21">
        <f t="shared" si="0"/>
        <v>1.0354128440366973E-2</v>
      </c>
      <c r="E38" s="21">
        <f t="shared" si="1"/>
        <v>7.4005788281155213E-2</v>
      </c>
      <c r="F38" s="11">
        <f t="shared" si="2"/>
        <v>1.4605788281155217E-2</v>
      </c>
      <c r="G38" s="11">
        <f>VLOOKUP(A38,'10-year CDS Spreads'!$A$2:$D$157,4)</f>
        <v>1.4400000000000001E-2</v>
      </c>
      <c r="H38" s="11">
        <f t="shared" si="3"/>
        <v>7.9712994228337081E-2</v>
      </c>
      <c r="I38" s="14">
        <f t="shared" si="4"/>
        <v>2.0312994228337083E-2</v>
      </c>
    </row>
    <row r="39" spans="1:9" ht="16">
      <c r="A39" s="108" t="str">
        <f>'Sovereign Ratings (Moody''s,S&amp;P)'!A33</f>
        <v>China</v>
      </c>
      <c r="B39" s="103" t="str">
        <f>VLOOKUP(A39,'Regional lookup table'!$A$3:$B$161,2)</f>
        <v>Asia</v>
      </c>
      <c r="C39" s="9" t="str">
        <f>'Sovereign Ratings (Moody''s,S&amp;P)'!C33</f>
        <v>A1</v>
      </c>
      <c r="D39" s="21">
        <f t="shared" si="0"/>
        <v>8.6284403669724778E-3</v>
      </c>
      <c r="E39" s="21">
        <f t="shared" si="1"/>
        <v>7.1571490234296015E-2</v>
      </c>
      <c r="F39" s="11">
        <f t="shared" si="2"/>
        <v>1.2171490234296015E-2</v>
      </c>
      <c r="G39" s="11">
        <f>VLOOKUP(A39,'10-year CDS Spreads'!$A$2:$D$157,4)</f>
        <v>7.9000000000000008E-3</v>
      </c>
      <c r="H39" s="11">
        <f t="shared" si="3"/>
        <v>7.0543934333601593E-2</v>
      </c>
      <c r="I39" s="14">
        <f t="shared" si="4"/>
        <v>1.1143934333601594E-2</v>
      </c>
    </row>
    <row r="40" spans="1:9" ht="16">
      <c r="A40" s="108" t="str">
        <f>'Sovereign Ratings (Moody''s,S&amp;P)'!A34</f>
        <v>Colombia</v>
      </c>
      <c r="B40" s="103" t="str">
        <f>VLOOKUP(A40,'Regional lookup table'!$A$3:$B$161,2)</f>
        <v>Central and South America</v>
      </c>
      <c r="C40" s="9" t="str">
        <f>'Sovereign Ratings (Moody''s,S&amp;P)'!C34</f>
        <v>Baa2</v>
      </c>
      <c r="D40" s="21">
        <f t="shared" si="0"/>
        <v>2.3296788990825688E-2</v>
      </c>
      <c r="E40" s="21">
        <f t="shared" si="1"/>
        <v>9.2263023632599236E-2</v>
      </c>
      <c r="F40" s="11">
        <f t="shared" si="2"/>
        <v>3.2863023632599235E-2</v>
      </c>
      <c r="G40" s="11">
        <f>VLOOKUP(A40,'10-year CDS Spreads'!$A$2:$D$157,4)</f>
        <v>3.3299999999999996E-2</v>
      </c>
      <c r="H40" s="11">
        <f t="shared" si="3"/>
        <v>0.1063737991530295</v>
      </c>
      <c r="I40" s="14">
        <f t="shared" si="4"/>
        <v>4.6973799153029488E-2</v>
      </c>
    </row>
    <row r="41" spans="1:9" ht="16">
      <c r="A41" s="108" t="str">
        <f>'Sovereign Ratings (Moody''s,S&amp;P)'!A35</f>
        <v>Congo (Democratic Republic of)</v>
      </c>
      <c r="B41" s="103" t="str">
        <f>VLOOKUP(A41,'Regional lookup table'!$A$3:$B$161,2)</f>
        <v>Africa</v>
      </c>
      <c r="C41" s="9" t="str">
        <f>'Sovereign Ratings (Moody''s,S&amp;P)'!C35</f>
        <v>B3</v>
      </c>
      <c r="D41" s="21">
        <f t="shared" si="0"/>
        <v>7.9525458715596339E-2</v>
      </c>
      <c r="E41" s="21">
        <f t="shared" si="1"/>
        <v>0.17158056832609495</v>
      </c>
      <c r="F41" s="11">
        <f t="shared" si="2"/>
        <v>0.11218056832609494</v>
      </c>
      <c r="G41" s="11" t="str">
        <f>VLOOKUP(A41,'10-year CDS Spreads'!$A$2:$D$157,4)</f>
        <v>NA</v>
      </c>
      <c r="H41" s="11" t="str">
        <f t="shared" si="3"/>
        <v>NA</v>
      </c>
      <c r="I41" s="14" t="str">
        <f t="shared" si="4"/>
        <v>NA</v>
      </c>
    </row>
    <row r="42" spans="1:9" ht="16">
      <c r="A42" s="108" t="str">
        <f>'Sovereign Ratings (Moody''s,S&amp;P)'!A36</f>
        <v>Congo (Republic of)</v>
      </c>
      <c r="B42" s="103" t="str">
        <f>VLOOKUP(A42,'Regional lookup table'!$A$3:$B$161,2)</f>
        <v>Africa</v>
      </c>
      <c r="C42" s="9" t="str">
        <f>'Sovereign Ratings (Moody''s,S&amp;P)'!C36</f>
        <v>Caa2</v>
      </c>
      <c r="D42" s="21">
        <f t="shared" si="0"/>
        <v>0.11015642201834862</v>
      </c>
      <c r="E42" s="21">
        <f t="shared" si="1"/>
        <v>0.21478935865784579</v>
      </c>
      <c r="F42" s="11">
        <f t="shared" si="2"/>
        <v>0.15538935865784578</v>
      </c>
      <c r="G42" s="11" t="str">
        <f>VLOOKUP(A42,'10-year CDS Spreads'!$A$2:$D$157,4)</f>
        <v>NA</v>
      </c>
      <c r="H42" s="11" t="str">
        <f t="shared" si="3"/>
        <v>NA</v>
      </c>
      <c r="I42" s="14" t="str">
        <f t="shared" si="4"/>
        <v>NA</v>
      </c>
    </row>
    <row r="43" spans="1:9" ht="16">
      <c r="A43" s="108" t="str">
        <f>'Sovereign Ratings (Moody''s,S&amp;P)'!A37</f>
        <v>Cook Islands</v>
      </c>
      <c r="B43" s="103" t="str">
        <f>VLOOKUP(A43,'Regional lookup table'!$A$3:$B$161,2)</f>
        <v>Australia &amp; New Zealand</v>
      </c>
      <c r="C43" s="9" t="str">
        <f>'Sovereign Ratings (Moody''s,S&amp;P)'!C37</f>
        <v>B1</v>
      </c>
      <c r="D43" s="21">
        <f t="shared" si="0"/>
        <v>5.5078211009174309E-2</v>
      </c>
      <c r="E43" s="21">
        <f t="shared" si="1"/>
        <v>0.13709467932892289</v>
      </c>
      <c r="F43" s="11">
        <f t="shared" si="2"/>
        <v>7.7694679328922892E-2</v>
      </c>
      <c r="G43" s="11" t="str">
        <f>VLOOKUP(A43,'10-year CDS Spreads'!$A$2:$D$157,4)</f>
        <v>NA</v>
      </c>
      <c r="H43" s="11" t="str">
        <f t="shared" si="3"/>
        <v>NA</v>
      </c>
      <c r="I43" s="14" t="str">
        <f t="shared" si="4"/>
        <v>NA</v>
      </c>
    </row>
    <row r="44" spans="1:9" ht="16">
      <c r="A44" s="108" t="str">
        <f>'Sovereign Ratings (Moody''s,S&amp;P)'!A38</f>
        <v>Costa Rica</v>
      </c>
      <c r="B44" s="103" t="str">
        <f>VLOOKUP(A44,'Regional lookup table'!$A$3:$B$161,2)</f>
        <v>Central and South America</v>
      </c>
      <c r="C44" s="9" t="str">
        <f>'Sovereign Ratings (Moody''s,S&amp;P)'!C38</f>
        <v>B2</v>
      </c>
      <c r="D44" s="21">
        <f t="shared" si="0"/>
        <v>6.7301834862385335E-2</v>
      </c>
      <c r="E44" s="21">
        <f t="shared" si="1"/>
        <v>0.15433762382750893</v>
      </c>
      <c r="F44" s="11">
        <f t="shared" si="2"/>
        <v>9.4937623827508935E-2</v>
      </c>
      <c r="G44" s="11">
        <f>VLOOKUP(A44,'10-year CDS Spreads'!$A$2:$D$157,4)</f>
        <v>4.0299999999999996E-2</v>
      </c>
      <c r="H44" s="11">
        <f t="shared" si="3"/>
        <v>0.11624817134736001</v>
      </c>
      <c r="I44" s="14">
        <f t="shared" si="4"/>
        <v>5.6848171347360019E-2</v>
      </c>
    </row>
    <row r="45" spans="1:9" ht="16">
      <c r="A45" s="108" t="str">
        <f>'Sovereign Ratings (Moody''s,S&amp;P)'!A39</f>
        <v>Côte d'Ivoire</v>
      </c>
      <c r="B45" s="103" t="str">
        <f>VLOOKUP(A45,'Regional lookup table'!$A$3:$B$161,2)</f>
        <v>Africa</v>
      </c>
      <c r="C45" s="9" t="str">
        <f>'Sovereign Ratings (Moody''s,S&amp;P)'!C39</f>
        <v>Ba3</v>
      </c>
      <c r="D45" s="21">
        <f t="shared" si="0"/>
        <v>4.4005045871559637E-2</v>
      </c>
      <c r="E45" s="21">
        <f t="shared" si="1"/>
        <v>0.12147460019490969</v>
      </c>
      <c r="F45" s="11">
        <f t="shared" si="2"/>
        <v>6.2074600194909679E-2</v>
      </c>
      <c r="G45" s="11" t="str">
        <f>VLOOKUP(A45,'10-year CDS Spreads'!$A$2:$D$157,4)</f>
        <v>NA</v>
      </c>
      <c r="H45" s="11" t="str">
        <f t="shared" si="3"/>
        <v>NA</v>
      </c>
      <c r="I45" s="14" t="str">
        <f t="shared" si="4"/>
        <v>NA</v>
      </c>
    </row>
    <row r="46" spans="1:9" ht="16">
      <c r="A46" s="108" t="str">
        <f>'Sovereign Ratings (Moody''s,S&amp;P)'!A40</f>
        <v>Croatia</v>
      </c>
      <c r="B46" s="103" t="str">
        <f>VLOOKUP(A46,'Regional lookup table'!$A$3:$B$161,2)</f>
        <v>Eastern Europe &amp; Russia</v>
      </c>
      <c r="C46" s="9" t="str">
        <f>'Sovereign Ratings (Moody''s,S&amp;P)'!C40</f>
        <v>Baa2</v>
      </c>
      <c r="D46" s="21">
        <f t="shared" si="0"/>
        <v>2.3296788990825688E-2</v>
      </c>
      <c r="E46" s="21">
        <f t="shared" si="1"/>
        <v>9.2263023632599236E-2</v>
      </c>
      <c r="F46" s="11">
        <f t="shared" si="2"/>
        <v>3.2863023632599235E-2</v>
      </c>
      <c r="G46" s="11">
        <f>VLOOKUP(A46,'10-year CDS Spreads'!$A$2:$D$157,4)</f>
        <v>1.0200000000000001E-2</v>
      </c>
      <c r="H46" s="11">
        <f t="shared" si="3"/>
        <v>7.378837091173876E-2</v>
      </c>
      <c r="I46" s="14">
        <f t="shared" si="4"/>
        <v>1.4388370911738765E-2</v>
      </c>
    </row>
    <row r="47" spans="1:9" ht="16">
      <c r="A47" s="108" t="str">
        <f>'Sovereign Ratings (Moody''s,S&amp;P)'!A41</f>
        <v>Cuba</v>
      </c>
      <c r="B47" s="103" t="str">
        <f>VLOOKUP(A47,'Regional lookup table'!$A$3:$B$161,2)</f>
        <v>Caribbean</v>
      </c>
      <c r="C47" s="9" t="str">
        <f>'Sovereign Ratings (Moody''s,S&amp;P)'!C41</f>
        <v>Ca</v>
      </c>
      <c r="D47" s="21">
        <f t="shared" si="0"/>
        <v>0.14682729357798166</v>
      </c>
      <c r="E47" s="21">
        <f t="shared" si="1"/>
        <v>0.26651819215360384</v>
      </c>
      <c r="F47" s="11">
        <f t="shared" si="2"/>
        <v>0.20711819215360386</v>
      </c>
      <c r="G47" s="11" t="str">
        <f>VLOOKUP(A47,'10-year CDS Spreads'!$A$2:$D$157,4)</f>
        <v>NA</v>
      </c>
      <c r="H47" s="11" t="str">
        <f t="shared" si="3"/>
        <v>NA</v>
      </c>
      <c r="I47" s="14" t="str">
        <f t="shared" si="4"/>
        <v>NA</v>
      </c>
    </row>
    <row r="48" spans="1:9" ht="16">
      <c r="A48" s="108" t="str">
        <f>'Sovereign Ratings (Moody''s,S&amp;P)'!A42</f>
        <v>Curacao</v>
      </c>
      <c r="B48" s="103" t="str">
        <f>VLOOKUP(A48,'Regional lookup table'!$A$3:$B$161,2)</f>
        <v>Caribbean</v>
      </c>
      <c r="C48" s="9" t="str">
        <f>'Sovereign Ratings (Moody''s,S&amp;P)'!C42</f>
        <v>Baa2</v>
      </c>
      <c r="D48" s="21">
        <f t="shared" si="0"/>
        <v>2.3296788990825688E-2</v>
      </c>
      <c r="E48" s="21">
        <f t="shared" si="1"/>
        <v>9.2263023632599236E-2</v>
      </c>
      <c r="F48" s="11">
        <f t="shared" si="2"/>
        <v>3.2863023632599235E-2</v>
      </c>
      <c r="G48" s="11" t="str">
        <f>VLOOKUP(A48,'10-year CDS Spreads'!$A$2:$D$157,4)</f>
        <v>NA</v>
      </c>
      <c r="H48" s="11" t="str">
        <f t="shared" si="3"/>
        <v>NA</v>
      </c>
      <c r="I48" s="14" t="str">
        <f t="shared" si="4"/>
        <v>NA</v>
      </c>
    </row>
    <row r="49" spans="1:9" ht="16">
      <c r="A49" s="108" t="str">
        <f>'Sovereign Ratings (Moody''s,S&amp;P)'!A43</f>
        <v>Cyprus</v>
      </c>
      <c r="B49" s="103" t="str">
        <f>VLOOKUP(A49,'Regional lookup table'!$A$3:$B$161,2)</f>
        <v>Western Europe</v>
      </c>
      <c r="C49" s="9" t="str">
        <f>'Sovereign Ratings (Moody''s,S&amp;P)'!C43</f>
        <v>Ba1</v>
      </c>
      <c r="D49" s="21">
        <f t="shared" si="0"/>
        <v>3.0630963302752296E-2</v>
      </c>
      <c r="E49" s="21">
        <f t="shared" si="1"/>
        <v>0.10260879033175085</v>
      </c>
      <c r="F49" s="11">
        <f t="shared" si="2"/>
        <v>4.3208790331750853E-2</v>
      </c>
      <c r="G49" s="11">
        <f>VLOOKUP(A49,'10-year CDS Spreads'!$A$2:$D$157,4)</f>
        <v>1.01E-2</v>
      </c>
      <c r="H49" s="11">
        <f t="shared" si="3"/>
        <v>7.3647308451819757E-2</v>
      </c>
      <c r="I49" s="14">
        <f t="shared" si="4"/>
        <v>1.4247308451819757E-2</v>
      </c>
    </row>
    <row r="50" spans="1:9" ht="16">
      <c r="A50" s="108" t="str">
        <f>'Sovereign Ratings (Moody''s,S&amp;P)'!A44</f>
        <v>Czech Republic</v>
      </c>
      <c r="B50" s="103" t="str">
        <f>VLOOKUP(A50,'Regional lookup table'!$A$3:$B$161,2)</f>
        <v>Eastern Europe &amp; Russia</v>
      </c>
      <c r="C50" s="9" t="str">
        <f>'Sovereign Ratings (Moody''s,S&amp;P)'!C44</f>
        <v>Aa3</v>
      </c>
      <c r="D50" s="21">
        <f t="shared" si="0"/>
        <v>7.3341743119266058E-3</v>
      </c>
      <c r="E50" s="21">
        <f t="shared" si="1"/>
        <v>6.9745766699151612E-2</v>
      </c>
      <c r="F50" s="11">
        <f t="shared" si="2"/>
        <v>1.0345766699151613E-2</v>
      </c>
      <c r="G50" s="11">
        <f>VLOOKUP(A50,'10-year CDS Spreads'!$A$2:$D$157,4)</f>
        <v>2.9999999999999996E-3</v>
      </c>
      <c r="H50" s="11">
        <f t="shared" si="3"/>
        <v>6.3631873797570224E-2</v>
      </c>
      <c r="I50" s="14">
        <f t="shared" si="4"/>
        <v>4.2318737975702249E-3</v>
      </c>
    </row>
    <row r="51" spans="1:9" ht="16">
      <c r="A51" s="108" t="str">
        <f>'Sovereign Ratings (Moody''s,S&amp;P)'!A45</f>
        <v>Denmark</v>
      </c>
      <c r="B51" s="103" t="str">
        <f>VLOOKUP(A51,'Regional lookup table'!$A$3:$B$161,2)</f>
        <v>Western Europe</v>
      </c>
      <c r="C51" s="9" t="str">
        <f>'Sovereign Ratings (Moody''s,S&amp;P)'!C45</f>
        <v>Aaa</v>
      </c>
      <c r="D51" s="21">
        <f t="shared" si="0"/>
        <v>0</v>
      </c>
      <c r="E51" s="21">
        <f t="shared" si="1"/>
        <v>5.9400000000000001E-2</v>
      </c>
      <c r="F51" s="11">
        <f t="shared" si="2"/>
        <v>0</v>
      </c>
      <c r="G51" s="11">
        <f>VLOOKUP(A51,'10-year CDS Spreads'!$A$2:$D$157,4)</f>
        <v>0</v>
      </c>
      <c r="H51" s="11">
        <f t="shared" si="3"/>
        <v>5.9400000000000001E-2</v>
      </c>
      <c r="I51" s="14">
        <f t="shared" si="4"/>
        <v>0</v>
      </c>
    </row>
    <row r="52" spans="1:9" ht="16">
      <c r="A52" s="108" t="str">
        <f>'Sovereign Ratings (Moody''s,S&amp;P)'!A46</f>
        <v>Dominican Republic</v>
      </c>
      <c r="B52" s="103" t="str">
        <f>VLOOKUP(A52,'Regional lookup table'!$A$3:$B$161,2)</f>
        <v>Caribbean</v>
      </c>
      <c r="C52" s="9" t="str">
        <f>'Sovereign Ratings (Moody''s,S&amp;P)'!C46</f>
        <v>Ba3</v>
      </c>
      <c r="D52" s="21">
        <f t="shared" si="0"/>
        <v>4.4005045871559637E-2</v>
      </c>
      <c r="E52" s="21">
        <f t="shared" si="1"/>
        <v>0.12147460019490969</v>
      </c>
      <c r="F52" s="11">
        <f t="shared" si="2"/>
        <v>6.2074600194909679E-2</v>
      </c>
      <c r="G52" s="11" t="str">
        <f>VLOOKUP(A52,'10-year CDS Spreads'!$A$2:$D$157,4)</f>
        <v>NA</v>
      </c>
      <c r="H52" s="11" t="str">
        <f t="shared" si="3"/>
        <v>NA</v>
      </c>
      <c r="I52" s="14" t="str">
        <f t="shared" si="4"/>
        <v>NA</v>
      </c>
    </row>
    <row r="53" spans="1:9" ht="16">
      <c r="A53" s="108" t="str">
        <f>'Sovereign Ratings (Moody''s,S&amp;P)'!A47</f>
        <v>Ecuador</v>
      </c>
      <c r="B53" s="103" t="str">
        <f>VLOOKUP(A53,'Regional lookup table'!$A$3:$B$161,2)</f>
        <v>Central and South America</v>
      </c>
      <c r="C53" s="9" t="str">
        <f>'Sovereign Ratings (Moody''s,S&amp;P)'!C47</f>
        <v>Caa3</v>
      </c>
      <c r="D53" s="21">
        <f t="shared" si="0"/>
        <v>0.12238004587155965</v>
      </c>
      <c r="E53" s="21">
        <f t="shared" si="1"/>
        <v>0.23203230315643184</v>
      </c>
      <c r="F53" s="11">
        <f t="shared" si="2"/>
        <v>0.17263230315643183</v>
      </c>
      <c r="G53" s="11">
        <f>VLOOKUP(A53,'10-year CDS Spreads'!$A$2:$D$157,4)</f>
        <v>0.1661</v>
      </c>
      <c r="H53" s="11">
        <f t="shared" si="3"/>
        <v>0.29370474592547147</v>
      </c>
      <c r="I53" s="14">
        <f t="shared" si="4"/>
        <v>0.23430474592547146</v>
      </c>
    </row>
    <row r="54" spans="1:9" ht="16">
      <c r="A54" s="108" t="str">
        <f>'Sovereign Ratings (Moody''s,S&amp;P)'!A48</f>
        <v>Egypt</v>
      </c>
      <c r="B54" s="103" t="str">
        <f>VLOOKUP(A54,'Regional lookup table'!$A$3:$B$161,2)</f>
        <v>Africa</v>
      </c>
      <c r="C54" s="9" t="str">
        <f>'Sovereign Ratings (Moody''s,S&amp;P)'!C48</f>
        <v>B2</v>
      </c>
      <c r="D54" s="21">
        <f t="shared" si="0"/>
        <v>6.7301834862385335E-2</v>
      </c>
      <c r="E54" s="21">
        <f t="shared" si="1"/>
        <v>0.15433762382750893</v>
      </c>
      <c r="F54" s="11">
        <f t="shared" si="2"/>
        <v>9.4937623827508935E-2</v>
      </c>
      <c r="G54" s="11">
        <f>VLOOKUP(A54,'10-year CDS Spreads'!$A$2:$D$157,4)</f>
        <v>7.690000000000001E-2</v>
      </c>
      <c r="H54" s="11">
        <f t="shared" si="3"/>
        <v>0.16787703167771678</v>
      </c>
      <c r="I54" s="14">
        <f t="shared" si="4"/>
        <v>0.10847703167771679</v>
      </c>
    </row>
    <row r="55" spans="1:9" ht="16">
      <c r="A55" s="108" t="str">
        <f>'Sovereign Ratings (Moody''s,S&amp;P)'!A49</f>
        <v>El Salvador</v>
      </c>
      <c r="B55" s="103" t="str">
        <f>VLOOKUP(A55,'Regional lookup table'!$A$3:$B$161,2)</f>
        <v>Central and South America</v>
      </c>
      <c r="C55" s="9" t="str">
        <f>'Sovereign Ratings (Moody''s,S&amp;P)'!C49</f>
        <v>Caa3</v>
      </c>
      <c r="D55" s="21">
        <f t="shared" si="0"/>
        <v>0.12238004587155965</v>
      </c>
      <c r="E55" s="21">
        <f t="shared" si="1"/>
        <v>0.23203230315643184</v>
      </c>
      <c r="F55" s="11">
        <f t="shared" si="2"/>
        <v>0.17263230315643183</v>
      </c>
      <c r="G55" s="11">
        <f>VLOOKUP(A55,'10-year CDS Spreads'!$A$2:$D$157,4)</f>
        <v>0.27140000000000003</v>
      </c>
      <c r="H55" s="11">
        <f t="shared" si="3"/>
        <v>0.44224351622018643</v>
      </c>
      <c r="I55" s="14">
        <f t="shared" si="4"/>
        <v>0.38284351622018642</v>
      </c>
    </row>
    <row r="56" spans="1:9" ht="16">
      <c r="A56" s="108" t="str">
        <f>'Sovereign Ratings (Moody''s,S&amp;P)'!A50</f>
        <v>Estonia</v>
      </c>
      <c r="B56" s="103" t="str">
        <f>VLOOKUP(A56,'Regional lookup table'!$A$3:$B$161,2)</f>
        <v>Eastern Europe &amp; Russia</v>
      </c>
      <c r="C56" s="9" t="str">
        <f>'Sovereign Ratings (Moody''s,S&amp;P)'!C50</f>
        <v>A1</v>
      </c>
      <c r="D56" s="21">
        <f t="shared" si="0"/>
        <v>8.6284403669724778E-3</v>
      </c>
      <c r="E56" s="21">
        <f t="shared" si="1"/>
        <v>7.1571490234296015E-2</v>
      </c>
      <c r="F56" s="11">
        <f t="shared" si="2"/>
        <v>1.2171490234296015E-2</v>
      </c>
      <c r="G56" s="11">
        <f>VLOOKUP(A56,'10-year CDS Spreads'!$A$2:$D$157,4)</f>
        <v>1.4400000000000001E-2</v>
      </c>
      <c r="H56" s="11">
        <f t="shared" si="3"/>
        <v>7.9712994228337081E-2</v>
      </c>
      <c r="I56" s="14">
        <f t="shared" si="4"/>
        <v>2.0312994228337083E-2</v>
      </c>
    </row>
    <row r="57" spans="1:9" ht="16">
      <c r="A57" s="108" t="str">
        <f>'Sovereign Ratings (Moody''s,S&amp;P)'!A51</f>
        <v>Ethiopia</v>
      </c>
      <c r="B57" s="103" t="str">
        <f>VLOOKUP(A57,'Regional lookup table'!$A$3:$B$161,2)</f>
        <v>Africa</v>
      </c>
      <c r="C57" s="9" t="str">
        <f>'Sovereign Ratings (Moody''s,S&amp;P)'!C51</f>
        <v>Caa2</v>
      </c>
      <c r="D57" s="21">
        <f t="shared" si="0"/>
        <v>0.11015642201834862</v>
      </c>
      <c r="E57" s="21">
        <f t="shared" si="1"/>
        <v>0.21478935865784579</v>
      </c>
      <c r="F57" s="11">
        <f t="shared" si="2"/>
        <v>0.15538935865784578</v>
      </c>
      <c r="G57" s="11">
        <f>VLOOKUP(A57,'10-year CDS Spreads'!$A$2:$D$157,4)</f>
        <v>0.28010000000000002</v>
      </c>
      <c r="H57" s="11">
        <f t="shared" si="3"/>
        <v>0.45451595023314001</v>
      </c>
      <c r="I57" s="14">
        <f t="shared" si="4"/>
        <v>0.39511595023314</v>
      </c>
    </row>
    <row r="58" spans="1:9" ht="16">
      <c r="A58" s="108" t="str">
        <f>'Sovereign Ratings (Moody''s,S&amp;P)'!A52</f>
        <v>Fiji</v>
      </c>
      <c r="B58" s="103" t="str">
        <f>VLOOKUP(A58,'Regional lookup table'!$A$3:$B$161,2)</f>
        <v>Asia</v>
      </c>
      <c r="C58" s="9" t="str">
        <f>'Sovereign Ratings (Moody''s,S&amp;P)'!C52</f>
        <v>B1</v>
      </c>
      <c r="D58" s="21">
        <f t="shared" si="0"/>
        <v>5.5078211009174309E-2</v>
      </c>
      <c r="E58" s="21">
        <f t="shared" si="1"/>
        <v>0.13709467932892289</v>
      </c>
      <c r="F58" s="11">
        <f t="shared" si="2"/>
        <v>7.7694679328922892E-2</v>
      </c>
      <c r="G58" s="11" t="str">
        <f>VLOOKUP(A58,'10-year CDS Spreads'!$A$2:$D$157,4)</f>
        <v>NA</v>
      </c>
      <c r="H58" s="11" t="str">
        <f t="shared" si="3"/>
        <v>NA</v>
      </c>
      <c r="I58" s="14" t="str">
        <f t="shared" si="4"/>
        <v>NA</v>
      </c>
    </row>
    <row r="59" spans="1:9" ht="16">
      <c r="A59" s="108" t="str">
        <f>'Sovereign Ratings (Moody''s,S&amp;P)'!A53</f>
        <v>Finland</v>
      </c>
      <c r="B59" s="103" t="str">
        <f>VLOOKUP(A59,'Regional lookup table'!$A$3:$B$161,2)</f>
        <v>Western Europe</v>
      </c>
      <c r="C59" s="9" t="str">
        <f>'Sovereign Ratings (Moody''s,S&amp;P)'!C53</f>
        <v>Aa1</v>
      </c>
      <c r="D59" s="21">
        <f t="shared" si="0"/>
        <v>4.8894495412844033E-3</v>
      </c>
      <c r="E59" s="21">
        <f t="shared" si="1"/>
        <v>6.6297177799434406E-2</v>
      </c>
      <c r="F59" s="11">
        <f t="shared" si="2"/>
        <v>6.8971777994344076E-3</v>
      </c>
      <c r="G59" s="11">
        <f>VLOOKUP(A59,'10-year CDS Spreads'!$A$2:$D$157,4)</f>
        <v>1.9999999999999966E-4</v>
      </c>
      <c r="H59" s="11">
        <f t="shared" si="3"/>
        <v>5.9682124919838014E-2</v>
      </c>
      <c r="I59" s="14">
        <f t="shared" si="4"/>
        <v>2.8212491983801454E-4</v>
      </c>
    </row>
    <row r="60" spans="1:9" ht="16">
      <c r="A60" s="108" t="str">
        <f>'Sovereign Ratings (Moody''s,S&amp;P)'!A54</f>
        <v>France</v>
      </c>
      <c r="B60" s="103" t="str">
        <f>VLOOKUP(A60,'Regional lookup table'!$A$3:$B$161,2)</f>
        <v>Western Europe</v>
      </c>
      <c r="C60" s="9" t="str">
        <f>'Sovereign Ratings (Moody''s,S&amp;P)'!C54</f>
        <v>Aa2</v>
      </c>
      <c r="D60" s="21">
        <f t="shared" si="0"/>
        <v>6.0399082568807346E-3</v>
      </c>
      <c r="E60" s="21">
        <f t="shared" si="1"/>
        <v>6.792004316400721E-2</v>
      </c>
      <c r="F60" s="11">
        <f t="shared" si="2"/>
        <v>8.5200431640072103E-3</v>
      </c>
      <c r="G60" s="11">
        <f>VLOOKUP(A60,'10-year CDS Spreads'!$A$2:$D$157,4)</f>
        <v>9.9999999999999959E-4</v>
      </c>
      <c r="H60" s="11">
        <f t="shared" si="3"/>
        <v>6.0810624599190073E-2</v>
      </c>
      <c r="I60" s="14">
        <f t="shared" si="4"/>
        <v>1.4106245991900744E-3</v>
      </c>
    </row>
    <row r="61" spans="1:9" ht="16">
      <c r="A61" s="108" t="str">
        <f>'Sovereign Ratings (Moody''s,S&amp;P)'!A55</f>
        <v>Gabon</v>
      </c>
      <c r="B61" s="103" t="str">
        <f>VLOOKUP(A61,'Regional lookup table'!$A$3:$B$161,2)</f>
        <v>Africa</v>
      </c>
      <c r="C61" s="9" t="str">
        <f>'Sovereign Ratings (Moody''s,S&amp;P)'!C55</f>
        <v>Caa1</v>
      </c>
      <c r="D61" s="21">
        <f t="shared" si="0"/>
        <v>9.1749082568807344E-2</v>
      </c>
      <c r="E61" s="21">
        <f t="shared" si="1"/>
        <v>0.18882351282468096</v>
      </c>
      <c r="F61" s="11">
        <f t="shared" si="2"/>
        <v>0.12942351282468095</v>
      </c>
      <c r="G61" s="11" t="str">
        <f>VLOOKUP(A61,'10-year CDS Spreads'!$A$2:$D$157,4)</f>
        <v>NA</v>
      </c>
      <c r="H61" s="11" t="str">
        <f t="shared" si="3"/>
        <v>NA</v>
      </c>
      <c r="I61" s="14" t="str">
        <f t="shared" si="4"/>
        <v>NA</v>
      </c>
    </row>
    <row r="62" spans="1:9" ht="16">
      <c r="A62" s="108" t="str">
        <f>'Sovereign Ratings (Moody''s,S&amp;P)'!A56</f>
        <v>Georgia</v>
      </c>
      <c r="B62" s="103" t="str">
        <f>VLOOKUP(A62,'Regional lookup table'!$A$3:$B$161,2)</f>
        <v>Eastern Europe &amp; Russia</v>
      </c>
      <c r="C62" s="9" t="str">
        <f>'Sovereign Ratings (Moody''s,S&amp;P)'!C56</f>
        <v>Ba2</v>
      </c>
      <c r="D62" s="21">
        <f t="shared" si="0"/>
        <v>3.6814678899082569E-2</v>
      </c>
      <c r="E62" s="21">
        <f t="shared" si="1"/>
        <v>0.11133169166632967</v>
      </c>
      <c r="F62" s="11">
        <f t="shared" si="2"/>
        <v>5.193169166632966E-2</v>
      </c>
      <c r="G62" s="11" t="str">
        <f>VLOOKUP(A62,'10-year CDS Spreads'!$A$2:$D$157,4)</f>
        <v>NA</v>
      </c>
      <c r="H62" s="11" t="str">
        <f t="shared" si="3"/>
        <v>NA</v>
      </c>
      <c r="I62" s="14" t="str">
        <f t="shared" si="4"/>
        <v>NA</v>
      </c>
    </row>
    <row r="63" spans="1:9" ht="16">
      <c r="A63" s="108" t="str">
        <f>'Sovereign Ratings (Moody''s,S&amp;P)'!A57</f>
        <v>Germany</v>
      </c>
      <c r="B63" s="103" t="str">
        <f>VLOOKUP(A63,'Regional lookup table'!$A$3:$B$161,2)</f>
        <v>Western Europe</v>
      </c>
      <c r="C63" s="9" t="str">
        <f>'Sovereign Ratings (Moody''s,S&amp;P)'!C57</f>
        <v>Aaa</v>
      </c>
      <c r="D63" s="21">
        <f t="shared" si="0"/>
        <v>0</v>
      </c>
      <c r="E63" s="21">
        <f t="shared" si="1"/>
        <v>5.9400000000000001E-2</v>
      </c>
      <c r="F63" s="11">
        <f t="shared" si="2"/>
        <v>0</v>
      </c>
      <c r="G63" s="11">
        <f>VLOOKUP(A63,'10-year CDS Spreads'!$A$2:$D$157,4)</f>
        <v>0</v>
      </c>
      <c r="H63" s="11">
        <f t="shared" si="3"/>
        <v>5.9400000000000001E-2</v>
      </c>
      <c r="I63" s="14">
        <f t="shared" si="4"/>
        <v>0</v>
      </c>
    </row>
    <row r="64" spans="1:9" ht="16">
      <c r="A64" s="108" t="str">
        <f>'Sovereign Ratings (Moody''s,S&amp;P)'!A58</f>
        <v>Ghana</v>
      </c>
      <c r="B64" s="103" t="str">
        <f>VLOOKUP(A64,'Regional lookup table'!$A$3:$B$161,2)</f>
        <v>Africa</v>
      </c>
      <c r="C64" s="9" t="str">
        <f>'Sovereign Ratings (Moody''s,S&amp;P)'!C58</f>
        <v>Ca</v>
      </c>
      <c r="D64" s="21">
        <f t="shared" si="0"/>
        <v>0.14682729357798166</v>
      </c>
      <c r="E64" s="21">
        <f t="shared" si="1"/>
        <v>0.26651819215360384</v>
      </c>
      <c r="F64" s="11">
        <f t="shared" si="2"/>
        <v>0.20711819215360386</v>
      </c>
      <c r="G64" s="11" t="str">
        <f>VLOOKUP(A64,'10-year CDS Spreads'!$A$2:$D$157,4)</f>
        <v>NA</v>
      </c>
      <c r="H64" s="11" t="str">
        <f t="shared" si="3"/>
        <v>NA</v>
      </c>
      <c r="I64" s="14" t="str">
        <f t="shared" si="4"/>
        <v>NA</v>
      </c>
    </row>
    <row r="65" spans="1:9" ht="16">
      <c r="A65" s="108" t="str">
        <f>'Sovereign Ratings (Moody''s,S&amp;P)'!A59</f>
        <v>Greece</v>
      </c>
      <c r="B65" s="103" t="str">
        <f>VLOOKUP(A65,'Regional lookup table'!$A$3:$B$161,2)</f>
        <v>Western Europe</v>
      </c>
      <c r="C65" s="9" t="str">
        <f>'Sovereign Ratings (Moody''s,S&amp;P)'!C59</f>
        <v>Ba3</v>
      </c>
      <c r="D65" s="21">
        <f t="shared" si="0"/>
        <v>4.4005045871559637E-2</v>
      </c>
      <c r="E65" s="21">
        <f t="shared" si="1"/>
        <v>0.12147460019490969</v>
      </c>
      <c r="F65" s="11">
        <f t="shared" si="2"/>
        <v>6.2074600194909679E-2</v>
      </c>
      <c r="G65" s="11">
        <f>VLOOKUP(A65,'10-year CDS Spreads'!$A$2:$D$157,4)</f>
        <v>1.6499999999999997E-2</v>
      </c>
      <c r="H65" s="11">
        <f t="shared" si="3"/>
        <v>8.2675305886636241E-2</v>
      </c>
      <c r="I65" s="14">
        <f t="shared" si="4"/>
        <v>2.3275305886636233E-2</v>
      </c>
    </row>
    <row r="66" spans="1:9" ht="16">
      <c r="A66" s="108" t="str">
        <f>'Sovereign Ratings (Moody''s,S&amp;P)'!A60</f>
        <v>Guatemala</v>
      </c>
      <c r="B66" s="103" t="str">
        <f>VLOOKUP(A66,'Regional lookup table'!$A$3:$B$161,2)</f>
        <v>Central and South America</v>
      </c>
      <c r="C66" s="9" t="str">
        <f>'Sovereign Ratings (Moody''s,S&amp;P)'!C60</f>
        <v>Ba1</v>
      </c>
      <c r="D66" s="21">
        <f t="shared" si="0"/>
        <v>3.0630963302752296E-2</v>
      </c>
      <c r="E66" s="21">
        <f t="shared" si="1"/>
        <v>0.10260879033175085</v>
      </c>
      <c r="F66" s="11">
        <f t="shared" si="2"/>
        <v>4.3208790331750853E-2</v>
      </c>
      <c r="G66" s="11" t="str">
        <f>VLOOKUP(A66,'10-year CDS Spreads'!$A$2:$D$157,4)</f>
        <v>NA</v>
      </c>
      <c r="H66" s="11" t="str">
        <f t="shared" si="3"/>
        <v>NA</v>
      </c>
      <c r="I66" s="14" t="str">
        <f t="shared" si="4"/>
        <v>NA</v>
      </c>
    </row>
    <row r="67" spans="1:9" ht="16">
      <c r="A67" s="108" t="str">
        <f>'Sovereign Ratings (Moody''s,S&amp;P)'!A61</f>
        <v>Guernsey (States of)</v>
      </c>
      <c r="B67" s="103" t="str">
        <f>VLOOKUP(A67,'Regional lookup table'!$A$3:$B$161,2)</f>
        <v>Western Europe</v>
      </c>
      <c r="C67" s="9" t="str">
        <f>'Sovereign Ratings (Moody''s,S&amp;P)'!C61</f>
        <v>Aaa</v>
      </c>
      <c r="D67" s="21">
        <f t="shared" si="0"/>
        <v>0</v>
      </c>
      <c r="E67" s="21">
        <f t="shared" si="1"/>
        <v>5.9400000000000001E-2</v>
      </c>
      <c r="F67" s="11">
        <f t="shared" si="2"/>
        <v>0</v>
      </c>
      <c r="G67" s="11" t="str">
        <f>VLOOKUP(A67,'10-year CDS Spreads'!$A$2:$D$157,4)</f>
        <v>NA</v>
      </c>
      <c r="H67" s="11" t="str">
        <f t="shared" si="3"/>
        <v>NA</v>
      </c>
      <c r="I67" s="14" t="str">
        <f t="shared" si="4"/>
        <v>NA</v>
      </c>
    </row>
    <row r="68" spans="1:9" ht="16">
      <c r="A68" s="108" t="str">
        <f>'Sovereign Ratings (Moody''s,S&amp;P)'!A62</f>
        <v>Honduras</v>
      </c>
      <c r="B68" s="103" t="str">
        <f>VLOOKUP(A68,'Regional lookup table'!$A$3:$B$161,2)</f>
        <v>Central and South America</v>
      </c>
      <c r="C68" s="9" t="str">
        <f>'Sovereign Ratings (Moody''s,S&amp;P)'!C62</f>
        <v>B1</v>
      </c>
      <c r="D68" s="21">
        <f t="shared" si="0"/>
        <v>5.5078211009174309E-2</v>
      </c>
      <c r="E68" s="21">
        <f t="shared" si="1"/>
        <v>0.13709467932892289</v>
      </c>
      <c r="F68" s="11">
        <f t="shared" si="2"/>
        <v>7.7694679328922892E-2</v>
      </c>
      <c r="G68" s="11" t="str">
        <f>VLOOKUP(A68,'10-year CDS Spreads'!$A$2:$D$157,4)</f>
        <v>NA</v>
      </c>
      <c r="H68" s="11" t="str">
        <f t="shared" si="3"/>
        <v>NA</v>
      </c>
      <c r="I68" s="14" t="str">
        <f t="shared" si="4"/>
        <v>NA</v>
      </c>
    </row>
    <row r="69" spans="1:9" ht="16">
      <c r="A69" s="108" t="str">
        <f>'Sovereign Ratings (Moody''s,S&amp;P)'!A63</f>
        <v>Hong Kong</v>
      </c>
      <c r="B69" s="103" t="str">
        <f>VLOOKUP(A69,'Regional lookup table'!$A$3:$B$161,2)</f>
        <v>Asia</v>
      </c>
      <c r="C69" s="9" t="str">
        <f>'Sovereign Ratings (Moody''s,S&amp;P)'!C63</f>
        <v>Aa3</v>
      </c>
      <c r="D69" s="21">
        <f t="shared" si="0"/>
        <v>7.3341743119266058E-3</v>
      </c>
      <c r="E69" s="21">
        <f t="shared" si="1"/>
        <v>6.9745766699151612E-2</v>
      </c>
      <c r="F69" s="11">
        <f t="shared" si="2"/>
        <v>1.0345766699151613E-2</v>
      </c>
      <c r="G69" s="11">
        <f>VLOOKUP(A69,'10-year CDS Spreads'!$A$2:$D$157,4)</f>
        <v>3.9000000000000003E-3</v>
      </c>
      <c r="H69" s="11">
        <f t="shared" si="3"/>
        <v>6.4901435936841292E-2</v>
      </c>
      <c r="I69" s="14">
        <f t="shared" si="4"/>
        <v>5.5014359368412927E-3</v>
      </c>
    </row>
    <row r="70" spans="1:9" ht="16">
      <c r="A70" s="108" t="str">
        <f>'Sovereign Ratings (Moody''s,S&amp;P)'!A64</f>
        <v>Hungary</v>
      </c>
      <c r="B70" s="103" t="str">
        <f>VLOOKUP(A70,'Regional lookup table'!$A$3:$B$161,2)</f>
        <v>Eastern Europe &amp; Russia</v>
      </c>
      <c r="C70" s="9" t="str">
        <f>'Sovereign Ratings (Moody''s,S&amp;P)'!C64</f>
        <v>Baa2</v>
      </c>
      <c r="D70" s="21">
        <f t="shared" si="0"/>
        <v>2.3296788990825688E-2</v>
      </c>
      <c r="E70" s="21">
        <f t="shared" si="1"/>
        <v>9.2263023632599236E-2</v>
      </c>
      <c r="F70" s="11">
        <f t="shared" si="2"/>
        <v>3.2863023632599235E-2</v>
      </c>
      <c r="G70" s="11">
        <f>VLOOKUP(A70,'10-year CDS Spreads'!$A$2:$D$157,4)</f>
        <v>2.1099999999999997E-2</v>
      </c>
      <c r="H70" s="11">
        <f t="shared" si="3"/>
        <v>8.9164179042910574E-2</v>
      </c>
      <c r="I70" s="14">
        <f t="shared" si="4"/>
        <v>2.976417904291058E-2</v>
      </c>
    </row>
    <row r="71" spans="1:9" ht="16">
      <c r="A71" s="108" t="str">
        <f>'Sovereign Ratings (Moody''s,S&amp;P)'!A65</f>
        <v>Iceland</v>
      </c>
      <c r="B71" s="103" t="str">
        <f>VLOOKUP(A71,'Regional lookup table'!$A$3:$B$161,2)</f>
        <v>Western Europe</v>
      </c>
      <c r="C71" s="9" t="str">
        <f>'Sovereign Ratings (Moody''s,S&amp;P)'!C65</f>
        <v>A2</v>
      </c>
      <c r="D71" s="21">
        <f t="shared" si="0"/>
        <v>1.0354128440366973E-2</v>
      </c>
      <c r="E71" s="21">
        <f t="shared" si="1"/>
        <v>7.4005788281155213E-2</v>
      </c>
      <c r="F71" s="11">
        <f t="shared" si="2"/>
        <v>1.4605788281155217E-2</v>
      </c>
      <c r="G71" s="11">
        <f>VLOOKUP(A71,'10-year CDS Spreads'!$A$2:$D$157,4)</f>
        <v>4.0999999999999995E-3</v>
      </c>
      <c r="H71" s="11">
        <f t="shared" si="3"/>
        <v>6.5183560856679312E-2</v>
      </c>
      <c r="I71" s="14">
        <f t="shared" si="4"/>
        <v>5.7835608566793066E-3</v>
      </c>
    </row>
    <row r="72" spans="1:9" ht="16">
      <c r="A72" s="108" t="str">
        <f>'Sovereign Ratings (Moody''s,S&amp;P)'!A66</f>
        <v>India</v>
      </c>
      <c r="B72" s="103" t="str">
        <f>VLOOKUP(A72,'Regional lookup table'!$A$3:$B$161,2)</f>
        <v>Asia</v>
      </c>
      <c r="C72" s="9" t="str">
        <f>'Sovereign Ratings (Moody''s,S&amp;P)'!C66</f>
        <v>Baa3</v>
      </c>
      <c r="D72" s="21">
        <f t="shared" si="0"/>
        <v>2.6891972477064225E-2</v>
      </c>
      <c r="E72" s="21">
        <f t="shared" si="1"/>
        <v>9.733447789688926E-2</v>
      </c>
      <c r="F72" s="11">
        <f t="shared" si="2"/>
        <v>3.7934477896889252E-2</v>
      </c>
      <c r="G72" s="11">
        <f>VLOOKUP(A72,'10-year CDS Spreads'!$A$2:$D$157,4)</f>
        <v>1.35E-2</v>
      </c>
      <c r="H72" s="11">
        <f t="shared" si="3"/>
        <v>7.8443432089066012E-2</v>
      </c>
      <c r="I72" s="14">
        <f t="shared" si="4"/>
        <v>1.9043432089066011E-2</v>
      </c>
    </row>
    <row r="73" spans="1:9" ht="16">
      <c r="A73" s="108" t="str">
        <f>'Sovereign Ratings (Moody''s,S&amp;P)'!A67</f>
        <v>Indonesia</v>
      </c>
      <c r="B73" s="103" t="str">
        <f>VLOOKUP(A73,'Regional lookup table'!$A$3:$B$161,2)</f>
        <v>Asia</v>
      </c>
      <c r="C73" s="9" t="str">
        <f>'Sovereign Ratings (Moody''s,S&amp;P)'!C67</f>
        <v>Baa2</v>
      </c>
      <c r="D73" s="21">
        <f t="shared" ref="D73:D136" si="7">VLOOKUP(C73,$J$9:$K$31,2,FALSE)/10000</f>
        <v>2.3296788990825688E-2</v>
      </c>
      <c r="E73" s="21">
        <f>$E$3+F73</f>
        <v>9.2263023632599236E-2</v>
      </c>
      <c r="F73" s="11">
        <f>IF($E$4="Yes",D73*$E$5,D73)</f>
        <v>3.2863023632599235E-2</v>
      </c>
      <c r="G73" s="11">
        <f>VLOOKUP(A73,'10-year CDS Spreads'!$A$2:$D$157,4)</f>
        <v>1.4300000000000002E-2</v>
      </c>
      <c r="H73" s="11">
        <f>IF(I73="NA","NA",$E$3+I73)</f>
        <v>7.9571931768418078E-2</v>
      </c>
      <c r="I73" s="14">
        <f t="shared" ref="I73:I140" si="8">IF(G73="NA","NA",G73*$E$5)</f>
        <v>2.0171931768418076E-2</v>
      </c>
    </row>
    <row r="74" spans="1:9" ht="16">
      <c r="A74" s="108" t="str">
        <f>'Sovereign Ratings (Moody''s,S&amp;P)'!A68</f>
        <v>Iraq</v>
      </c>
      <c r="B74" s="103" t="str">
        <f>VLOOKUP(A74,'Regional lookup table'!$A$3:$B$161,2)</f>
        <v>Middle East</v>
      </c>
      <c r="C74" s="9" t="str">
        <f>'Sovereign Ratings (Moody''s,S&amp;P)'!C68</f>
        <v>Caa1</v>
      </c>
      <c r="D74" s="21">
        <f t="shared" si="7"/>
        <v>9.1749082568807344E-2</v>
      </c>
      <c r="E74" s="21">
        <f t="shared" ref="E74:E144" si="9">$E$3+F74</f>
        <v>0.18882351282468096</v>
      </c>
      <c r="F74" s="11">
        <f t="shared" ref="F74:F130" si="10">IF($E$4="Yes",D74*$E$5,D74)</f>
        <v>0.12942351282468095</v>
      </c>
      <c r="G74" s="11">
        <f>VLOOKUP(A74,'10-year CDS Spreads'!$A$2:$D$157,4)</f>
        <v>4.3699999999999996E-2</v>
      </c>
      <c r="H74" s="11">
        <f t="shared" ref="H74:H144" si="11">IF(I74="NA","NA",$E$3+I74)</f>
        <v>0.12104429498460628</v>
      </c>
      <c r="I74" s="14">
        <f t="shared" si="8"/>
        <v>6.1644294984606274E-2</v>
      </c>
    </row>
    <row r="75" spans="1:9" ht="16">
      <c r="A75" s="108" t="str">
        <f>'Sovereign Ratings (Moody''s,S&amp;P)'!A69</f>
        <v>Ireland</v>
      </c>
      <c r="B75" s="103" t="str">
        <f>VLOOKUP(A75,'Regional lookup table'!$A$3:$B$161,2)</f>
        <v>Western Europe</v>
      </c>
      <c r="C75" s="9" t="str">
        <f>'Sovereign Ratings (Moody''s,S&amp;P)'!C69</f>
        <v>A1</v>
      </c>
      <c r="D75" s="21">
        <f t="shared" si="7"/>
        <v>8.6284403669724778E-3</v>
      </c>
      <c r="E75" s="21">
        <f t="shared" si="9"/>
        <v>7.1571490234296015E-2</v>
      </c>
      <c r="F75" s="11">
        <f t="shared" si="10"/>
        <v>1.2171490234296015E-2</v>
      </c>
      <c r="G75" s="11">
        <f>VLOOKUP(A75,'10-year CDS Spreads'!$A$2:$D$157,4)</f>
        <v>1.0999999999999998E-3</v>
      </c>
      <c r="H75" s="11">
        <f t="shared" si="11"/>
        <v>6.0951687059109083E-2</v>
      </c>
      <c r="I75" s="14">
        <f t="shared" si="8"/>
        <v>1.5516870591090824E-3</v>
      </c>
    </row>
    <row r="76" spans="1:9" ht="16">
      <c r="A76" s="108" t="str">
        <f>'Sovereign Ratings (Moody''s,S&amp;P)'!A70</f>
        <v>Isle of Man</v>
      </c>
      <c r="B76" s="103" t="str">
        <f>VLOOKUP(A76,'Regional lookup table'!$A$3:$B$161,2)</f>
        <v>Western Europe</v>
      </c>
      <c r="C76" s="9" t="str">
        <f>'Sovereign Ratings (Moody''s,S&amp;P)'!C70</f>
        <v>Aa3</v>
      </c>
      <c r="D76" s="21">
        <f t="shared" si="7"/>
        <v>7.3341743119266058E-3</v>
      </c>
      <c r="E76" s="21">
        <f t="shared" si="9"/>
        <v>6.9745766699151612E-2</v>
      </c>
      <c r="F76" s="11">
        <f t="shared" si="10"/>
        <v>1.0345766699151613E-2</v>
      </c>
      <c r="G76" s="11" t="str">
        <f>VLOOKUP(A76,'10-year CDS Spreads'!$A$2:$D$157,4)</f>
        <v>NA</v>
      </c>
      <c r="H76" s="11" t="str">
        <f t="shared" si="11"/>
        <v>NA</v>
      </c>
      <c r="I76" s="14" t="str">
        <f t="shared" si="8"/>
        <v>NA</v>
      </c>
    </row>
    <row r="77" spans="1:9" ht="16">
      <c r="A77" s="108" t="str">
        <f>'Sovereign Ratings (Moody''s,S&amp;P)'!A71</f>
        <v>Israel</v>
      </c>
      <c r="B77" s="103" t="str">
        <f>VLOOKUP(A77,'Regional lookup table'!$A$3:$B$161,2)</f>
        <v>Middle East</v>
      </c>
      <c r="C77" s="9" t="str">
        <f>'Sovereign Ratings (Moody''s,S&amp;P)'!C71</f>
        <v>A1</v>
      </c>
      <c r="D77" s="21">
        <f t="shared" si="7"/>
        <v>8.6284403669724778E-3</v>
      </c>
      <c r="E77" s="21">
        <f t="shared" si="9"/>
        <v>7.1571490234296015E-2</v>
      </c>
      <c r="F77" s="11">
        <f t="shared" si="10"/>
        <v>1.2171490234296015E-2</v>
      </c>
      <c r="G77" s="11">
        <f>VLOOKUP(A77,'10-year CDS Spreads'!$A$2:$D$157,4)</f>
        <v>3.5000000000000001E-3</v>
      </c>
      <c r="H77" s="11">
        <f t="shared" si="11"/>
        <v>6.4337186097165266E-2</v>
      </c>
      <c r="I77" s="14">
        <f t="shared" si="8"/>
        <v>4.9371860971652625E-3</v>
      </c>
    </row>
    <row r="78" spans="1:9" ht="16">
      <c r="A78" s="108" t="str">
        <f>'Sovereign Ratings (Moody''s,S&amp;P)'!A72</f>
        <v>Italy</v>
      </c>
      <c r="B78" s="103" t="str">
        <f>VLOOKUP(A78,'Regional lookup table'!$A$3:$B$161,2)</f>
        <v>Western Europe</v>
      </c>
      <c r="C78" s="9" t="str">
        <f>'Sovereign Ratings (Moody''s,S&amp;P)'!C72</f>
        <v>Baa3</v>
      </c>
      <c r="D78" s="21">
        <f t="shared" si="7"/>
        <v>2.6891972477064225E-2</v>
      </c>
      <c r="E78" s="21">
        <f t="shared" si="9"/>
        <v>9.733447789688926E-2</v>
      </c>
      <c r="F78" s="11">
        <f t="shared" si="10"/>
        <v>3.7934477896889252E-2</v>
      </c>
      <c r="G78" s="11">
        <f>VLOOKUP(A78,'10-year CDS Spreads'!$A$2:$D$157,4)</f>
        <v>1.52E-2</v>
      </c>
      <c r="H78" s="11">
        <f t="shared" si="11"/>
        <v>8.0841493907689133E-2</v>
      </c>
      <c r="I78" s="14">
        <f t="shared" si="8"/>
        <v>2.1441493907689138E-2</v>
      </c>
    </row>
    <row r="79" spans="1:9" ht="16">
      <c r="A79" s="108" t="str">
        <f>'Sovereign Ratings (Moody''s,S&amp;P)'!A73</f>
        <v>Jamaica</v>
      </c>
      <c r="B79" s="103" t="str">
        <f>VLOOKUP(A79,'Regional lookup table'!$A$3:$B$161,2)</f>
        <v>Caribbean</v>
      </c>
      <c r="C79" s="9" t="str">
        <f>'Sovereign Ratings (Moody''s,S&amp;P)'!C73</f>
        <v>B2</v>
      </c>
      <c r="D79" s="21">
        <f t="shared" si="7"/>
        <v>6.7301834862385335E-2</v>
      </c>
      <c r="E79" s="21">
        <f t="shared" si="9"/>
        <v>0.15433762382750893</v>
      </c>
      <c r="F79" s="11">
        <f t="shared" si="10"/>
        <v>9.4937623827508935E-2</v>
      </c>
      <c r="G79" s="11" t="str">
        <f>VLOOKUP(A79,'10-year CDS Spreads'!$A$2:$D$157,4)</f>
        <v>NA</v>
      </c>
      <c r="H79" s="11" t="str">
        <f t="shared" si="11"/>
        <v>NA</v>
      </c>
      <c r="I79" s="14" t="str">
        <f t="shared" si="8"/>
        <v>NA</v>
      </c>
    </row>
    <row r="80" spans="1:9" ht="16">
      <c r="A80" s="108" t="str">
        <f>'Sovereign Ratings (Moody''s,S&amp;P)'!A74</f>
        <v>Japan</v>
      </c>
      <c r="B80" s="103" t="str">
        <f>VLOOKUP(A80,'Regional lookup table'!$A$3:$B$161,2)</f>
        <v>Asia</v>
      </c>
      <c r="C80" s="9" t="str">
        <f>'Sovereign Ratings (Moody''s,S&amp;P)'!C74</f>
        <v>A1</v>
      </c>
      <c r="D80" s="21">
        <f t="shared" si="7"/>
        <v>8.6284403669724778E-3</v>
      </c>
      <c r="E80" s="21">
        <f t="shared" si="9"/>
        <v>7.1571490234296015E-2</v>
      </c>
      <c r="F80" s="11">
        <f t="shared" si="10"/>
        <v>1.2171490234296015E-2</v>
      </c>
      <c r="G80" s="11">
        <f>VLOOKUP(A80,'10-year CDS Spreads'!$A$2:$D$157,4)</f>
        <v>0</v>
      </c>
      <c r="H80" s="11">
        <f t="shared" si="11"/>
        <v>5.9400000000000001E-2</v>
      </c>
      <c r="I80" s="14">
        <f t="shared" si="8"/>
        <v>0</v>
      </c>
    </row>
    <row r="81" spans="1:9" ht="16">
      <c r="A81" s="108" t="str">
        <f>'Sovereign Ratings (Moody''s,S&amp;P)'!A75</f>
        <v>Jersey (States of)</v>
      </c>
      <c r="B81" s="103" t="str">
        <f>VLOOKUP(A81,'Regional lookup table'!$A$3:$B$161,2)</f>
        <v>Western Europe</v>
      </c>
      <c r="C81" s="9" t="str">
        <f>'Sovereign Ratings (Moody''s,S&amp;P)'!C75</f>
        <v>Aaa</v>
      </c>
      <c r="D81" s="21">
        <f t="shared" si="7"/>
        <v>0</v>
      </c>
      <c r="E81" s="21">
        <f t="shared" si="9"/>
        <v>5.9400000000000001E-2</v>
      </c>
      <c r="F81" s="11">
        <f t="shared" si="10"/>
        <v>0</v>
      </c>
      <c r="G81" s="11" t="str">
        <f>VLOOKUP(A81,'10-year CDS Spreads'!$A$2:$D$157,4)</f>
        <v>NA</v>
      </c>
      <c r="H81" s="11" t="str">
        <f t="shared" si="11"/>
        <v>NA</v>
      </c>
      <c r="I81" s="14" t="str">
        <f t="shared" si="8"/>
        <v>NA</v>
      </c>
    </row>
    <row r="82" spans="1:9" ht="16">
      <c r="A82" s="108" t="str">
        <f>'Sovereign Ratings (Moody''s,S&amp;P)'!A76</f>
        <v>Jordan</v>
      </c>
      <c r="B82" s="103" t="str">
        <f>VLOOKUP(A82,'Regional lookup table'!$A$3:$B$161,2)</f>
        <v>Middle East</v>
      </c>
      <c r="C82" s="9" t="str">
        <f>'Sovereign Ratings (Moody''s,S&amp;P)'!C76</f>
        <v>B1</v>
      </c>
      <c r="D82" s="21">
        <f t="shared" si="7"/>
        <v>5.5078211009174309E-2</v>
      </c>
      <c r="E82" s="21">
        <f t="shared" si="9"/>
        <v>0.13709467932892289</v>
      </c>
      <c r="F82" s="11">
        <f t="shared" si="10"/>
        <v>7.7694679328922892E-2</v>
      </c>
      <c r="G82" s="11" t="str">
        <f>VLOOKUP(A82,'10-year CDS Spreads'!$A$2:$D$157,4)</f>
        <v>NA</v>
      </c>
      <c r="H82" s="11" t="str">
        <f t="shared" si="11"/>
        <v>NA</v>
      </c>
      <c r="I82" s="14" t="str">
        <f t="shared" si="8"/>
        <v>NA</v>
      </c>
    </row>
    <row r="83" spans="1:9" ht="16">
      <c r="A83" s="108" t="str">
        <f>'Sovereign Ratings (Moody''s,S&amp;P)'!A77</f>
        <v>Kazakhstan</v>
      </c>
      <c r="B83" s="103" t="str">
        <f>VLOOKUP(A83,'Regional lookup table'!$A$3:$B$161,2)</f>
        <v>Eastern Europe &amp; Russia</v>
      </c>
      <c r="C83" s="9" t="str">
        <f>'Sovereign Ratings (Moody''s,S&amp;P)'!C77</f>
        <v>Baa2</v>
      </c>
      <c r="D83" s="21">
        <f t="shared" si="7"/>
        <v>2.3296788990825688E-2</v>
      </c>
      <c r="E83" s="21">
        <f t="shared" si="9"/>
        <v>9.2263023632599236E-2</v>
      </c>
      <c r="F83" s="11">
        <f t="shared" si="10"/>
        <v>3.2863023632599235E-2</v>
      </c>
      <c r="G83" s="11">
        <f>VLOOKUP(A83,'10-year CDS Spreads'!$A$2:$D$157,4)</f>
        <v>2.3799999999999998E-2</v>
      </c>
      <c r="H83" s="11">
        <f t="shared" si="11"/>
        <v>9.297286546072378E-2</v>
      </c>
      <c r="I83" s="14">
        <f t="shared" si="8"/>
        <v>3.3572865460723779E-2</v>
      </c>
    </row>
    <row r="84" spans="1:9" ht="16">
      <c r="A84" s="108" t="str">
        <f>'Sovereign Ratings (Moody''s,S&amp;P)'!A78</f>
        <v>Kenya</v>
      </c>
      <c r="B84" s="103" t="str">
        <f>VLOOKUP(A84,'Regional lookup table'!$A$3:$B$161,2)</f>
        <v>Africa</v>
      </c>
      <c r="C84" s="9" t="str">
        <f>'Sovereign Ratings (Moody''s,S&amp;P)'!C78</f>
        <v>B2</v>
      </c>
      <c r="D84" s="21">
        <f t="shared" si="7"/>
        <v>6.7301834862385335E-2</v>
      </c>
      <c r="E84" s="21">
        <f t="shared" si="9"/>
        <v>0.15433762382750893</v>
      </c>
      <c r="F84" s="11">
        <f t="shared" si="10"/>
        <v>9.4937623827508935E-2</v>
      </c>
      <c r="G84" s="11">
        <f>VLOOKUP(A84,'10-year CDS Spreads'!$A$2:$D$157,4)</f>
        <v>7.2800000000000004E-2</v>
      </c>
      <c r="H84" s="11">
        <f t="shared" si="11"/>
        <v>0.16209347082103748</v>
      </c>
      <c r="I84" s="14">
        <f t="shared" si="8"/>
        <v>0.10269347082103747</v>
      </c>
    </row>
    <row r="85" spans="1:9" ht="16">
      <c r="A85" s="108" t="str">
        <f>'Sovereign Ratings (Moody''s,S&amp;P)'!A79</f>
        <v>Korea</v>
      </c>
      <c r="B85" s="103" t="str">
        <f>VLOOKUP(A85,'Regional lookup table'!$A$3:$B$161,2)</f>
        <v>Asia</v>
      </c>
      <c r="C85" s="9" t="str">
        <f>'Sovereign Ratings (Moody''s,S&amp;P)'!C79</f>
        <v>Aa2</v>
      </c>
      <c r="D85" s="21">
        <f t="shared" si="7"/>
        <v>6.0399082568807346E-3</v>
      </c>
      <c r="E85" s="21">
        <f>$E$3+F85</f>
        <v>6.792004316400721E-2</v>
      </c>
      <c r="F85" s="11">
        <f>IF($E$4="Yes",D85*$E$5,D85)</f>
        <v>8.5200431640072103E-3</v>
      </c>
      <c r="G85" s="11">
        <f>VLOOKUP(A85,'10-year CDS Spreads'!$A$2:$D$157,4)</f>
        <v>3.5999999999999995E-3</v>
      </c>
      <c r="H85" s="11">
        <f>IF(I85="NA","NA",$E$3+I85)</f>
        <v>6.4478248557084269E-2</v>
      </c>
      <c r="I85" s="14">
        <f t="shared" si="8"/>
        <v>5.078248557084269E-3</v>
      </c>
    </row>
    <row r="86" spans="1:9" ht="16">
      <c r="A86" s="108" t="str">
        <f>'Sovereign Ratings (Moody''s,S&amp;P)'!A80</f>
        <v>Kuwait</v>
      </c>
      <c r="B86" s="103" t="str">
        <f>VLOOKUP(A86,'Regional lookup table'!$A$3:$B$161,2)</f>
        <v>Middle East</v>
      </c>
      <c r="C86" s="9" t="str">
        <f>'Sovereign Ratings (Moody''s,S&amp;P)'!C80</f>
        <v>A1</v>
      </c>
      <c r="D86" s="21">
        <f t="shared" si="7"/>
        <v>8.6284403669724778E-3</v>
      </c>
      <c r="E86" s="21">
        <f t="shared" si="9"/>
        <v>7.1571490234296015E-2</v>
      </c>
      <c r="F86" s="11">
        <f t="shared" si="10"/>
        <v>1.2171490234296015E-2</v>
      </c>
      <c r="G86" s="11">
        <f>VLOOKUP(A86,'10-year CDS Spreads'!$A$2:$D$157,4)</f>
        <v>4.7000000000000011E-3</v>
      </c>
      <c r="H86" s="11">
        <f t="shared" si="11"/>
        <v>6.6029935616193358E-2</v>
      </c>
      <c r="I86" s="14">
        <f t="shared" si="8"/>
        <v>6.6299356161933541E-3</v>
      </c>
    </row>
    <row r="87" spans="1:9" ht="16">
      <c r="A87" s="108" t="str">
        <f>'Sovereign Ratings (Moody''s,S&amp;P)'!A81</f>
        <v>Kyrgyzstan</v>
      </c>
      <c r="B87" s="103" t="str">
        <f>VLOOKUP(A87,'Regional lookup table'!$A$3:$B$161,2)</f>
        <v>Eastern Europe &amp; Russia</v>
      </c>
      <c r="C87" s="9" t="str">
        <f>'Sovereign Ratings (Moody''s,S&amp;P)'!C81</f>
        <v>B3</v>
      </c>
      <c r="D87" s="21">
        <f t="shared" si="7"/>
        <v>7.9525458715596339E-2</v>
      </c>
      <c r="E87" s="21">
        <f t="shared" si="9"/>
        <v>0.17158056832609495</v>
      </c>
      <c r="F87" s="11">
        <f t="shared" si="10"/>
        <v>0.11218056832609494</v>
      </c>
      <c r="G87" s="11" t="str">
        <f>VLOOKUP(A87,'10-year CDS Spreads'!$A$2:$D$157,4)</f>
        <v>NA</v>
      </c>
      <c r="H87" s="11" t="str">
        <f t="shared" si="11"/>
        <v>NA</v>
      </c>
      <c r="I87" s="14" t="str">
        <f t="shared" si="8"/>
        <v>NA</v>
      </c>
    </row>
    <row r="88" spans="1:9" ht="16">
      <c r="A88" s="108" t="str">
        <f>'Sovereign Ratings (Moody''s,S&amp;P)'!A82</f>
        <v>Laos</v>
      </c>
      <c r="B88" s="103" t="str">
        <f>VLOOKUP(A88,'Regional lookup table'!$A$3:$B$161,2)</f>
        <v>Asia</v>
      </c>
      <c r="C88" s="9" t="str">
        <f>'Sovereign Ratings (Moody''s,S&amp;P)'!C82</f>
        <v>Caa3</v>
      </c>
      <c r="D88" s="21">
        <f t="shared" si="7"/>
        <v>0.12238004587155965</v>
      </c>
      <c r="E88" s="21">
        <f t="shared" ref="E88" si="12">$E$3+F88</f>
        <v>0.23203230315643184</v>
      </c>
      <c r="F88" s="11">
        <f t="shared" ref="F88" si="13">IF($E$4="Yes",D88*$E$5,D88)</f>
        <v>0.17263230315643183</v>
      </c>
      <c r="G88" s="11" t="str">
        <f>VLOOKUP(A88,'10-year CDS Spreads'!$A$2:$D$157,4)</f>
        <v>NA</v>
      </c>
      <c r="H88" s="11" t="str">
        <f t="shared" ref="H88" si="14">IF(I88="NA","NA",$E$3+I88)</f>
        <v>NA</v>
      </c>
      <c r="I88" s="14" t="str">
        <f t="shared" ref="I88" si="15">IF(G88="NA","NA",G88*$E$5)</f>
        <v>NA</v>
      </c>
    </row>
    <row r="89" spans="1:9" ht="16">
      <c r="A89" s="108" t="str">
        <f>'Sovereign Ratings (Moody''s,S&amp;P)'!A83</f>
        <v>Latvia</v>
      </c>
      <c r="B89" s="103" t="str">
        <f>VLOOKUP(A89,'Regional lookup table'!$A$3:$B$161,2)</f>
        <v>Eastern Europe &amp; Russia</v>
      </c>
      <c r="C89" s="9" t="str">
        <f>'Sovereign Ratings (Moody''s,S&amp;P)'!C83</f>
        <v>A3</v>
      </c>
      <c r="D89" s="21">
        <f t="shared" si="7"/>
        <v>1.4668348623853212E-2</v>
      </c>
      <c r="E89" s="21">
        <f t="shared" si="9"/>
        <v>8.009153339830323E-2</v>
      </c>
      <c r="F89" s="11">
        <f t="shared" si="10"/>
        <v>2.0691533398303225E-2</v>
      </c>
      <c r="G89" s="11">
        <f>VLOOKUP(A89,'10-year CDS Spreads'!$A$2:$D$157,4)</f>
        <v>1.0500000000000001E-2</v>
      </c>
      <c r="H89" s="11">
        <f t="shared" si="11"/>
        <v>7.4211558291495783E-2</v>
      </c>
      <c r="I89" s="14">
        <f t="shared" si="8"/>
        <v>1.4811558291495788E-2</v>
      </c>
    </row>
    <row r="90" spans="1:9" ht="16">
      <c r="A90" s="108" t="str">
        <f>'Sovereign Ratings (Moody''s,S&amp;P)'!A84</f>
        <v>Lebanon</v>
      </c>
      <c r="B90" s="103" t="str">
        <f>VLOOKUP(A90,'Regional lookup table'!$A$3:$B$161,2)</f>
        <v>Middle East</v>
      </c>
      <c r="C90" s="9" t="str">
        <f>'Sovereign Ratings (Moody''s,S&amp;P)'!C84</f>
        <v>C</v>
      </c>
      <c r="D90" s="21">
        <f t="shared" si="7"/>
        <v>0.17499999999999999</v>
      </c>
      <c r="E90" s="21">
        <f t="shared" si="9"/>
        <v>0.30625930485826308</v>
      </c>
      <c r="F90" s="11">
        <f t="shared" si="10"/>
        <v>0.2468593048582631</v>
      </c>
      <c r="G90" s="11" t="str">
        <f>VLOOKUP(A90,'10-year CDS Spreads'!$A$2:$D$157,4)</f>
        <v>NA</v>
      </c>
      <c r="H90" s="11" t="str">
        <f t="shared" si="11"/>
        <v>NA</v>
      </c>
      <c r="I90" s="14" t="str">
        <f t="shared" si="8"/>
        <v>NA</v>
      </c>
    </row>
    <row r="91" spans="1:9" ht="16">
      <c r="A91" s="108" t="str">
        <f>'Sovereign Ratings (Moody''s,S&amp;P)'!A85</f>
        <v>Liechtenstein</v>
      </c>
      <c r="B91" s="103" t="str">
        <f>VLOOKUP(A91,'Regional lookup table'!$A$3:$B$161,2)</f>
        <v>Western Europe</v>
      </c>
      <c r="C91" s="9" t="str">
        <f>'Sovereign Ratings (Moody''s,S&amp;P)'!C85</f>
        <v>Aaa</v>
      </c>
      <c r="D91" s="21">
        <f t="shared" si="7"/>
        <v>0</v>
      </c>
      <c r="E91" s="21">
        <f t="shared" si="9"/>
        <v>5.9400000000000001E-2</v>
      </c>
      <c r="F91" s="11">
        <f t="shared" si="10"/>
        <v>0</v>
      </c>
      <c r="G91" s="11" t="str">
        <f>VLOOKUP(A91,'10-year CDS Spreads'!$A$2:$D$157,4)</f>
        <v>NA</v>
      </c>
      <c r="H91" s="11" t="str">
        <f t="shared" si="11"/>
        <v>NA</v>
      </c>
      <c r="I91" s="14" t="str">
        <f t="shared" si="8"/>
        <v>NA</v>
      </c>
    </row>
    <row r="92" spans="1:9" ht="16">
      <c r="A92" s="108" t="str">
        <f>'Sovereign Ratings (Moody''s,S&amp;P)'!A86</f>
        <v>Lithuania</v>
      </c>
      <c r="B92" s="103" t="str">
        <f>VLOOKUP(A92,'Regional lookup table'!$A$3:$B$161,2)</f>
        <v>Eastern Europe &amp; Russia</v>
      </c>
      <c r="C92" s="9" t="str">
        <f>'Sovereign Ratings (Moody''s,S&amp;P)'!C86</f>
        <v>A2</v>
      </c>
      <c r="D92" s="21">
        <f t="shared" si="7"/>
        <v>1.0354128440366973E-2</v>
      </c>
      <c r="E92" s="21">
        <f t="shared" si="9"/>
        <v>7.4005788281155213E-2</v>
      </c>
      <c r="F92" s="11">
        <f t="shared" si="10"/>
        <v>1.4605788281155217E-2</v>
      </c>
      <c r="G92" s="11">
        <f>VLOOKUP(A92,'10-year CDS Spreads'!$A$2:$D$157,4)</f>
        <v>1.1300000000000001E-2</v>
      </c>
      <c r="H92" s="11">
        <f t="shared" si="11"/>
        <v>7.5340057970847849E-2</v>
      </c>
      <c r="I92" s="14">
        <f t="shared" si="8"/>
        <v>1.5940057970847847E-2</v>
      </c>
    </row>
    <row r="93" spans="1:9" ht="16">
      <c r="A93" s="108" t="str">
        <f>'Sovereign Ratings (Moody''s,S&amp;P)'!A87</f>
        <v>Luxembourg</v>
      </c>
      <c r="B93" s="103" t="str">
        <f>VLOOKUP(A93,'Regional lookup table'!$A$3:$B$161,2)</f>
        <v>Western Europe</v>
      </c>
      <c r="C93" s="9" t="str">
        <f>'Sovereign Ratings (Moody''s,S&amp;P)'!C87</f>
        <v>Aaa</v>
      </c>
      <c r="D93" s="21">
        <f t="shared" si="7"/>
        <v>0</v>
      </c>
      <c r="E93" s="21">
        <f t="shared" si="9"/>
        <v>5.9400000000000001E-2</v>
      </c>
      <c r="F93" s="11">
        <f t="shared" si="10"/>
        <v>0</v>
      </c>
      <c r="G93" s="11" t="str">
        <f>VLOOKUP(A93,'10-year CDS Spreads'!$A$2:$D$157,4)</f>
        <v>NA</v>
      </c>
      <c r="H93" s="11" t="str">
        <f t="shared" si="11"/>
        <v>NA</v>
      </c>
      <c r="I93" s="14" t="str">
        <f t="shared" si="8"/>
        <v>NA</v>
      </c>
    </row>
    <row r="94" spans="1:9" ht="16">
      <c r="A94" s="108" t="str">
        <f>'Sovereign Ratings (Moody''s,S&amp;P)'!A88</f>
        <v>Macao</v>
      </c>
      <c r="B94" s="103" t="str">
        <f>VLOOKUP(A94,'Regional lookup table'!$A$3:$B$161,2)</f>
        <v>Asia</v>
      </c>
      <c r="C94" s="9" t="str">
        <f>'Sovereign Ratings (Moody''s,S&amp;P)'!C88</f>
        <v>Aa3</v>
      </c>
      <c r="D94" s="21">
        <f t="shared" si="7"/>
        <v>7.3341743119266058E-3</v>
      </c>
      <c r="E94" s="21">
        <f t="shared" si="9"/>
        <v>6.9745766699151612E-2</v>
      </c>
      <c r="F94" s="11">
        <f t="shared" si="10"/>
        <v>1.0345766699151613E-2</v>
      </c>
      <c r="G94" s="11" t="str">
        <f>VLOOKUP(A94,'10-year CDS Spreads'!$A$2:$D$157,4)</f>
        <v>NA</v>
      </c>
      <c r="H94" s="11" t="str">
        <f t="shared" si="11"/>
        <v>NA</v>
      </c>
      <c r="I94" s="14" t="str">
        <f t="shared" si="8"/>
        <v>NA</v>
      </c>
    </row>
    <row r="95" spans="1:9" ht="16">
      <c r="A95" s="108" t="str">
        <f>'Sovereign Ratings (Moody''s,S&amp;P)'!A89</f>
        <v>Macedonia</v>
      </c>
      <c r="B95" s="103" t="str">
        <f>VLOOKUP(A95,'Regional lookup table'!$A$3:$B$161,2)</f>
        <v>Eastern Europe &amp; Russia</v>
      </c>
      <c r="C95" s="9" t="str">
        <f>'Sovereign Ratings (Moody''s,S&amp;P)'!C89</f>
        <v>Ba3</v>
      </c>
      <c r="D95" s="21">
        <f t="shared" si="7"/>
        <v>4.4005045871559637E-2</v>
      </c>
      <c r="E95" s="21">
        <f t="shared" si="9"/>
        <v>0.12147460019490969</v>
      </c>
      <c r="F95" s="11">
        <f t="shared" si="10"/>
        <v>6.2074600194909679E-2</v>
      </c>
      <c r="G95" s="11" t="str">
        <f>VLOOKUP(A95,'10-year CDS Spreads'!$A$2:$D$157,4)</f>
        <v>NA</v>
      </c>
      <c r="H95" s="11" t="str">
        <f t="shared" si="11"/>
        <v>NA</v>
      </c>
      <c r="I95" s="14" t="str">
        <f t="shared" si="8"/>
        <v>NA</v>
      </c>
    </row>
    <row r="96" spans="1:9" ht="16">
      <c r="A96" s="108" t="str">
        <f>'Sovereign Ratings (Moody''s,S&amp;P)'!A90</f>
        <v>Malaysia</v>
      </c>
      <c r="B96" s="103" t="str">
        <f>VLOOKUP(A96,'Regional lookup table'!$A$3:$B$161,2)</f>
        <v>Asia</v>
      </c>
      <c r="C96" s="9" t="str">
        <f>'Sovereign Ratings (Moody''s,S&amp;P)'!C90</f>
        <v>A3</v>
      </c>
      <c r="D96" s="21">
        <f t="shared" si="7"/>
        <v>1.4668348623853212E-2</v>
      </c>
      <c r="E96" s="21">
        <f t="shared" ref="E96" si="16">$E$3+F96</f>
        <v>8.009153339830323E-2</v>
      </c>
      <c r="F96" s="11">
        <f t="shared" ref="F96" si="17">IF($E$4="Yes",D96*$E$5,D96)</f>
        <v>2.0691533398303225E-2</v>
      </c>
      <c r="G96" s="11">
        <f>VLOOKUP(A96,'10-year CDS Spreads'!$A$2:$D$157,4)</f>
        <v>9.1999999999999998E-3</v>
      </c>
      <c r="H96" s="11">
        <f t="shared" ref="H96" si="18">IF(I96="NA","NA",$E$3+I96)</f>
        <v>7.2377746312548688E-2</v>
      </c>
      <c r="I96" s="14">
        <f t="shared" ref="I96" si="19">IF(G96="NA","NA",G96*$E$5)</f>
        <v>1.297774631254869E-2</v>
      </c>
    </row>
    <row r="97" spans="1:9" ht="16">
      <c r="A97" s="108" t="str">
        <f>'Sovereign Ratings (Moody''s,S&amp;P)'!A91</f>
        <v>Maldives</v>
      </c>
      <c r="B97" s="103" t="str">
        <f>VLOOKUP(A97,'Regional lookup table'!$A$3:$B$161,2)</f>
        <v>Asia</v>
      </c>
      <c r="C97" s="9" t="str">
        <f>'Sovereign Ratings (Moody''s,S&amp;P)'!C91</f>
        <v>Caa1</v>
      </c>
      <c r="D97" s="21">
        <f t="shared" si="7"/>
        <v>9.1749082568807344E-2</v>
      </c>
      <c r="E97" s="21">
        <f t="shared" si="9"/>
        <v>0.18882351282468096</v>
      </c>
      <c r="F97" s="11">
        <f t="shared" si="10"/>
        <v>0.12942351282468095</v>
      </c>
      <c r="G97" s="11" t="str">
        <f>VLOOKUP(A97,'10-year CDS Spreads'!$A$2:$D$157,4)</f>
        <v>NA</v>
      </c>
      <c r="H97" s="11" t="str">
        <f t="shared" si="11"/>
        <v>NA</v>
      </c>
      <c r="I97" s="14" t="str">
        <f t="shared" si="8"/>
        <v>NA</v>
      </c>
    </row>
    <row r="98" spans="1:9" ht="16">
      <c r="A98" s="108" t="str">
        <f>'Sovereign Ratings (Moody''s,S&amp;P)'!A92</f>
        <v>Mali</v>
      </c>
      <c r="B98" s="103" t="str">
        <f>VLOOKUP(A98,'Regional lookup table'!$A$3:$B$161,2)</f>
        <v>Africa</v>
      </c>
      <c r="C98" s="9" t="str">
        <f>'Sovereign Ratings (Moody''s,S&amp;P)'!C92</f>
        <v>Caa2</v>
      </c>
      <c r="D98" s="21">
        <f t="shared" si="7"/>
        <v>0.11015642201834862</v>
      </c>
      <c r="E98" s="21">
        <f t="shared" si="9"/>
        <v>0.21478935865784579</v>
      </c>
      <c r="F98" s="11">
        <f t="shared" si="10"/>
        <v>0.15538935865784578</v>
      </c>
      <c r="G98" s="11" t="str">
        <f>VLOOKUP(A98,'10-year CDS Spreads'!$A$2:$D$157,4)</f>
        <v>NA</v>
      </c>
      <c r="H98" s="11" t="str">
        <f t="shared" si="11"/>
        <v>NA</v>
      </c>
      <c r="I98" s="14" t="str">
        <f t="shared" si="8"/>
        <v>NA</v>
      </c>
    </row>
    <row r="99" spans="1:9" ht="16">
      <c r="A99" s="108" t="str">
        <f>'Sovereign Ratings (Moody''s,S&amp;P)'!A93</f>
        <v>Malta</v>
      </c>
      <c r="B99" s="103" t="str">
        <f>VLOOKUP(A99,'Regional lookup table'!$A$3:$B$161,2)</f>
        <v>Western Europe</v>
      </c>
      <c r="C99" s="9" t="str">
        <f>'Sovereign Ratings (Moody''s,S&amp;P)'!C93</f>
        <v>A2</v>
      </c>
      <c r="D99" s="21">
        <f t="shared" si="7"/>
        <v>1.0354128440366973E-2</v>
      </c>
      <c r="E99" s="21">
        <f t="shared" si="9"/>
        <v>7.4005788281155213E-2</v>
      </c>
      <c r="F99" s="11">
        <f t="shared" si="10"/>
        <v>1.4605788281155217E-2</v>
      </c>
      <c r="G99" s="11" t="str">
        <f>VLOOKUP(A99,'10-year CDS Spreads'!$A$2:$D$157,4)</f>
        <v>NA</v>
      </c>
      <c r="H99" s="11" t="str">
        <f t="shared" si="11"/>
        <v>NA</v>
      </c>
      <c r="I99" s="14" t="str">
        <f t="shared" si="8"/>
        <v>NA</v>
      </c>
    </row>
    <row r="100" spans="1:9" ht="16">
      <c r="A100" s="108" t="str">
        <f>'Sovereign Ratings (Moody''s,S&amp;P)'!A94</f>
        <v>Mauritius</v>
      </c>
      <c r="B100" s="103" t="str">
        <f>VLOOKUP(A100,'Regional lookup table'!$A$3:$B$161,2)</f>
        <v>Africa</v>
      </c>
      <c r="C100" s="9" t="str">
        <f>'Sovereign Ratings (Moody''s,S&amp;P)'!C94</f>
        <v>Baa3</v>
      </c>
      <c r="D100" s="21">
        <f t="shared" si="7"/>
        <v>2.6891972477064225E-2</v>
      </c>
      <c r="E100" s="21">
        <f t="shared" si="9"/>
        <v>9.733447789688926E-2</v>
      </c>
      <c r="F100" s="11">
        <f t="shared" si="10"/>
        <v>3.7934477896889252E-2</v>
      </c>
      <c r="G100" s="11" t="str">
        <f>VLOOKUP(A100,'10-year CDS Spreads'!$A$2:$D$157,4)</f>
        <v>NA</v>
      </c>
      <c r="H100" s="11" t="str">
        <f t="shared" si="11"/>
        <v>NA</v>
      </c>
      <c r="I100" s="14" t="str">
        <f t="shared" si="8"/>
        <v>NA</v>
      </c>
    </row>
    <row r="101" spans="1:9" ht="16">
      <c r="A101" s="108" t="str">
        <f>'Sovereign Ratings (Moody''s,S&amp;P)'!A95</f>
        <v>Mexico</v>
      </c>
      <c r="B101" s="103" t="str">
        <f>VLOOKUP(A101,'Regional lookup table'!$A$3:$B$161,2)</f>
        <v>Central and South America</v>
      </c>
      <c r="C101" s="9" t="str">
        <f>'Sovereign Ratings (Moody''s,S&amp;P)'!C95</f>
        <v>Baa2</v>
      </c>
      <c r="D101" s="21">
        <f t="shared" si="7"/>
        <v>2.3296788990825688E-2</v>
      </c>
      <c r="E101" s="21">
        <f t="shared" si="9"/>
        <v>9.2263023632599236E-2</v>
      </c>
      <c r="F101" s="11">
        <f t="shared" si="10"/>
        <v>3.2863023632599235E-2</v>
      </c>
      <c r="G101" s="11">
        <f>VLOOKUP(A101,'10-year CDS Spreads'!$A$2:$D$157,4)</f>
        <v>1.7899999999999999E-2</v>
      </c>
      <c r="H101" s="11">
        <f t="shared" si="11"/>
        <v>8.4650180325502339E-2</v>
      </c>
      <c r="I101" s="14">
        <f t="shared" si="8"/>
        <v>2.5250180325502341E-2</v>
      </c>
    </row>
    <row r="102" spans="1:9" ht="16">
      <c r="A102" s="108" t="str">
        <f>'Sovereign Ratings (Moody''s,S&amp;P)'!A96</f>
        <v>Moldova</v>
      </c>
      <c r="B102" s="103" t="str">
        <f>VLOOKUP(A102,'Regional lookup table'!$A$3:$B$161,2)</f>
        <v>Eastern Europe &amp; Russia</v>
      </c>
      <c r="C102" s="9" t="str">
        <f>'Sovereign Ratings (Moody''s,S&amp;P)'!C96</f>
        <v>B3</v>
      </c>
      <c r="D102" s="21">
        <f t="shared" si="7"/>
        <v>7.9525458715596339E-2</v>
      </c>
      <c r="E102" s="21">
        <f t="shared" si="9"/>
        <v>0.17158056832609495</v>
      </c>
      <c r="F102" s="11">
        <f t="shared" si="10"/>
        <v>0.11218056832609494</v>
      </c>
      <c r="G102" s="11" t="str">
        <f>VLOOKUP(A102,'10-year CDS Spreads'!$A$2:$D$157,4)</f>
        <v>NA</v>
      </c>
      <c r="H102" s="11" t="str">
        <f t="shared" si="11"/>
        <v>NA</v>
      </c>
      <c r="I102" s="14" t="str">
        <f t="shared" si="8"/>
        <v>NA</v>
      </c>
    </row>
    <row r="103" spans="1:9" ht="16">
      <c r="A103" s="108" t="str">
        <f>'Sovereign Ratings (Moody''s,S&amp;P)'!A97</f>
        <v>Mongolia</v>
      </c>
      <c r="B103" s="103" t="str">
        <f>VLOOKUP(A103,'Regional lookup table'!$A$3:$B$161,2)</f>
        <v>Asia</v>
      </c>
      <c r="C103" s="9" t="str">
        <f>'Sovereign Ratings (Moody''s,S&amp;P)'!C97</f>
        <v>B3</v>
      </c>
      <c r="D103" s="21">
        <f t="shared" si="7"/>
        <v>7.9525458715596339E-2</v>
      </c>
      <c r="E103" s="21">
        <f t="shared" si="9"/>
        <v>0.17158056832609495</v>
      </c>
      <c r="F103" s="11">
        <f t="shared" si="10"/>
        <v>0.11218056832609494</v>
      </c>
      <c r="G103" s="11" t="str">
        <f>VLOOKUP(A103,'10-year CDS Spreads'!$A$2:$D$157,4)</f>
        <v>NA</v>
      </c>
      <c r="H103" s="11" t="str">
        <f t="shared" si="11"/>
        <v>NA</v>
      </c>
      <c r="I103" s="14" t="str">
        <f t="shared" si="8"/>
        <v>NA</v>
      </c>
    </row>
    <row r="104" spans="1:9" ht="16">
      <c r="A104" s="108" t="str">
        <f>'Sovereign Ratings (Moody''s,S&amp;P)'!A98</f>
        <v>Montenegro</v>
      </c>
      <c r="B104" s="103" t="str">
        <f>VLOOKUP(A104,'Regional lookup table'!$A$3:$B$161,2)</f>
        <v>Eastern Europe &amp; Russia</v>
      </c>
      <c r="C104" s="9" t="str">
        <f>'Sovereign Ratings (Moody''s,S&amp;P)'!C98</f>
        <v>B1</v>
      </c>
      <c r="D104" s="21">
        <f t="shared" si="7"/>
        <v>5.5078211009174309E-2</v>
      </c>
      <c r="E104" s="21">
        <f t="shared" si="9"/>
        <v>0.13709467932892289</v>
      </c>
      <c r="F104" s="11">
        <f t="shared" si="10"/>
        <v>7.7694679328922892E-2</v>
      </c>
      <c r="G104" s="11" t="str">
        <f>VLOOKUP(A104,'10-year CDS Spreads'!$A$2:$D$157,4)</f>
        <v>NA</v>
      </c>
      <c r="H104" s="11" t="str">
        <f t="shared" si="11"/>
        <v>NA</v>
      </c>
      <c r="I104" s="14" t="str">
        <f t="shared" si="8"/>
        <v>NA</v>
      </c>
    </row>
    <row r="105" spans="1:9" ht="16">
      <c r="A105" s="108" t="str">
        <f>'Sovereign Ratings (Moody''s,S&amp;P)'!A99</f>
        <v>Montserrat</v>
      </c>
      <c r="B105" s="103" t="str">
        <f>VLOOKUP(A105,'Regional lookup table'!$A$3:$B$161,2)</f>
        <v>Caribbean</v>
      </c>
      <c r="C105" s="9" t="str">
        <f>'Sovereign Ratings (Moody''s,S&amp;P)'!C99</f>
        <v>Baa3</v>
      </c>
      <c r="D105" s="21">
        <f t="shared" si="7"/>
        <v>2.6891972477064225E-2</v>
      </c>
      <c r="E105" s="21">
        <f t="shared" si="9"/>
        <v>9.733447789688926E-2</v>
      </c>
      <c r="F105" s="11">
        <f t="shared" si="10"/>
        <v>3.7934477896889252E-2</v>
      </c>
      <c r="G105" s="11" t="str">
        <f>VLOOKUP(A105,'10-year CDS Spreads'!$A$2:$D$157,4)</f>
        <v>NA</v>
      </c>
      <c r="H105" s="11" t="str">
        <f t="shared" si="11"/>
        <v>NA</v>
      </c>
      <c r="I105" s="14" t="str">
        <f t="shared" si="8"/>
        <v>NA</v>
      </c>
    </row>
    <row r="106" spans="1:9" ht="16">
      <c r="A106" s="108" t="str">
        <f>'Sovereign Ratings (Moody''s,S&amp;P)'!A100</f>
        <v>Morocco</v>
      </c>
      <c r="B106" s="103" t="str">
        <f>VLOOKUP(A106,'Regional lookup table'!$A$3:$B$161,2)</f>
        <v>Africa</v>
      </c>
      <c r="C106" s="9" t="str">
        <f>'Sovereign Ratings (Moody''s,S&amp;P)'!C100</f>
        <v>Ba1</v>
      </c>
      <c r="D106" s="21">
        <f t="shared" si="7"/>
        <v>3.0630963302752296E-2</v>
      </c>
      <c r="E106" s="21">
        <f t="shared" si="9"/>
        <v>0.10260879033175085</v>
      </c>
      <c r="F106" s="11">
        <f t="shared" si="10"/>
        <v>4.3208790331750853E-2</v>
      </c>
      <c r="G106" s="11">
        <f>VLOOKUP(A106,'10-year CDS Spreads'!$A$2:$D$157,4)</f>
        <v>2.2099999999999998E-2</v>
      </c>
      <c r="H106" s="11">
        <f t="shared" si="11"/>
        <v>9.057480364210066E-2</v>
      </c>
      <c r="I106" s="14">
        <f t="shared" si="8"/>
        <v>3.1174803642100655E-2</v>
      </c>
    </row>
    <row r="107" spans="1:9" ht="16">
      <c r="A107" s="108" t="str">
        <f>'Sovereign Ratings (Moody''s,S&amp;P)'!A101</f>
        <v>Mozambique</v>
      </c>
      <c r="B107" s="103" t="str">
        <f>VLOOKUP(A107,'Regional lookup table'!$A$3:$B$161,2)</f>
        <v>Africa</v>
      </c>
      <c r="C107" s="9" t="str">
        <f>'Sovereign Ratings (Moody''s,S&amp;P)'!C101</f>
        <v>Caa2</v>
      </c>
      <c r="D107" s="21">
        <f t="shared" si="7"/>
        <v>0.11015642201834862</v>
      </c>
      <c r="E107" s="21">
        <f t="shared" si="9"/>
        <v>0.21478935865784579</v>
      </c>
      <c r="F107" s="11">
        <f t="shared" si="10"/>
        <v>0.15538935865784578</v>
      </c>
      <c r="G107" s="11" t="str">
        <f>VLOOKUP(A107,'10-year CDS Spreads'!$A$2:$D$157,4)</f>
        <v>NA</v>
      </c>
      <c r="H107" s="11" t="str">
        <f t="shared" si="11"/>
        <v>NA</v>
      </c>
      <c r="I107" s="14" t="str">
        <f t="shared" si="8"/>
        <v>NA</v>
      </c>
    </row>
    <row r="108" spans="1:9" ht="16">
      <c r="A108" s="108" t="str">
        <f>'Sovereign Ratings (Moody''s,S&amp;P)'!A102</f>
        <v>Namibia</v>
      </c>
      <c r="B108" s="103" t="str">
        <f>VLOOKUP(A108,'Regional lookup table'!$A$3:$B$161,2)</f>
        <v>Africa</v>
      </c>
      <c r="C108" s="9" t="str">
        <f>'Sovereign Ratings (Moody''s,S&amp;P)'!C102</f>
        <v>B1</v>
      </c>
      <c r="D108" s="21">
        <f t="shared" si="7"/>
        <v>5.5078211009174309E-2</v>
      </c>
      <c r="E108" s="21">
        <f t="shared" si="9"/>
        <v>0.13709467932892289</v>
      </c>
      <c r="F108" s="11">
        <f t="shared" si="10"/>
        <v>7.7694679328922892E-2</v>
      </c>
      <c r="G108" s="11" t="str">
        <f>VLOOKUP(A108,'10-year CDS Spreads'!$A$2:$D$157,4)</f>
        <v>NA</v>
      </c>
      <c r="H108" s="11" t="str">
        <f t="shared" si="11"/>
        <v>NA</v>
      </c>
      <c r="I108" s="14" t="str">
        <f t="shared" si="8"/>
        <v>NA</v>
      </c>
    </row>
    <row r="109" spans="1:9" ht="16">
      <c r="A109" s="108" t="str">
        <f>'Sovereign Ratings (Moody''s,S&amp;P)'!A103</f>
        <v>Netherlands</v>
      </c>
      <c r="B109" s="103" t="str">
        <f>VLOOKUP(A109,'Regional lookup table'!$A$3:$B$161,2)</f>
        <v>Western Europe</v>
      </c>
      <c r="C109" s="9" t="str">
        <f>'Sovereign Ratings (Moody''s,S&amp;P)'!C103</f>
        <v>Aaa</v>
      </c>
      <c r="D109" s="21">
        <f t="shared" si="7"/>
        <v>0</v>
      </c>
      <c r="E109" s="21">
        <f t="shared" si="9"/>
        <v>5.9400000000000001E-2</v>
      </c>
      <c r="F109" s="11">
        <f t="shared" si="10"/>
        <v>0</v>
      </c>
      <c r="G109" s="11">
        <f>VLOOKUP(A109,'10-year CDS Spreads'!$A$2:$D$157,4)</f>
        <v>0</v>
      </c>
      <c r="H109" s="11">
        <f t="shared" si="11"/>
        <v>5.9400000000000001E-2</v>
      </c>
      <c r="I109" s="14">
        <f t="shared" si="8"/>
        <v>0</v>
      </c>
    </row>
    <row r="110" spans="1:9" ht="16">
      <c r="A110" s="108" t="str">
        <f>'Sovereign Ratings (Moody''s,S&amp;P)'!A104</f>
        <v>New Zealand</v>
      </c>
      <c r="B110" s="103" t="str">
        <f>VLOOKUP(A110,'Regional lookup table'!$A$3:$B$161,2)</f>
        <v>Australia &amp; New Zealand</v>
      </c>
      <c r="C110" s="9" t="str">
        <f>'Sovereign Ratings (Moody''s,S&amp;P)'!C104</f>
        <v>Aaa</v>
      </c>
      <c r="D110" s="21">
        <f t="shared" si="7"/>
        <v>0</v>
      </c>
      <c r="E110" s="21">
        <f t="shared" si="9"/>
        <v>5.9400000000000001E-2</v>
      </c>
      <c r="F110" s="11">
        <f t="shared" si="10"/>
        <v>0</v>
      </c>
      <c r="G110" s="11">
        <f>VLOOKUP(A110,'10-year CDS Spreads'!$A$2:$D$157,4)</f>
        <v>6.9999999999999967E-4</v>
      </c>
      <c r="H110" s="11">
        <f t="shared" si="11"/>
        <v>6.038743721943305E-2</v>
      </c>
      <c r="I110" s="14">
        <f t="shared" si="8"/>
        <v>9.874372194330521E-4</v>
      </c>
    </row>
    <row r="111" spans="1:9" ht="16">
      <c r="A111" s="108" t="str">
        <f>'Sovereign Ratings (Moody''s,S&amp;P)'!A105</f>
        <v>Nicaragua</v>
      </c>
      <c r="B111" s="103" t="str">
        <f>VLOOKUP(A111,'Regional lookup table'!$A$3:$B$161,2)</f>
        <v>Central and South America</v>
      </c>
      <c r="C111" s="9" t="str">
        <f>'Sovereign Ratings (Moody''s,S&amp;P)'!C105</f>
        <v>B3</v>
      </c>
      <c r="D111" s="21">
        <f t="shared" si="7"/>
        <v>7.9525458715596339E-2</v>
      </c>
      <c r="E111" s="21">
        <f t="shared" si="9"/>
        <v>0.17158056832609495</v>
      </c>
      <c r="F111" s="11">
        <f t="shared" si="10"/>
        <v>0.11218056832609494</v>
      </c>
      <c r="G111" s="11">
        <f>VLOOKUP(A111,'10-year CDS Spreads'!$A$2:$D$157,4)</f>
        <v>5.9500000000000004E-2</v>
      </c>
      <c r="H111" s="11">
        <f t="shared" si="11"/>
        <v>0.14333216365180948</v>
      </c>
      <c r="I111" s="14">
        <f t="shared" si="8"/>
        <v>8.3932163651809472E-2</v>
      </c>
    </row>
    <row r="112" spans="1:9" ht="16">
      <c r="A112" s="108" t="str">
        <f>'Sovereign Ratings (Moody''s,S&amp;P)'!A106</f>
        <v>Niger</v>
      </c>
      <c r="B112" s="103" t="str">
        <f>VLOOKUP(A112,'Regional lookup table'!$A$3:$B$161,2)</f>
        <v>Africa</v>
      </c>
      <c r="C112" s="9" t="str">
        <f>'Sovereign Ratings (Moody''s,S&amp;P)'!C106</f>
        <v>B3</v>
      </c>
      <c r="D112" s="21">
        <f t="shared" si="7"/>
        <v>7.9525458715596339E-2</v>
      </c>
      <c r="E112" s="21">
        <f t="shared" ref="E112" si="20">$E$3+F112</f>
        <v>0.17158056832609495</v>
      </c>
      <c r="F112" s="11">
        <f t="shared" ref="F112" si="21">IF($E$4="Yes",D112*$E$5,D112)</f>
        <v>0.11218056832609494</v>
      </c>
      <c r="G112" s="11" t="str">
        <f>VLOOKUP(A112,'10-year CDS Spreads'!$A$2:$D$157,4)</f>
        <v>NA</v>
      </c>
      <c r="H112" s="11" t="str">
        <f t="shared" ref="H112" si="22">IF(I112="NA","NA",$E$3+I112)</f>
        <v>NA</v>
      </c>
      <c r="I112" s="14" t="str">
        <f t="shared" ref="I112" si="23">IF(G112="NA","NA",G112*$E$5)</f>
        <v>NA</v>
      </c>
    </row>
    <row r="113" spans="1:9" ht="16">
      <c r="A113" s="108" t="str">
        <f>'Sovereign Ratings (Moody''s,S&amp;P)'!A107</f>
        <v>Nigeria</v>
      </c>
      <c r="B113" s="103" t="str">
        <f>VLOOKUP(A113,'Regional lookup table'!$A$3:$B$161,2)</f>
        <v>Africa</v>
      </c>
      <c r="C113" s="9" t="str">
        <f>'Sovereign Ratings (Moody''s,S&amp;P)'!C107</f>
        <v>B3</v>
      </c>
      <c r="D113" s="21">
        <f t="shared" si="7"/>
        <v>7.9525458715596339E-2</v>
      </c>
      <c r="E113" s="21">
        <f t="shared" si="9"/>
        <v>0.17158056832609495</v>
      </c>
      <c r="F113" s="11">
        <f t="shared" si="10"/>
        <v>0.11218056832609494</v>
      </c>
      <c r="G113" s="11">
        <f>VLOOKUP(A113,'10-year CDS Spreads'!$A$2:$D$157,4)</f>
        <v>8.2000000000000003E-2</v>
      </c>
      <c r="H113" s="11">
        <f t="shared" si="11"/>
        <v>0.17507121713358614</v>
      </c>
      <c r="I113" s="14">
        <f t="shared" si="8"/>
        <v>0.11567121713358615</v>
      </c>
    </row>
    <row r="114" spans="1:9" ht="16">
      <c r="A114" s="108" t="str">
        <f>'Sovereign Ratings (Moody''s,S&amp;P)'!A108</f>
        <v>Norway</v>
      </c>
      <c r="B114" s="103" t="str">
        <f>VLOOKUP(A114,'Regional lookup table'!$A$3:$B$161,2)</f>
        <v>Western Europe</v>
      </c>
      <c r="C114" s="9" t="str">
        <f>'Sovereign Ratings (Moody''s,S&amp;P)'!C108</f>
        <v>Aaa</v>
      </c>
      <c r="D114" s="21">
        <f t="shared" si="7"/>
        <v>0</v>
      </c>
      <c r="E114" s="21">
        <f t="shared" si="9"/>
        <v>5.9400000000000001E-2</v>
      </c>
      <c r="F114" s="11">
        <f t="shared" si="10"/>
        <v>0</v>
      </c>
      <c r="G114" s="11">
        <f>VLOOKUP(A114,'10-year CDS Spreads'!$A$2:$D$157,4)</f>
        <v>0</v>
      </c>
      <c r="H114" s="11">
        <f t="shared" si="11"/>
        <v>5.9400000000000001E-2</v>
      </c>
      <c r="I114" s="14">
        <f t="shared" si="8"/>
        <v>0</v>
      </c>
    </row>
    <row r="115" spans="1:9" ht="16">
      <c r="A115" s="108" t="str">
        <f>'Sovereign Ratings (Moody''s,S&amp;P)'!A109</f>
        <v>Oman</v>
      </c>
      <c r="B115" s="103" t="str">
        <f>VLOOKUP(A115,'Regional lookup table'!$A$3:$B$161,2)</f>
        <v>Middle East</v>
      </c>
      <c r="C115" s="9" t="str">
        <f>'Sovereign Ratings (Moody''s,S&amp;P)'!C109</f>
        <v>Ba3</v>
      </c>
      <c r="D115" s="21">
        <f t="shared" si="7"/>
        <v>4.4005045871559637E-2</v>
      </c>
      <c r="E115" s="21">
        <f t="shared" si="9"/>
        <v>0.12147460019490969</v>
      </c>
      <c r="F115" s="11">
        <f t="shared" si="10"/>
        <v>6.2074600194909679E-2</v>
      </c>
      <c r="G115" s="11">
        <f>VLOOKUP(A115,'10-year CDS Spreads'!$A$2:$D$157,4)</f>
        <v>2.0499999999999997E-2</v>
      </c>
      <c r="H115" s="11">
        <f t="shared" si="11"/>
        <v>8.8317804283396528E-2</v>
      </c>
      <c r="I115" s="14">
        <f t="shared" si="8"/>
        <v>2.8917804283396534E-2</v>
      </c>
    </row>
    <row r="116" spans="1:9" ht="16">
      <c r="A116" s="108" t="str">
        <f>'Sovereign Ratings (Moody''s,S&amp;P)'!A110</f>
        <v>Pakistan</v>
      </c>
      <c r="B116" s="103" t="str">
        <f>VLOOKUP(A116,'Regional lookup table'!$A$3:$B$161,2)</f>
        <v>Asia</v>
      </c>
      <c r="C116" s="9" t="str">
        <f>'Sovereign Ratings (Moody''s,S&amp;P)'!C110</f>
        <v>Caa1</v>
      </c>
      <c r="D116" s="21">
        <f t="shared" si="7"/>
        <v>9.1749082568807344E-2</v>
      </c>
      <c r="E116" s="21">
        <f t="shared" si="9"/>
        <v>0.18882351282468096</v>
      </c>
      <c r="F116" s="11">
        <f t="shared" si="10"/>
        <v>0.12942351282468095</v>
      </c>
      <c r="G116" s="11" t="str">
        <f>VLOOKUP(A116,'10-year CDS Spreads'!$A$2:$D$157,4)</f>
        <v>NA</v>
      </c>
      <c r="H116" s="11" t="str">
        <f t="shared" si="11"/>
        <v>NA</v>
      </c>
      <c r="I116" s="14" t="str">
        <f t="shared" si="8"/>
        <v>NA</v>
      </c>
    </row>
    <row r="117" spans="1:9" ht="16">
      <c r="A117" s="108" t="str">
        <f>'Sovereign Ratings (Moody''s,S&amp;P)'!A111</f>
        <v>Panama</v>
      </c>
      <c r="B117" s="103" t="str">
        <f>VLOOKUP(A117,'Regional lookup table'!$A$3:$B$161,2)</f>
        <v>Central and South America</v>
      </c>
      <c r="C117" s="9" t="str">
        <f>'Sovereign Ratings (Moody''s,S&amp;P)'!C111</f>
        <v>Baa2</v>
      </c>
      <c r="D117" s="21">
        <f t="shared" si="7"/>
        <v>2.3296788990825688E-2</v>
      </c>
      <c r="E117" s="21">
        <f t="shared" si="9"/>
        <v>9.2263023632599236E-2</v>
      </c>
      <c r="F117" s="11">
        <f t="shared" si="10"/>
        <v>3.2863023632599235E-2</v>
      </c>
      <c r="G117" s="11">
        <f>VLOOKUP(A117,'10-year CDS Spreads'!$A$2:$D$157,4)</f>
        <v>1.47E-2</v>
      </c>
      <c r="H117" s="11">
        <f t="shared" si="11"/>
        <v>8.0136181608094104E-2</v>
      </c>
      <c r="I117" s="14">
        <f t="shared" si="8"/>
        <v>2.0736181608094102E-2</v>
      </c>
    </row>
    <row r="118" spans="1:9" ht="16">
      <c r="A118" s="108" t="str">
        <f>'Sovereign Ratings (Moody''s,S&amp;P)'!A112</f>
        <v>Papua New Guinea</v>
      </c>
      <c r="B118" s="103" t="str">
        <f>VLOOKUP(A118,'Regional lookup table'!$A$3:$B$161,2)</f>
        <v>Asia</v>
      </c>
      <c r="C118" s="9" t="str">
        <f>'Sovereign Ratings (Moody''s,S&amp;P)'!C112</f>
        <v>B2</v>
      </c>
      <c r="D118" s="21">
        <f t="shared" si="7"/>
        <v>6.7301834862385335E-2</v>
      </c>
      <c r="E118" s="21">
        <f t="shared" si="9"/>
        <v>0.15433762382750893</v>
      </c>
      <c r="F118" s="11">
        <f t="shared" si="10"/>
        <v>9.4937623827508935E-2</v>
      </c>
      <c r="G118" s="11" t="str">
        <f>VLOOKUP(A118,'10-year CDS Spreads'!$A$2:$D$157,4)</f>
        <v>NA</v>
      </c>
      <c r="H118" s="11" t="str">
        <f t="shared" si="11"/>
        <v>NA</v>
      </c>
      <c r="I118" s="14" t="str">
        <f t="shared" si="8"/>
        <v>NA</v>
      </c>
    </row>
    <row r="119" spans="1:9" ht="16">
      <c r="A119" s="108" t="str">
        <f>'Sovereign Ratings (Moody''s,S&amp;P)'!A113</f>
        <v>Paraguay</v>
      </c>
      <c r="B119" s="103" t="str">
        <f>VLOOKUP(A119,'Regional lookup table'!$A$3:$B$161,2)</f>
        <v>Central and South America</v>
      </c>
      <c r="C119" s="9" t="str">
        <f>'Sovereign Ratings (Moody''s,S&amp;P)'!C113</f>
        <v>Ba1</v>
      </c>
      <c r="D119" s="21">
        <f t="shared" si="7"/>
        <v>3.0630963302752296E-2</v>
      </c>
      <c r="E119" s="21">
        <f t="shared" si="9"/>
        <v>0.10260879033175085</v>
      </c>
      <c r="F119" s="11">
        <f t="shared" si="10"/>
        <v>4.3208790331750853E-2</v>
      </c>
      <c r="G119" s="11" t="str">
        <f>VLOOKUP(A119,'10-year CDS Spreads'!$A$2:$D$157,4)</f>
        <v>NA</v>
      </c>
      <c r="H119" s="11" t="str">
        <f t="shared" si="11"/>
        <v>NA</v>
      </c>
      <c r="I119" s="14" t="str">
        <f t="shared" si="8"/>
        <v>NA</v>
      </c>
    </row>
    <row r="120" spans="1:9" ht="16">
      <c r="A120" s="108" t="str">
        <f>'Sovereign Ratings (Moody''s,S&amp;P)'!A114</f>
        <v>Peru</v>
      </c>
      <c r="B120" s="103" t="str">
        <f>VLOOKUP(A120,'Regional lookup table'!$A$3:$B$161,2)</f>
        <v>Central and South America</v>
      </c>
      <c r="C120" s="9" t="str">
        <f>'Sovereign Ratings (Moody''s,S&amp;P)'!C114</f>
        <v>Baa1</v>
      </c>
      <c r="D120" s="21">
        <f t="shared" si="7"/>
        <v>1.9557798165137613E-2</v>
      </c>
      <c r="E120" s="21">
        <f t="shared" si="9"/>
        <v>8.6988711197737628E-2</v>
      </c>
      <c r="F120" s="11">
        <f t="shared" si="10"/>
        <v>2.758871119773763E-2</v>
      </c>
      <c r="G120" s="11">
        <f>VLOOKUP(A120,'10-year CDS Spreads'!$A$2:$D$157,4)</f>
        <v>1.6199999999999999E-2</v>
      </c>
      <c r="H120" s="11">
        <f t="shared" si="11"/>
        <v>8.2252118506879218E-2</v>
      </c>
      <c r="I120" s="14">
        <f t="shared" si="8"/>
        <v>2.2852118506879213E-2</v>
      </c>
    </row>
    <row r="121" spans="1:9" ht="16">
      <c r="A121" s="108" t="str">
        <f>'Sovereign Ratings (Moody''s,S&amp;P)'!A115</f>
        <v>Philippines</v>
      </c>
      <c r="B121" s="103" t="str">
        <f>VLOOKUP(A121,'Regional lookup table'!$A$3:$B$161,2)</f>
        <v>Asia</v>
      </c>
      <c r="C121" s="9" t="str">
        <f>'Sovereign Ratings (Moody''s,S&amp;P)'!C115</f>
        <v>Baa2</v>
      </c>
      <c r="D121" s="21">
        <f t="shared" si="7"/>
        <v>2.3296788990825688E-2</v>
      </c>
      <c r="E121" s="21">
        <f t="shared" si="9"/>
        <v>9.2263023632599236E-2</v>
      </c>
      <c r="F121" s="11">
        <f t="shared" si="10"/>
        <v>3.2863023632599235E-2</v>
      </c>
      <c r="G121" s="11">
        <f>VLOOKUP(A121,'10-year CDS Spreads'!$A$2:$D$157,4)</f>
        <v>1.3200000000000002E-2</v>
      </c>
      <c r="H121" s="11">
        <f t="shared" si="11"/>
        <v>7.8020244709308989E-2</v>
      </c>
      <c r="I121" s="14">
        <f t="shared" si="8"/>
        <v>1.8620244709308991E-2</v>
      </c>
    </row>
    <row r="122" spans="1:9" ht="16">
      <c r="A122" s="108" t="str">
        <f>'Sovereign Ratings (Moody''s,S&amp;P)'!A116</f>
        <v>Poland</v>
      </c>
      <c r="B122" s="103" t="str">
        <f>VLOOKUP(A122,'Regional lookup table'!$A$3:$B$161,2)</f>
        <v>Eastern Europe &amp; Russia</v>
      </c>
      <c r="C122" s="9" t="str">
        <f>'Sovereign Ratings (Moody''s,S&amp;P)'!C116</f>
        <v>A2</v>
      </c>
      <c r="D122" s="21">
        <f t="shared" si="7"/>
        <v>1.0354128440366973E-2</v>
      </c>
      <c r="E122" s="21">
        <f t="shared" si="9"/>
        <v>7.4005788281155213E-2</v>
      </c>
      <c r="F122" s="11">
        <f t="shared" si="10"/>
        <v>1.4605788281155217E-2</v>
      </c>
      <c r="G122" s="11">
        <f>VLOOKUP(A122,'10-year CDS Spreads'!$A$2:$D$157,4)</f>
        <v>1.1300000000000001E-2</v>
      </c>
      <c r="H122" s="11">
        <f t="shared" si="11"/>
        <v>7.5340057970847849E-2</v>
      </c>
      <c r="I122" s="14">
        <f t="shared" si="8"/>
        <v>1.5940057970847847E-2</v>
      </c>
    </row>
    <row r="123" spans="1:9" ht="16">
      <c r="A123" s="108" t="str">
        <f>'Sovereign Ratings (Moody''s,S&amp;P)'!A117</f>
        <v>Portugal</v>
      </c>
      <c r="B123" s="103" t="str">
        <f>VLOOKUP(A123,'Regional lookup table'!$A$3:$B$161,2)</f>
        <v>Western Europe</v>
      </c>
      <c r="C123" s="9" t="str">
        <f>'Sovereign Ratings (Moody''s,S&amp;P)'!C117</f>
        <v>Baa2</v>
      </c>
      <c r="D123" s="21">
        <f t="shared" si="7"/>
        <v>2.3296788990825688E-2</v>
      </c>
      <c r="E123" s="21">
        <f t="shared" si="9"/>
        <v>9.2263023632599236E-2</v>
      </c>
      <c r="F123" s="11">
        <f t="shared" si="10"/>
        <v>3.2863023632599235E-2</v>
      </c>
      <c r="G123" s="11">
        <f>VLOOKUP(A123,'10-year CDS Spreads'!$A$2:$D$157,4)</f>
        <v>4.8999999999999998E-3</v>
      </c>
      <c r="H123" s="11">
        <f t="shared" si="11"/>
        <v>6.6312060536031364E-2</v>
      </c>
      <c r="I123" s="14">
        <f t="shared" si="8"/>
        <v>6.9120605360313671E-3</v>
      </c>
    </row>
    <row r="124" spans="1:9" ht="16">
      <c r="A124" s="108" t="str">
        <f>'Sovereign Ratings (Moody''s,S&amp;P)'!A118</f>
        <v>Qatar</v>
      </c>
      <c r="B124" s="103" t="str">
        <f>VLOOKUP(A124,'Regional lookup table'!$A$3:$B$161,2)</f>
        <v>Middle East</v>
      </c>
      <c r="C124" s="9" t="str">
        <f>'Sovereign Ratings (Moody''s,S&amp;P)'!C118</f>
        <v>Aa3</v>
      </c>
      <c r="D124" s="21">
        <f t="shared" si="7"/>
        <v>7.3341743119266058E-3</v>
      </c>
      <c r="E124" s="21">
        <f t="shared" si="9"/>
        <v>6.9745766699151612E-2</v>
      </c>
      <c r="F124" s="11">
        <f t="shared" si="10"/>
        <v>1.0345766699151613E-2</v>
      </c>
      <c r="G124" s="11">
        <f>VLOOKUP(A124,'10-year CDS Spreads'!$A$2:$D$157,4)</f>
        <v>4.7000000000000011E-3</v>
      </c>
      <c r="H124" s="11">
        <f t="shared" si="11"/>
        <v>6.6029935616193358E-2</v>
      </c>
      <c r="I124" s="14">
        <f t="shared" si="8"/>
        <v>6.6299356161933541E-3</v>
      </c>
    </row>
    <row r="125" spans="1:9" ht="16">
      <c r="A125" s="108" t="str">
        <f>'Sovereign Ratings (Moody''s,S&amp;P)'!A119</f>
        <v>Ras Al Khaimah (Emirate of)</v>
      </c>
      <c r="B125" s="103" t="str">
        <f>VLOOKUP(A125,'Regional lookup table'!$A$3:$B$161,2)</f>
        <v>Middle East</v>
      </c>
      <c r="C125" s="9" t="str">
        <f>'Sovereign Ratings (Moody''s,S&amp;P)'!C119</f>
        <v>A3</v>
      </c>
      <c r="D125" s="21">
        <f t="shared" si="7"/>
        <v>1.4668348623853212E-2</v>
      </c>
      <c r="E125" s="21">
        <f t="shared" si="9"/>
        <v>8.009153339830323E-2</v>
      </c>
      <c r="F125" s="11">
        <f t="shared" si="10"/>
        <v>2.0691533398303225E-2</v>
      </c>
      <c r="G125" s="11" t="str">
        <f>VLOOKUP(A125,'10-year CDS Spreads'!$A$2:$D$157,4)</f>
        <v>NA</v>
      </c>
      <c r="H125" s="11" t="str">
        <f t="shared" si="11"/>
        <v>NA</v>
      </c>
      <c r="I125" s="14" t="str">
        <f t="shared" si="8"/>
        <v>NA</v>
      </c>
    </row>
    <row r="126" spans="1:9" ht="16">
      <c r="A126" s="108" t="str">
        <f>'Sovereign Ratings (Moody''s,S&amp;P)'!A120</f>
        <v>Romania</v>
      </c>
      <c r="B126" s="103" t="str">
        <f>VLOOKUP(A126,'Regional lookup table'!$A$3:$B$161,2)</f>
        <v>Eastern Europe &amp; Russia</v>
      </c>
      <c r="C126" s="9" t="str">
        <f>'Sovereign Ratings (Moody''s,S&amp;P)'!C120</f>
        <v>Baa3</v>
      </c>
      <c r="D126" s="21">
        <f t="shared" si="7"/>
        <v>2.6891972477064225E-2</v>
      </c>
      <c r="E126" s="21">
        <f t="shared" si="9"/>
        <v>9.733447789688926E-2</v>
      </c>
      <c r="F126" s="11">
        <f t="shared" si="10"/>
        <v>3.7934477896889252E-2</v>
      </c>
      <c r="G126" s="11">
        <f>VLOOKUP(A126,'10-year CDS Spreads'!$A$2:$D$157,4)</f>
        <v>2.8499999999999998E-2</v>
      </c>
      <c r="H126" s="11">
        <f t="shared" si="11"/>
        <v>9.960280107691713E-2</v>
      </c>
      <c r="I126" s="14">
        <f t="shared" si="8"/>
        <v>4.0202801076917136E-2</v>
      </c>
    </row>
    <row r="127" spans="1:9" ht="16">
      <c r="A127" s="108" t="str">
        <f>'Sovereign Ratings (Moody''s,S&amp;P)'!A121</f>
        <v>Russia</v>
      </c>
      <c r="B127" s="103" t="str">
        <f>VLOOKUP(A127,'Regional lookup table'!$A$3:$B$161,2)</f>
        <v>Eastern Europe &amp; Russia</v>
      </c>
      <c r="C127" s="9" t="str">
        <f>'Sovereign Ratings (Moody''s,S&amp;P)'!C121</f>
        <v>Caa1</v>
      </c>
      <c r="D127" s="21">
        <f t="shared" si="7"/>
        <v>9.1749082568807344E-2</v>
      </c>
      <c r="E127" s="21">
        <f t="shared" si="9"/>
        <v>0.18882351282468096</v>
      </c>
      <c r="F127" s="11">
        <f t="shared" si="10"/>
        <v>0.12942351282468095</v>
      </c>
      <c r="G127" s="11" t="str">
        <f>VLOOKUP(A127,'10-year CDS Spreads'!$A$2:$D$157,4)</f>
        <v>NA</v>
      </c>
      <c r="H127" s="11" t="str">
        <f t="shared" si="11"/>
        <v>NA</v>
      </c>
      <c r="I127" s="14" t="str">
        <f t="shared" si="8"/>
        <v>NA</v>
      </c>
    </row>
    <row r="128" spans="1:9" ht="16">
      <c r="A128" s="108" t="str">
        <f>'Sovereign Ratings (Moody''s,S&amp;P)'!A122</f>
        <v>Rwanda</v>
      </c>
      <c r="B128" s="103" t="str">
        <f>VLOOKUP(A128,'Regional lookup table'!$A$3:$B$161,2)</f>
        <v>Africa</v>
      </c>
      <c r="C128" s="9" t="str">
        <f>'Sovereign Ratings (Moody''s,S&amp;P)'!C122</f>
        <v>B2</v>
      </c>
      <c r="D128" s="21">
        <f t="shared" si="7"/>
        <v>6.7301834862385335E-2</v>
      </c>
      <c r="E128" s="21">
        <f t="shared" si="9"/>
        <v>0.15433762382750893</v>
      </c>
      <c r="F128" s="11">
        <f t="shared" si="10"/>
        <v>9.4937623827508935E-2</v>
      </c>
      <c r="G128" s="11">
        <f>VLOOKUP(A128,'10-year CDS Spreads'!$A$2:$D$157,4)</f>
        <v>5.0999999999999997E-2</v>
      </c>
      <c r="H128" s="11">
        <f t="shared" si="11"/>
        <v>0.13134185455869382</v>
      </c>
      <c r="I128" s="14">
        <f t="shared" si="8"/>
        <v>7.1941854558693813E-2</v>
      </c>
    </row>
    <row r="129" spans="1:9" ht="16">
      <c r="A129" s="108" t="str">
        <f>'Sovereign Ratings (Moody''s,S&amp;P)'!A123</f>
        <v>Saudi Arabia</v>
      </c>
      <c r="B129" s="103" t="str">
        <f>VLOOKUP(A129,'Regional lookup table'!$A$3:$B$161,2)</f>
        <v>Middle East</v>
      </c>
      <c r="C129" s="9" t="str">
        <f>'Sovereign Ratings (Moody''s,S&amp;P)'!C123</f>
        <v>A1</v>
      </c>
      <c r="D129" s="21">
        <f t="shared" si="7"/>
        <v>8.6284403669724778E-3</v>
      </c>
      <c r="E129" s="21">
        <f t="shared" si="9"/>
        <v>7.1571490234296015E-2</v>
      </c>
      <c r="F129" s="11">
        <f t="shared" si="10"/>
        <v>1.2171490234296015E-2</v>
      </c>
      <c r="G129" s="11">
        <f>VLOOKUP(A129,'10-year CDS Spreads'!$A$2:$D$157,4)</f>
        <v>6.3999999999999994E-3</v>
      </c>
      <c r="H129" s="11">
        <f t="shared" si="11"/>
        <v>6.8427997434816479E-2</v>
      </c>
      <c r="I129" s="14">
        <f t="shared" si="8"/>
        <v>9.0279974348164791E-3</v>
      </c>
    </row>
    <row r="130" spans="1:9" ht="16">
      <c r="A130" s="108" t="str">
        <f>'Sovereign Ratings (Moody''s,S&amp;P)'!A124</f>
        <v>Senegal</v>
      </c>
      <c r="B130" s="103" t="str">
        <f>VLOOKUP(A130,'Regional lookup table'!$A$3:$B$161,2)</f>
        <v>Africa</v>
      </c>
      <c r="C130" s="9" t="str">
        <f>'Sovereign Ratings (Moody''s,S&amp;P)'!C124</f>
        <v>Ba3</v>
      </c>
      <c r="D130" s="21">
        <f t="shared" si="7"/>
        <v>4.4005045871559637E-2</v>
      </c>
      <c r="E130" s="21">
        <f t="shared" si="9"/>
        <v>0.12147460019490969</v>
      </c>
      <c r="F130" s="11">
        <f t="shared" si="10"/>
        <v>6.2074600194909679E-2</v>
      </c>
      <c r="G130" s="11">
        <f>VLOOKUP(A130,'10-year CDS Spreads'!$A$2:$D$157,4)</f>
        <v>5.0700000000000002E-2</v>
      </c>
      <c r="H130" s="11">
        <f t="shared" si="11"/>
        <v>0.1309186671789368</v>
      </c>
      <c r="I130" s="14">
        <f t="shared" si="8"/>
        <v>7.1518667178936804E-2</v>
      </c>
    </row>
    <row r="131" spans="1:9" ht="16">
      <c r="A131" s="108" t="str">
        <f>'Sovereign Ratings (Moody''s,S&amp;P)'!A125</f>
        <v>Serbia</v>
      </c>
      <c r="B131" s="103" t="str">
        <f>VLOOKUP(A131,'Regional lookup table'!$A$3:$B$161,2)</f>
        <v>Eastern Europe &amp; Russia</v>
      </c>
      <c r="C131" s="9" t="str">
        <f>'Sovereign Ratings (Moody''s,S&amp;P)'!C125</f>
        <v>Ba2</v>
      </c>
      <c r="D131" s="21">
        <f t="shared" si="7"/>
        <v>3.6814678899082569E-2</v>
      </c>
      <c r="E131" s="21">
        <f t="shared" si="9"/>
        <v>0.11133169166632967</v>
      </c>
      <c r="F131" s="11">
        <f>IF($E$4="Yes",D131*$E$5,D131)</f>
        <v>5.193169166632966E-2</v>
      </c>
      <c r="G131" s="11">
        <f>VLOOKUP(A131,'10-year CDS Spreads'!$A$2:$D$157,4)</f>
        <v>2.6099999999999998E-2</v>
      </c>
      <c r="H131" s="11">
        <f t="shared" si="11"/>
        <v>9.6217302038860947E-2</v>
      </c>
      <c r="I131" s="14">
        <f t="shared" si="8"/>
        <v>3.6817302038860952E-2</v>
      </c>
    </row>
    <row r="132" spans="1:9" ht="16">
      <c r="A132" s="108" t="str">
        <f>'Sovereign Ratings (Moody''s,S&amp;P)'!A126</f>
        <v>Sharjah</v>
      </c>
      <c r="B132" s="103" t="str">
        <f>VLOOKUP(A132,'Regional lookup table'!$A$3:$B$161,2)</f>
        <v>Middle East</v>
      </c>
      <c r="C132" s="9" t="str">
        <f>'Sovereign Ratings (Moody''s,S&amp;P)'!C126</f>
        <v>Ba1</v>
      </c>
      <c r="D132" s="21">
        <f t="shared" si="7"/>
        <v>3.0630963302752296E-2</v>
      </c>
      <c r="E132" s="21">
        <f t="shared" si="9"/>
        <v>0.10260879033175085</v>
      </c>
      <c r="F132" s="11">
        <f t="shared" ref="F132:F143" si="24">IF($E$4="Yes",D132*$E$5,D132)</f>
        <v>4.3208790331750853E-2</v>
      </c>
      <c r="G132" s="11" t="str">
        <f>VLOOKUP(A132,'10-year CDS Spreads'!$A$2:$D$157,4)</f>
        <v>NA</v>
      </c>
      <c r="H132" s="11" t="str">
        <f t="shared" si="11"/>
        <v>NA</v>
      </c>
      <c r="I132" s="14" t="str">
        <f t="shared" si="8"/>
        <v>NA</v>
      </c>
    </row>
    <row r="133" spans="1:9" ht="16">
      <c r="A133" s="108" t="str">
        <f>'Sovereign Ratings (Moody''s,S&amp;P)'!A127</f>
        <v>Singapore</v>
      </c>
      <c r="B133" s="103" t="str">
        <f>VLOOKUP(A133,'Regional lookup table'!$A$3:$B$161,2)</f>
        <v>Asia</v>
      </c>
      <c r="C133" s="9" t="str">
        <f>'Sovereign Ratings (Moody''s,S&amp;P)'!C127</f>
        <v>Aaa</v>
      </c>
      <c r="D133" s="21">
        <f t="shared" si="7"/>
        <v>0</v>
      </c>
      <c r="E133" s="21">
        <f t="shared" si="9"/>
        <v>5.9400000000000001E-2</v>
      </c>
      <c r="F133" s="11">
        <f t="shared" si="24"/>
        <v>0</v>
      </c>
      <c r="G133" s="11" t="str">
        <f>VLOOKUP(A133,'10-year CDS Spreads'!$A$2:$D$157,4)</f>
        <v>NA</v>
      </c>
      <c r="H133" s="11" t="str">
        <f t="shared" si="11"/>
        <v>NA</v>
      </c>
      <c r="I133" s="14" t="str">
        <f t="shared" si="8"/>
        <v>NA</v>
      </c>
    </row>
    <row r="134" spans="1:9" ht="16">
      <c r="A134" s="108" t="str">
        <f>'Sovereign Ratings (Moody''s,S&amp;P)'!A128</f>
        <v>Slovakia</v>
      </c>
      <c r="B134" s="103" t="str">
        <f>VLOOKUP(A134,'Regional lookup table'!$A$3:$B$161,2)</f>
        <v>Eastern Europe &amp; Russia</v>
      </c>
      <c r="C134" s="9" t="str">
        <f>'Sovereign Ratings (Moody''s,S&amp;P)'!C128</f>
        <v>A2</v>
      </c>
      <c r="D134" s="21">
        <f t="shared" si="7"/>
        <v>1.0354128440366973E-2</v>
      </c>
      <c r="E134" s="21">
        <f t="shared" ref="E134" si="25">$E$3+F134</f>
        <v>7.4005788281155213E-2</v>
      </c>
      <c r="F134" s="11">
        <f t="shared" ref="F134" si="26">IF($E$4="Yes",D134*$E$5,D134)</f>
        <v>1.4605788281155217E-2</v>
      </c>
      <c r="G134" s="11">
        <f>VLOOKUP(A134,'10-year CDS Spreads'!$A$2:$D$157,4)</f>
        <v>4.3E-3</v>
      </c>
      <c r="H134" s="11">
        <f t="shared" ref="H134" si="27">IF(I134="NA","NA",$E$3+I134)</f>
        <v>6.5465685776517318E-2</v>
      </c>
      <c r="I134" s="14">
        <f t="shared" ref="I134" si="28">IF(G134="NA","NA",G134*$E$5)</f>
        <v>6.0656857765173221E-3</v>
      </c>
    </row>
    <row r="135" spans="1:9" ht="16">
      <c r="A135" s="108" t="str">
        <f>'Sovereign Ratings (Moody''s,S&amp;P)'!A129</f>
        <v>Slovenia</v>
      </c>
      <c r="B135" s="103" t="str">
        <f>VLOOKUP(A135,'Regional lookup table'!$A$3:$B$161,2)</f>
        <v>Eastern Europe &amp; Russia</v>
      </c>
      <c r="C135" s="9" t="str">
        <f>'Sovereign Ratings (Moody''s,S&amp;P)'!C129</f>
        <v>A3</v>
      </c>
      <c r="D135" s="21">
        <f t="shared" si="7"/>
        <v>1.4668348623853212E-2</v>
      </c>
      <c r="E135" s="21">
        <f t="shared" si="9"/>
        <v>8.009153339830323E-2</v>
      </c>
      <c r="F135" s="11">
        <f t="shared" si="24"/>
        <v>2.0691533398303225E-2</v>
      </c>
      <c r="G135" s="11">
        <f>VLOOKUP(A135,'10-year CDS Spreads'!$A$2:$D$157,4)</f>
        <v>6.8000000000000005E-3</v>
      </c>
      <c r="H135" s="11">
        <f t="shared" si="11"/>
        <v>6.8992247274492519E-2</v>
      </c>
      <c r="I135" s="14">
        <f t="shared" si="8"/>
        <v>9.5922472744925102E-3</v>
      </c>
    </row>
    <row r="136" spans="1:9" ht="16">
      <c r="A136" s="108" t="str">
        <f>'Sovereign Ratings (Moody''s,S&amp;P)'!A130</f>
        <v>Solomon Islands</v>
      </c>
      <c r="B136" s="103" t="str">
        <f>VLOOKUP(A136,'Regional lookup table'!$A$3:$B$161,2)</f>
        <v>Asia</v>
      </c>
      <c r="C136" s="9" t="str">
        <f>'Sovereign Ratings (Moody''s,S&amp;P)'!C130</f>
        <v>Caa1</v>
      </c>
      <c r="D136" s="21">
        <f t="shared" si="7"/>
        <v>9.1749082568807344E-2</v>
      </c>
      <c r="E136" s="21">
        <f t="shared" si="9"/>
        <v>0.18882351282468096</v>
      </c>
      <c r="F136" s="11">
        <f t="shared" si="24"/>
        <v>0.12942351282468095</v>
      </c>
      <c r="G136" s="11" t="str">
        <f>VLOOKUP(A136,'10-year CDS Spreads'!$A$2:$D$157,4)</f>
        <v>NA</v>
      </c>
      <c r="H136" s="11" t="str">
        <f t="shared" si="11"/>
        <v>NA</v>
      </c>
      <c r="I136" s="14" t="str">
        <f t="shared" si="8"/>
        <v>NA</v>
      </c>
    </row>
    <row r="137" spans="1:9" ht="16">
      <c r="A137" s="108" t="str">
        <f>'Sovereign Ratings (Moody''s,S&amp;P)'!A131</f>
        <v>South Africa</v>
      </c>
      <c r="B137" s="103" t="str">
        <f>VLOOKUP(A137,'Regional lookup table'!$A$3:$B$161,2)</f>
        <v>Africa</v>
      </c>
      <c r="C137" s="9" t="str">
        <f>'Sovereign Ratings (Moody''s,S&amp;P)'!C131</f>
        <v>Ba2</v>
      </c>
      <c r="D137" s="21">
        <f t="shared" ref="D137:D164" si="29">VLOOKUP(C137,$J$9:$K$31,2,FALSE)/10000</f>
        <v>3.6814678899082569E-2</v>
      </c>
      <c r="E137" s="21">
        <f t="shared" si="9"/>
        <v>0.11133169166632967</v>
      </c>
      <c r="F137" s="11">
        <f t="shared" si="24"/>
        <v>5.193169166632966E-2</v>
      </c>
      <c r="G137" s="11">
        <f>VLOOKUP(A137,'10-year CDS Spreads'!$A$2:$D$157,4)</f>
        <v>3.1899999999999998E-2</v>
      </c>
      <c r="H137" s="11">
        <f t="shared" si="11"/>
        <v>0.1043989247141634</v>
      </c>
      <c r="I137" s="14">
        <f t="shared" si="8"/>
        <v>4.4998924714163391E-2</v>
      </c>
    </row>
    <row r="138" spans="1:9" ht="16">
      <c r="A138" s="108" t="str">
        <f>'Sovereign Ratings (Moody''s,S&amp;P)'!A132</f>
        <v>Spain</v>
      </c>
      <c r="B138" s="103" t="str">
        <f>VLOOKUP(A138,'Regional lookup table'!$A$3:$B$161,2)</f>
        <v>Western Europe</v>
      </c>
      <c r="C138" s="9" t="str">
        <f>'Sovereign Ratings (Moody''s,S&amp;P)'!C132</f>
        <v>Baa1</v>
      </c>
      <c r="D138" s="21">
        <f t="shared" si="29"/>
        <v>1.9557798165137613E-2</v>
      </c>
      <c r="E138" s="21">
        <f t="shared" si="9"/>
        <v>8.6988711197737628E-2</v>
      </c>
      <c r="F138" s="11">
        <f t="shared" si="24"/>
        <v>2.758871119773763E-2</v>
      </c>
      <c r="G138" s="11">
        <f>VLOOKUP(A138,'10-year CDS Spreads'!$A$2:$D$157,4)</f>
        <v>5.000000000000001E-3</v>
      </c>
      <c r="H138" s="11">
        <f t="shared" si="11"/>
        <v>6.6453122995950381E-2</v>
      </c>
      <c r="I138" s="14">
        <f t="shared" si="8"/>
        <v>7.0531229959503762E-3</v>
      </c>
    </row>
    <row r="139" spans="1:9" ht="16">
      <c r="A139" s="108" t="str">
        <f>'Sovereign Ratings (Moody''s,S&amp;P)'!A133</f>
        <v>Sri Lanka</v>
      </c>
      <c r="B139" s="103" t="str">
        <f>VLOOKUP(A139,'Regional lookup table'!$A$3:$B$161,2)</f>
        <v>Asia</v>
      </c>
      <c r="C139" s="9" t="str">
        <f>'Sovereign Ratings (Moody''s,S&amp;P)'!C133</f>
        <v>Ca</v>
      </c>
      <c r="D139" s="21">
        <f t="shared" si="29"/>
        <v>0.14682729357798166</v>
      </c>
      <c r="E139" s="21">
        <f t="shared" si="9"/>
        <v>0.26651819215360384</v>
      </c>
      <c r="F139" s="11">
        <f t="shared" si="24"/>
        <v>0.20711819215360386</v>
      </c>
      <c r="G139" s="11" t="str">
        <f>VLOOKUP(A139,'10-year CDS Spreads'!$A$2:$D$157,4)</f>
        <v>NA</v>
      </c>
      <c r="H139" s="11" t="str">
        <f t="shared" si="11"/>
        <v>NA</v>
      </c>
      <c r="I139" s="14" t="str">
        <f t="shared" si="8"/>
        <v>NA</v>
      </c>
    </row>
    <row r="140" spans="1:9" ht="16">
      <c r="A140" s="108" t="str">
        <f>'Sovereign Ratings (Moody''s,S&amp;P)'!A134</f>
        <v>St. Maarten</v>
      </c>
      <c r="B140" s="103" t="str">
        <f>VLOOKUP(A140,'Regional lookup table'!$A$3:$B$161,2)</f>
        <v>Caribbean</v>
      </c>
      <c r="C140" s="9" t="str">
        <f>'Sovereign Ratings (Moody''s,S&amp;P)'!C134</f>
        <v>Ba2</v>
      </c>
      <c r="D140" s="21">
        <f t="shared" si="29"/>
        <v>3.6814678899082569E-2</v>
      </c>
      <c r="E140" s="21">
        <f t="shared" si="9"/>
        <v>0.11133169166632967</v>
      </c>
      <c r="F140" s="11">
        <f t="shared" si="24"/>
        <v>5.193169166632966E-2</v>
      </c>
      <c r="G140" s="11" t="str">
        <f>VLOOKUP(A140,'10-year CDS Spreads'!$A$2:$D$157,4)</f>
        <v>NA</v>
      </c>
      <c r="H140" s="11" t="str">
        <f t="shared" si="11"/>
        <v>NA</v>
      </c>
      <c r="I140" s="14" t="str">
        <f t="shared" si="8"/>
        <v>NA</v>
      </c>
    </row>
    <row r="141" spans="1:9" ht="16">
      <c r="A141" s="108" t="str">
        <f>'Sovereign Ratings (Moody''s,S&amp;P)'!A135</f>
        <v>St. Vincent &amp; the Grenadines</v>
      </c>
      <c r="B141" s="103" t="str">
        <f>VLOOKUP(A141,'Regional lookup table'!$A$3:$B$161,2)</f>
        <v>Caribbean</v>
      </c>
      <c r="C141" s="9" t="str">
        <f>'Sovereign Ratings (Moody''s,S&amp;P)'!C135</f>
        <v>B3</v>
      </c>
      <c r="D141" s="21">
        <f t="shared" si="29"/>
        <v>7.9525458715596339E-2</v>
      </c>
      <c r="E141" s="21">
        <f>$E$3+F141</f>
        <v>0.17158056832609495</v>
      </c>
      <c r="F141" s="11">
        <f>IF($E$4="Yes",D141*$E$5,D141)</f>
        <v>0.11218056832609494</v>
      </c>
      <c r="G141" s="11" t="str">
        <f>VLOOKUP(A141,'10-year CDS Spreads'!$A$2:$D$157,4)</f>
        <v>NA</v>
      </c>
      <c r="H141" s="11" t="str">
        <f>IF(I141="NA","NA",$E$3+I141)</f>
        <v>NA</v>
      </c>
      <c r="I141" s="14" t="str">
        <f>IF(G141="NA","NA",G141*$E$5)</f>
        <v>NA</v>
      </c>
    </row>
    <row r="142" spans="1:9" ht="16">
      <c r="A142" s="108" t="str">
        <f>'Sovereign Ratings (Moody''s,S&amp;P)'!A136</f>
        <v>Suriname</v>
      </c>
      <c r="B142" s="103" t="str">
        <f>VLOOKUP(A142,'Regional lookup table'!$A$3:$B$161,2)</f>
        <v>Central and South America</v>
      </c>
      <c r="C142" s="9" t="str">
        <f>'Sovereign Ratings (Moody''s,S&amp;P)'!C136</f>
        <v>Caa3</v>
      </c>
      <c r="D142" s="21">
        <f t="shared" si="29"/>
        <v>0.12238004587155965</v>
      </c>
      <c r="E142" s="21">
        <f t="shared" si="9"/>
        <v>0.23203230315643184</v>
      </c>
      <c r="F142" s="11">
        <f t="shared" si="24"/>
        <v>0.17263230315643183</v>
      </c>
      <c r="G142" s="11" t="str">
        <f>VLOOKUP(A142,'10-year CDS Spreads'!$A$2:$D$157,4)</f>
        <v>NA</v>
      </c>
      <c r="H142" s="11" t="str">
        <f t="shared" si="11"/>
        <v>NA</v>
      </c>
      <c r="I142" s="14" t="str">
        <f t="shared" ref="I142:I160" si="30">IF(G142="NA","NA",G142*$E$5)</f>
        <v>NA</v>
      </c>
    </row>
    <row r="143" spans="1:9" ht="16">
      <c r="A143" s="108" t="str">
        <f>'Sovereign Ratings (Moody''s,S&amp;P)'!A137</f>
        <v>Swaziland</v>
      </c>
      <c r="B143" s="103" t="str">
        <f>VLOOKUP(A143,'Regional lookup table'!$A$3:$B$161,2)</f>
        <v>Africa</v>
      </c>
      <c r="C143" s="9" t="str">
        <f>'Sovereign Ratings (Moody''s,S&amp;P)'!C137</f>
        <v>B3</v>
      </c>
      <c r="D143" s="21">
        <f t="shared" si="29"/>
        <v>7.9525458715596339E-2</v>
      </c>
      <c r="E143" s="21">
        <f t="shared" si="9"/>
        <v>0.17158056832609495</v>
      </c>
      <c r="F143" s="11">
        <f t="shared" si="24"/>
        <v>0.11218056832609494</v>
      </c>
      <c r="G143" s="11" t="str">
        <f>VLOOKUP(A143,'10-year CDS Spreads'!$A$2:$D$157,4)</f>
        <v>NA</v>
      </c>
      <c r="H143" s="11" t="str">
        <f t="shared" si="11"/>
        <v>NA</v>
      </c>
      <c r="I143" s="14" t="str">
        <f t="shared" si="30"/>
        <v>NA</v>
      </c>
    </row>
    <row r="144" spans="1:9" ht="16">
      <c r="A144" s="108" t="str">
        <f>'Sovereign Ratings (Moody''s,S&amp;P)'!A138</f>
        <v>Sweden</v>
      </c>
      <c r="B144" s="103" t="str">
        <f>VLOOKUP(A144,'Regional lookup table'!$A$3:$B$161,2)</f>
        <v>Western Europe</v>
      </c>
      <c r="C144" s="9" t="str">
        <f>'Sovereign Ratings (Moody''s,S&amp;P)'!C138</f>
        <v>Aaa</v>
      </c>
      <c r="D144" s="21">
        <f t="shared" si="29"/>
        <v>0</v>
      </c>
      <c r="E144" s="21">
        <f t="shared" si="9"/>
        <v>5.9400000000000001E-2</v>
      </c>
      <c r="F144" s="11">
        <f t="shared" ref="F144:F151" si="31">IF($E$4="Yes",D144*$E$5,D144)</f>
        <v>0</v>
      </c>
      <c r="G144" s="11">
        <f>VLOOKUP(A144,'10-year CDS Spreads'!$A$2:$D$157,4)</f>
        <v>0</v>
      </c>
      <c r="H144" s="11">
        <f t="shared" si="11"/>
        <v>5.9400000000000001E-2</v>
      </c>
      <c r="I144" s="14">
        <f t="shared" si="30"/>
        <v>0</v>
      </c>
    </row>
    <row r="145" spans="1:9" ht="16">
      <c r="A145" s="108" t="str">
        <f>'Sovereign Ratings (Moody''s,S&amp;P)'!A139</f>
        <v>Switzerland</v>
      </c>
      <c r="B145" s="103" t="str">
        <f>VLOOKUP(A145,'Regional lookup table'!$A$3:$B$161,2)</f>
        <v>Western Europe</v>
      </c>
      <c r="C145" s="9" t="str">
        <f>'Sovereign Ratings (Moody''s,S&amp;P)'!C139</f>
        <v>Aaa</v>
      </c>
      <c r="D145" s="21">
        <f t="shared" si="29"/>
        <v>0</v>
      </c>
      <c r="E145" s="21">
        <f>$E$3+F145</f>
        <v>5.9400000000000001E-2</v>
      </c>
      <c r="F145" s="11">
        <f>IF($E$4="Yes",D145*$E$5,D145)</f>
        <v>0</v>
      </c>
      <c r="G145" s="11">
        <f>VLOOKUP(A145,'10-year CDS Spreads'!$A$2:$D$157,4)</f>
        <v>0</v>
      </c>
      <c r="H145" s="11">
        <f>IF(I145="NA","NA",$E$3+I145)</f>
        <v>5.9400000000000001E-2</v>
      </c>
      <c r="I145" s="14">
        <f>IF(G145="NA","NA",G145*$E$5)</f>
        <v>0</v>
      </c>
    </row>
    <row r="146" spans="1:9" ht="16">
      <c r="A146" s="108" t="str">
        <f>'Sovereign Ratings (Moody''s,S&amp;P)'!A140</f>
        <v>Taiwan</v>
      </c>
      <c r="B146" s="103" t="str">
        <f>VLOOKUP(A146,'Regional lookup table'!$A$3:$B$161,2)</f>
        <v>Asia</v>
      </c>
      <c r="C146" s="9" t="str">
        <f>'Sovereign Ratings (Moody''s,S&amp;P)'!C140</f>
        <v>Aa3</v>
      </c>
      <c r="D146" s="21">
        <f t="shared" si="29"/>
        <v>7.3341743119266058E-3</v>
      </c>
      <c r="E146" s="21">
        <f>$E$3+F146</f>
        <v>6.9745766699151612E-2</v>
      </c>
      <c r="F146" s="11">
        <f>IF($E$4="Yes",D146*$E$5,D146)</f>
        <v>1.0345766699151613E-2</v>
      </c>
      <c r="G146" s="11" t="str">
        <f>VLOOKUP(A146,'10-year CDS Spreads'!$A$2:$D$157,4)</f>
        <v>NA</v>
      </c>
      <c r="H146" s="11" t="str">
        <f>IF(I146="NA","NA",$E$3+I146)</f>
        <v>NA</v>
      </c>
      <c r="I146" s="14" t="str">
        <f>IF(G146="NA","NA",G146*$E$5)</f>
        <v>NA</v>
      </c>
    </row>
    <row r="147" spans="1:9" ht="16">
      <c r="A147" s="108" t="str">
        <f>'Sovereign Ratings (Moody''s,S&amp;P)'!A141</f>
        <v>Tajikistan</v>
      </c>
      <c r="B147" s="103" t="str">
        <f>VLOOKUP(A147,'Regional lookup table'!$A$3:$B$161,2)</f>
        <v>Eastern Europe &amp; Russia</v>
      </c>
      <c r="C147" s="9" t="str">
        <f>'Sovereign Ratings (Moody''s,S&amp;P)'!C141</f>
        <v>B3</v>
      </c>
      <c r="D147" s="21">
        <f t="shared" si="29"/>
        <v>7.9525458715596339E-2</v>
      </c>
      <c r="E147" s="21">
        <f t="shared" ref="E147:E155" si="32">$E$3+F147</f>
        <v>0.17158056832609495</v>
      </c>
      <c r="F147" s="11">
        <f t="shared" si="31"/>
        <v>0.11218056832609494</v>
      </c>
      <c r="G147" s="11" t="str">
        <f>VLOOKUP(A147,'10-year CDS Spreads'!$A$2:$D$157,4)</f>
        <v>NA</v>
      </c>
      <c r="H147" s="11" t="str">
        <f t="shared" ref="H147:H155" si="33">IF(I147="NA","NA",$E$3+I147)</f>
        <v>NA</v>
      </c>
      <c r="I147" s="14" t="str">
        <f t="shared" si="30"/>
        <v>NA</v>
      </c>
    </row>
    <row r="148" spans="1:9" ht="16">
      <c r="A148" s="108" t="str">
        <f>'Sovereign Ratings (Moody''s,S&amp;P)'!A142</f>
        <v>Tanzania</v>
      </c>
      <c r="B148" s="103" t="str">
        <f>VLOOKUP(A148,'Regional lookup table'!$A$3:$B$161,2)</f>
        <v>Africa</v>
      </c>
      <c r="C148" s="9" t="str">
        <f>'Sovereign Ratings (Moody''s,S&amp;P)'!C142</f>
        <v>B2</v>
      </c>
      <c r="D148" s="21">
        <f t="shared" si="29"/>
        <v>6.7301834862385335E-2</v>
      </c>
      <c r="E148" s="21">
        <f t="shared" si="32"/>
        <v>0.15433762382750893</v>
      </c>
      <c r="F148" s="11">
        <f t="shared" si="31"/>
        <v>9.4937623827508935E-2</v>
      </c>
      <c r="G148" s="11" t="str">
        <f>VLOOKUP(A148,'10-year CDS Spreads'!$A$2:$D$157,4)</f>
        <v>NA</v>
      </c>
      <c r="H148" s="11" t="str">
        <f t="shared" si="33"/>
        <v>NA</v>
      </c>
      <c r="I148" s="14" t="str">
        <f t="shared" si="30"/>
        <v>NA</v>
      </c>
    </row>
    <row r="149" spans="1:9" ht="16">
      <c r="A149" s="108" t="str">
        <f>'Sovereign Ratings (Moody''s,S&amp;P)'!A143</f>
        <v>Thailand</v>
      </c>
      <c r="B149" s="103" t="str">
        <f>VLOOKUP(A149,'Regional lookup table'!$A$3:$B$161,2)</f>
        <v>Asia</v>
      </c>
      <c r="C149" s="9" t="str">
        <f>'Sovereign Ratings (Moody''s,S&amp;P)'!C143</f>
        <v>Baa1</v>
      </c>
      <c r="D149" s="21">
        <f t="shared" si="29"/>
        <v>1.9557798165137613E-2</v>
      </c>
      <c r="E149" s="21">
        <f t="shared" si="32"/>
        <v>8.6988711197737628E-2</v>
      </c>
      <c r="F149" s="11">
        <f t="shared" si="31"/>
        <v>2.758871119773763E-2</v>
      </c>
      <c r="G149" s="11">
        <f>VLOOKUP(A149,'10-year CDS Spreads'!$A$2:$D$157,4)</f>
        <v>5.4999999999999997E-3</v>
      </c>
      <c r="H149" s="11">
        <f t="shared" si="33"/>
        <v>6.715843529554541E-2</v>
      </c>
      <c r="I149" s="14">
        <f t="shared" si="30"/>
        <v>7.7584352955454121E-3</v>
      </c>
    </row>
    <row r="150" spans="1:9" ht="16">
      <c r="A150" s="108" t="str">
        <f>'Sovereign Ratings (Moody''s,S&amp;P)'!A144</f>
        <v>Togo</v>
      </c>
      <c r="B150" s="103" t="str">
        <f>VLOOKUP(A150,'Regional lookup table'!$A$3:$B$161,2)</f>
        <v>Africa</v>
      </c>
      <c r="C150" s="9" t="str">
        <f>'Sovereign Ratings (Moody''s,S&amp;P)'!C144</f>
        <v>B3</v>
      </c>
      <c r="D150" s="21">
        <f t="shared" si="29"/>
        <v>7.9525458715596339E-2</v>
      </c>
      <c r="E150" s="21">
        <f t="shared" si="32"/>
        <v>0.17158056832609495</v>
      </c>
      <c r="F150" s="11">
        <f t="shared" si="31"/>
        <v>0.11218056832609494</v>
      </c>
      <c r="G150" s="11" t="str">
        <f>VLOOKUP(A150,'10-year CDS Spreads'!$A$2:$D$157,4)</f>
        <v>NA</v>
      </c>
      <c r="H150" s="11" t="str">
        <f t="shared" si="33"/>
        <v>NA</v>
      </c>
      <c r="I150" s="14" t="str">
        <f t="shared" si="30"/>
        <v>NA</v>
      </c>
    </row>
    <row r="151" spans="1:9" ht="16">
      <c r="A151" s="108" t="str">
        <f>'Sovereign Ratings (Moody''s,S&amp;P)'!A145</f>
        <v>Trinidad and Tobago</v>
      </c>
      <c r="B151" s="103" t="str">
        <f>VLOOKUP(A151,'Regional lookup table'!$A$3:$B$161,2)</f>
        <v>Caribbean</v>
      </c>
      <c r="C151" s="9" t="str">
        <f>'Sovereign Ratings (Moody''s,S&amp;P)'!C145</f>
        <v>Ba2</v>
      </c>
      <c r="D151" s="21">
        <f t="shared" si="29"/>
        <v>3.6814678899082569E-2</v>
      </c>
      <c r="E151" s="21">
        <f t="shared" si="32"/>
        <v>0.11133169166632967</v>
      </c>
      <c r="F151" s="11">
        <f t="shared" si="31"/>
        <v>5.193169166632966E-2</v>
      </c>
      <c r="G151" s="11" t="str">
        <f>VLOOKUP(A151,'10-year CDS Spreads'!$A$2:$D$157,4)</f>
        <v>NA</v>
      </c>
      <c r="H151" s="11" t="str">
        <f t="shared" si="33"/>
        <v>NA</v>
      </c>
      <c r="I151" s="14" t="str">
        <f t="shared" si="30"/>
        <v>NA</v>
      </c>
    </row>
    <row r="152" spans="1:9" ht="16">
      <c r="A152" s="108" t="str">
        <f>'Sovereign Ratings (Moody''s,S&amp;P)'!A146</f>
        <v>Tunisia</v>
      </c>
      <c r="B152" s="103" t="str">
        <f>VLOOKUP(A152,'Regional lookup table'!$A$3:$B$161,2)</f>
        <v>Africa</v>
      </c>
      <c r="C152" s="9" t="str">
        <f>'Sovereign Ratings (Moody''s,S&amp;P)'!C146</f>
        <v>Caa1</v>
      </c>
      <c r="D152" s="21">
        <f t="shared" si="29"/>
        <v>9.1749082568807344E-2</v>
      </c>
      <c r="E152" s="21">
        <f t="shared" si="32"/>
        <v>0.18882351282468096</v>
      </c>
      <c r="F152" s="11">
        <f t="shared" ref="F152:F160" si="34">IF($E$4="Yes",D152*$E$5,D152)</f>
        <v>0.12942351282468095</v>
      </c>
      <c r="G152" s="11">
        <f>VLOOKUP(A152,'10-year CDS Spreads'!$A$2:$D$157,4)</f>
        <v>8.3700000000000011E-2</v>
      </c>
      <c r="H152" s="11">
        <f t="shared" si="33"/>
        <v>0.17746927895220929</v>
      </c>
      <c r="I152" s="14">
        <f t="shared" si="30"/>
        <v>0.1180692789522093</v>
      </c>
    </row>
    <row r="153" spans="1:9" ht="16">
      <c r="A153" s="108" t="str">
        <f>'Sovereign Ratings (Moody''s,S&amp;P)'!A147</f>
        <v>Turkey</v>
      </c>
      <c r="B153" s="103" t="str">
        <f>VLOOKUP(A153,'Regional lookup table'!$A$3:$B$161,2)</f>
        <v>Western Europe</v>
      </c>
      <c r="C153" s="9" t="str">
        <f>'Sovereign Ratings (Moody''s,S&amp;P)'!C147</f>
        <v>B3</v>
      </c>
      <c r="D153" s="21">
        <f t="shared" si="29"/>
        <v>7.9525458715596339E-2</v>
      </c>
      <c r="E153" s="21">
        <f t="shared" si="32"/>
        <v>0.17158056832609495</v>
      </c>
      <c r="F153" s="11">
        <f t="shared" si="34"/>
        <v>0.11218056832609494</v>
      </c>
      <c r="G153" s="11">
        <f>VLOOKUP(A153,'10-year CDS Spreads'!$A$2:$D$157,4)</f>
        <v>4.9799999999999997E-2</v>
      </c>
      <c r="H153" s="11">
        <f t="shared" si="33"/>
        <v>0.12964910503966573</v>
      </c>
      <c r="I153" s="14">
        <f t="shared" si="30"/>
        <v>7.0249105039665735E-2</v>
      </c>
    </row>
    <row r="154" spans="1:9" ht="16">
      <c r="A154" s="108" t="str">
        <f>'Sovereign Ratings (Moody''s,S&amp;P)'!A148</f>
        <v>Turks and Caicos Islands</v>
      </c>
      <c r="B154" s="103" t="str">
        <f>VLOOKUP(A154,'Regional lookup table'!$A$3:$B$161,2)</f>
        <v>Caribbean</v>
      </c>
      <c r="C154" s="9" t="str">
        <f>'Sovereign Ratings (Moody''s,S&amp;P)'!C148</f>
        <v>Baa1</v>
      </c>
      <c r="D154" s="21">
        <f t="shared" si="29"/>
        <v>1.9557798165137613E-2</v>
      </c>
      <c r="E154" s="21">
        <f t="shared" si="32"/>
        <v>8.6988711197737628E-2</v>
      </c>
      <c r="F154" s="11">
        <f t="shared" si="34"/>
        <v>2.758871119773763E-2</v>
      </c>
      <c r="G154" s="11" t="str">
        <f>VLOOKUP(A154,'10-year CDS Spreads'!$A$2:$D$157,4)</f>
        <v>NA</v>
      </c>
      <c r="H154" s="11" t="str">
        <f t="shared" si="33"/>
        <v>NA</v>
      </c>
      <c r="I154" s="14" t="str">
        <f t="shared" si="30"/>
        <v>NA</v>
      </c>
    </row>
    <row r="155" spans="1:9" ht="16">
      <c r="A155" s="108" t="str">
        <f>'Sovereign Ratings (Moody''s,S&amp;P)'!A149</f>
        <v>Uganda</v>
      </c>
      <c r="B155" s="103" t="str">
        <f>VLOOKUP(A155,'Regional lookup table'!$A$3:$B$161,2)</f>
        <v>Africa</v>
      </c>
      <c r="C155" s="9" t="str">
        <f>'Sovereign Ratings (Moody''s,S&amp;P)'!C149</f>
        <v>B2</v>
      </c>
      <c r="D155" s="21">
        <f t="shared" si="29"/>
        <v>6.7301834862385335E-2</v>
      </c>
      <c r="E155" s="21">
        <f t="shared" si="32"/>
        <v>0.15433762382750893</v>
      </c>
      <c r="F155" s="11">
        <f t="shared" si="34"/>
        <v>9.4937623827508935E-2</v>
      </c>
      <c r="G155" s="11" t="str">
        <f>VLOOKUP(A155,'10-year CDS Spreads'!$A$2:$D$157,4)</f>
        <v>NA</v>
      </c>
      <c r="H155" s="11" t="str">
        <f t="shared" si="33"/>
        <v>NA</v>
      </c>
      <c r="I155" s="14" t="str">
        <f t="shared" si="30"/>
        <v>NA</v>
      </c>
    </row>
    <row r="156" spans="1:9" ht="16">
      <c r="A156" s="108" t="str">
        <f>'Sovereign Ratings (Moody''s,S&amp;P)'!A150</f>
        <v>Ukraine</v>
      </c>
      <c r="B156" s="103" t="str">
        <f>VLOOKUP(A156,'Regional lookup table'!$A$3:$B$161,2)</f>
        <v>Eastern Europe &amp; Russia</v>
      </c>
      <c r="C156" s="9" t="str">
        <f>'Sovereign Ratings (Moody''s,S&amp;P)'!C150</f>
        <v>Caa3</v>
      </c>
      <c r="D156" s="21">
        <f t="shared" si="29"/>
        <v>0.12238004587155965</v>
      </c>
      <c r="E156" s="21">
        <f t="shared" ref="E156:E161" si="35">$E$3+F156</f>
        <v>0.23203230315643184</v>
      </c>
      <c r="F156" s="11">
        <f t="shared" si="34"/>
        <v>0.17263230315643183</v>
      </c>
      <c r="G156" s="11" t="str">
        <f>VLOOKUP(A156,'10-year CDS Spreads'!$A$2:$D$157,4)</f>
        <v>NA</v>
      </c>
      <c r="H156" s="11" t="str">
        <f t="shared" ref="H156:H161" si="36">IF(I156="NA","NA",$E$3+I156)</f>
        <v>NA</v>
      </c>
      <c r="I156" s="14" t="str">
        <f t="shared" si="30"/>
        <v>NA</v>
      </c>
    </row>
    <row r="157" spans="1:9" ht="16">
      <c r="A157" s="108" t="str">
        <f>'Sovereign Ratings (Moody''s,S&amp;P)'!A151</f>
        <v>United Arab Emirates</v>
      </c>
      <c r="B157" s="103" t="str">
        <f>VLOOKUP(A157,'Regional lookup table'!$A$3:$B$161,2)</f>
        <v>Middle East</v>
      </c>
      <c r="C157" s="9" t="str">
        <f>'Sovereign Ratings (Moody''s,S&amp;P)'!C151</f>
        <v>Aa2</v>
      </c>
      <c r="D157" s="21">
        <f t="shared" si="29"/>
        <v>6.0399082568807346E-3</v>
      </c>
      <c r="E157" s="21">
        <f t="shared" si="35"/>
        <v>6.792004316400721E-2</v>
      </c>
      <c r="F157" s="11">
        <f t="shared" si="34"/>
        <v>8.5200431640072103E-3</v>
      </c>
      <c r="G157" s="11" t="str">
        <f>VLOOKUP(A157,'10-year CDS Spreads'!$A$2:$D$157,4)</f>
        <v>NA</v>
      </c>
      <c r="H157" s="11" t="str">
        <f t="shared" si="36"/>
        <v>NA</v>
      </c>
      <c r="I157" s="14" t="str">
        <f t="shared" si="30"/>
        <v>NA</v>
      </c>
    </row>
    <row r="158" spans="1:9" ht="16">
      <c r="A158" s="108" t="str">
        <f>'Sovereign Ratings (Moody''s,S&amp;P)'!A152</f>
        <v>United Kingdom</v>
      </c>
      <c r="B158" s="103" t="str">
        <f>VLOOKUP(A158,'Regional lookup table'!$A$3:$B$161,2)</f>
        <v>Western Europe</v>
      </c>
      <c r="C158" s="9" t="str">
        <f>'Sovereign Ratings (Moody''s,S&amp;P)'!C152</f>
        <v>Aa3</v>
      </c>
      <c r="D158" s="21">
        <f t="shared" si="29"/>
        <v>7.3341743119266058E-3</v>
      </c>
      <c r="E158" s="21">
        <f t="shared" si="35"/>
        <v>6.9745766699151612E-2</v>
      </c>
      <c r="F158" s="11">
        <f t="shared" si="34"/>
        <v>1.0345766699151613E-2</v>
      </c>
      <c r="G158" s="11">
        <f>VLOOKUP(A158,'10-year CDS Spreads'!$A$2:$D$157,4)</f>
        <v>3.9999999999999975E-4</v>
      </c>
      <c r="H158" s="11">
        <f t="shared" si="36"/>
        <v>5.9964249839676034E-2</v>
      </c>
      <c r="I158" s="14">
        <f t="shared" si="30"/>
        <v>5.6424983967602962E-4</v>
      </c>
    </row>
    <row r="159" spans="1:9" ht="16">
      <c r="A159" s="108" t="str">
        <f>'Sovereign Ratings (Moody''s,S&amp;P)'!A153</f>
        <v>United States</v>
      </c>
      <c r="B159" s="103" t="str">
        <f>VLOOKUP(A159,'Regional lookup table'!$A$3:$B$161,2)</f>
        <v>North America</v>
      </c>
      <c r="C159" s="9" t="str">
        <f>'Sovereign Ratings (Moody''s,S&amp;P)'!C153</f>
        <v>Aaa</v>
      </c>
      <c r="D159" s="21">
        <f t="shared" si="29"/>
        <v>0</v>
      </c>
      <c r="E159" s="21">
        <f t="shared" si="35"/>
        <v>5.9400000000000001E-2</v>
      </c>
      <c r="F159" s="11">
        <f t="shared" si="34"/>
        <v>0</v>
      </c>
      <c r="G159" s="11">
        <f>VLOOKUP(A159,'10-year CDS Spreads'!$A$2:$D$157,4)</f>
        <v>0</v>
      </c>
      <c r="H159" s="11">
        <f t="shared" si="36"/>
        <v>5.9400000000000001E-2</v>
      </c>
      <c r="I159" s="14">
        <f t="shared" si="30"/>
        <v>0</v>
      </c>
    </row>
    <row r="160" spans="1:9" ht="16">
      <c r="A160" s="115" t="str">
        <f>'Sovereign Ratings (Moody''s,S&amp;P)'!A154</f>
        <v>Uruguay</v>
      </c>
      <c r="B160" s="105" t="str">
        <f>VLOOKUP(A160,'Regional lookup table'!$A$3:$B$161,2)</f>
        <v>Central and South America</v>
      </c>
      <c r="C160" s="90" t="str">
        <f>'Sovereign Ratings (Moody''s,S&amp;P)'!C154</f>
        <v>Baa2</v>
      </c>
      <c r="D160" s="21">
        <f t="shared" si="29"/>
        <v>2.3296788990825688E-2</v>
      </c>
      <c r="E160" s="116">
        <f t="shared" si="35"/>
        <v>9.2263023632599236E-2</v>
      </c>
      <c r="F160" s="117">
        <f t="shared" si="34"/>
        <v>3.2863023632599235E-2</v>
      </c>
      <c r="G160" s="117">
        <f>VLOOKUP(A160,'10-year CDS Spreads'!$A$2:$D$157,4)</f>
        <v>1.11E-2</v>
      </c>
      <c r="H160" s="117">
        <f t="shared" si="36"/>
        <v>7.5057933051009829E-2</v>
      </c>
      <c r="I160" s="118">
        <f t="shared" si="30"/>
        <v>1.5657933051009834E-2</v>
      </c>
    </row>
    <row r="161" spans="1:51" ht="16">
      <c r="A161" s="149" t="str">
        <f>'Sovereign Ratings (Moody''s,S&amp;P)'!A155</f>
        <v>Uzbekistan</v>
      </c>
      <c r="B161" s="103" t="str">
        <f>VLOOKUP(A161,'Regional lookup table'!$A$3:$B$161,2)</f>
        <v>Eastern Europe &amp; Russia</v>
      </c>
      <c r="C161" s="9" t="str">
        <f>'Sovereign Ratings (Moody''s,S&amp;P)'!C155</f>
        <v>B1</v>
      </c>
      <c r="D161" s="21">
        <f t="shared" si="29"/>
        <v>5.5078211009174309E-2</v>
      </c>
      <c r="E161" s="21">
        <f t="shared" si="35"/>
        <v>0.13709467932892289</v>
      </c>
      <c r="F161" s="11">
        <f t="shared" ref="F161" si="37">IF($E$4="Yes",D161*$E$5,D161)</f>
        <v>7.7694679328922892E-2</v>
      </c>
      <c r="G161" s="11" t="str">
        <f>VLOOKUP(A161,'10-year CDS Spreads'!$A$2:$D$157,4)</f>
        <v>NA</v>
      </c>
      <c r="H161" s="11" t="str">
        <f t="shared" si="36"/>
        <v>NA</v>
      </c>
      <c r="I161" s="11" t="str">
        <f t="shared" ref="I161" si="38">IF(G161="NA","NA",G161*$E$5)</f>
        <v>NA</v>
      </c>
    </row>
    <row r="162" spans="1:51" s="148" customFormat="1" ht="16">
      <c r="A162" s="150" t="str">
        <f>'Sovereign Ratings (Moody''s,S&amp;P)'!A156</f>
        <v>Venezuela</v>
      </c>
      <c r="B162" s="151" t="str">
        <f>VLOOKUP(A162,'Regional lookup table'!$A$3:$B$161,2)</f>
        <v>Central and South America</v>
      </c>
      <c r="C162" s="152" t="str">
        <f>'Sovereign Ratings (Moody''s,S&amp;P)'!C156</f>
        <v>C</v>
      </c>
      <c r="D162" s="21">
        <f t="shared" si="29"/>
        <v>0.17499999999999999</v>
      </c>
      <c r="E162" s="153">
        <f t="shared" ref="E162:E163" si="39">$E$3+F162</f>
        <v>0.30625930485826308</v>
      </c>
      <c r="F162" s="154">
        <f t="shared" ref="F162:F163" si="40">IF($E$4="Yes",D162*$E$5,D162)</f>
        <v>0.2468593048582631</v>
      </c>
      <c r="G162" s="154" t="str">
        <f>VLOOKUP(A162,'10-year CDS Spreads'!$A$2:$D$157,4)</f>
        <v>NA</v>
      </c>
      <c r="H162" s="154" t="str">
        <f t="shared" ref="H162:H163" si="41">IF(I162="NA","NA",$E$3+I162)</f>
        <v>NA</v>
      </c>
      <c r="I162" s="154" t="str">
        <f t="shared" ref="I162:I163" si="42">IF(G162="NA","NA",G162*$E$5)</f>
        <v>NA</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row>
    <row r="163" spans="1:51" ht="16">
      <c r="A163" s="149" t="str">
        <f>'Sovereign Ratings (Moody''s,S&amp;P)'!A157</f>
        <v>Vietnam</v>
      </c>
      <c r="B163" s="103" t="str">
        <f>VLOOKUP(A163,'Regional lookup table'!$A$3:$B$161,2)</f>
        <v>Asia</v>
      </c>
      <c r="C163" s="9" t="str">
        <f>'Sovereign Ratings (Moody''s,S&amp;P)'!C157</f>
        <v>Ba2</v>
      </c>
      <c r="D163" s="21">
        <f t="shared" si="29"/>
        <v>3.6814678899082569E-2</v>
      </c>
      <c r="E163" s="21">
        <f t="shared" si="39"/>
        <v>0.11133169166632967</v>
      </c>
      <c r="F163" s="11">
        <f t="shared" si="40"/>
        <v>5.193169166632966E-2</v>
      </c>
      <c r="G163" s="11">
        <f>VLOOKUP(A163,'10-year CDS Spreads'!$A$2:$D$157,4)</f>
        <v>1.7499999999999998E-2</v>
      </c>
      <c r="H163" s="11">
        <f t="shared" si="41"/>
        <v>8.4085930485826313E-2</v>
      </c>
      <c r="I163" s="11">
        <f t="shared" si="42"/>
        <v>2.4685930485826311E-2</v>
      </c>
    </row>
    <row r="164" spans="1:51" ht="16">
      <c r="A164" s="150" t="str">
        <f>'Sovereign Ratings (Moody''s,S&amp;P)'!A158</f>
        <v>Zambia</v>
      </c>
      <c r="B164" s="151" t="str">
        <f>VLOOKUP(A164,'Regional lookup table'!$A$3:$B$161,2)</f>
        <v>Africa</v>
      </c>
      <c r="C164" s="152" t="str">
        <f>'Sovereign Ratings (Moody''s,S&amp;P)'!C158</f>
        <v>Ca</v>
      </c>
      <c r="D164" s="21">
        <f t="shared" si="29"/>
        <v>0.14682729357798166</v>
      </c>
      <c r="E164" s="153">
        <f t="shared" ref="E164" si="43">$E$3+F164</f>
        <v>0.26651819215360384</v>
      </c>
      <c r="F164" s="154">
        <f t="shared" ref="F164" si="44">IF($E$4="Yes",D164*$E$5,D164)</f>
        <v>0.20711819215360386</v>
      </c>
      <c r="G164" s="154" t="str">
        <f>VLOOKUP(A164,'10-year CDS Spreads'!$A$2:$D$158,4)</f>
        <v>NA</v>
      </c>
      <c r="H164" s="154" t="str">
        <f t="shared" ref="H164" si="45">IF(I164="NA","NA",$E$3+I164)</f>
        <v>NA</v>
      </c>
      <c r="I164" s="154" t="str">
        <f t="shared" ref="I164" si="46">IF(G164="NA","NA",G164*$E$5)</f>
        <v>NA</v>
      </c>
    </row>
    <row r="165" spans="1:51" ht="16">
      <c r="A165" s="246" t="s">
        <v>378</v>
      </c>
      <c r="B165" s="246"/>
      <c r="C165" s="246"/>
      <c r="D165" s="246"/>
      <c r="E165" s="246"/>
      <c r="F165" s="27"/>
      <c r="G165" s="27"/>
      <c r="H165" s="27"/>
      <c r="I165" s="27"/>
    </row>
    <row r="166" spans="1:51" s="96" customFormat="1" ht="16">
      <c r="A166" s="106" t="s">
        <v>75</v>
      </c>
      <c r="B166" s="106" t="s">
        <v>379</v>
      </c>
      <c r="C166" s="96" t="s">
        <v>312</v>
      </c>
      <c r="D166" s="96" t="s">
        <v>380</v>
      </c>
      <c r="E166" s="96" t="s">
        <v>313</v>
      </c>
      <c r="F166" s="100"/>
      <c r="G166" s="100"/>
      <c r="H166" s="100"/>
      <c r="I166" s="100"/>
      <c r="J166"/>
      <c r="K166"/>
    </row>
    <row r="167" spans="1:51" ht="16">
      <c r="A167" s="46" t="str">
        <f>'PRS Worksheet'!A161</f>
        <v>Algeria</v>
      </c>
      <c r="B167" s="56">
        <f>'PRS Worksheet'!B161</f>
        <v>69.25</v>
      </c>
      <c r="C167" s="93">
        <f>'PRS Worksheet'!E161</f>
        <v>0.11133169166632967</v>
      </c>
      <c r="D167" s="57">
        <f>'PRS Worksheet'!G161</f>
        <v>5.1931691666329667E-2</v>
      </c>
      <c r="E167" s="57">
        <f>'PRS Worksheet'!D161</f>
        <v>3.6814678899082576E-2</v>
      </c>
      <c r="F167" s="27"/>
      <c r="G167" s="27"/>
      <c r="H167" s="27"/>
      <c r="J167" s="96"/>
      <c r="K167" s="96"/>
    </row>
    <row r="168" spans="1:51" ht="16">
      <c r="A168" s="46" t="str">
        <f>'PRS Worksheet'!A162</f>
        <v>Brunei</v>
      </c>
      <c r="B168" s="56">
        <f>'PRS Worksheet'!B162</f>
        <v>79.5</v>
      </c>
      <c r="C168" s="93">
        <f>'PRS Worksheet'!E162</f>
        <v>7.4005788281155213E-2</v>
      </c>
      <c r="D168" s="57">
        <f>'PRS Worksheet'!G162</f>
        <v>1.4605788281155212E-2</v>
      </c>
      <c r="E168" s="57">
        <f>'PRS Worksheet'!D162</f>
        <v>1.0354128440366969E-2</v>
      </c>
      <c r="F168" s="27"/>
      <c r="G168" s="27"/>
      <c r="H168" s="27"/>
    </row>
    <row r="169" spans="1:51" ht="16">
      <c r="A169" s="46" t="str">
        <f>'PRS Worksheet'!A163</f>
        <v>Gambia</v>
      </c>
      <c r="B169" s="56">
        <f>'PRS Worksheet'!B163</f>
        <v>65</v>
      </c>
      <c r="C169" s="93">
        <f>'PRS Worksheet'!E163</f>
        <v>0.15433762382750893</v>
      </c>
      <c r="D169" s="57">
        <f>'PRS Worksheet'!G163</f>
        <v>9.4937623827508921E-2</v>
      </c>
      <c r="E169" s="57">
        <f>'PRS Worksheet'!D163</f>
        <v>6.7301834862385335E-2</v>
      </c>
      <c r="F169" s="27"/>
      <c r="G169" s="27"/>
      <c r="H169" s="27"/>
    </row>
    <row r="170" spans="1:51" ht="16">
      <c r="A170" s="46" t="str">
        <f>'PRS Worksheet'!A164</f>
        <v>Guinea</v>
      </c>
      <c r="B170" s="56">
        <f>'PRS Worksheet'!B164</f>
        <v>57.25</v>
      </c>
      <c r="C170" s="93">
        <f>'PRS Worksheet'!E164</f>
        <v>0.21478935865784579</v>
      </c>
      <c r="D170" s="57">
        <f>'PRS Worksheet'!G164</f>
        <v>0.15538935865784578</v>
      </c>
      <c r="E170" s="57">
        <f>'PRS Worksheet'!D164</f>
        <v>0.11015642201834863</v>
      </c>
      <c r="F170" s="27"/>
      <c r="G170" s="27"/>
      <c r="H170" s="27"/>
    </row>
    <row r="171" spans="1:51" ht="16">
      <c r="A171" s="46" t="str">
        <f>'PRS Worksheet'!A165</f>
        <v>Guinea-Bissau</v>
      </c>
      <c r="B171" s="56">
        <f>'PRS Worksheet'!B165</f>
        <v>64</v>
      </c>
      <c r="C171" s="93">
        <f>'PRS Worksheet'!E165</f>
        <v>0.17158056832609495</v>
      </c>
      <c r="D171" s="57">
        <f>'PRS Worksheet'!G165</f>
        <v>0.11218056832609494</v>
      </c>
      <c r="E171" s="57">
        <f>'PRS Worksheet'!D165</f>
        <v>7.9525458715596339E-2</v>
      </c>
      <c r="F171" s="27"/>
      <c r="G171" s="27"/>
      <c r="H171" s="27"/>
    </row>
    <row r="172" spans="1:51" ht="16">
      <c r="A172" s="46" t="str">
        <f>'PRS Worksheet'!A166</f>
        <v>Guyana</v>
      </c>
      <c r="B172" s="56">
        <f>'PRS Worksheet'!B166</f>
        <v>75.75</v>
      </c>
      <c r="C172" s="93">
        <f>'PRS Worksheet'!E166</f>
        <v>8.6988711197737628E-2</v>
      </c>
      <c r="D172" s="57">
        <f>'PRS Worksheet'!G166</f>
        <v>2.7588711197737627E-2</v>
      </c>
      <c r="E172" s="57">
        <f>'PRS Worksheet'!D166</f>
        <v>1.955779816513761E-2</v>
      </c>
      <c r="F172" s="27"/>
      <c r="G172" s="27"/>
      <c r="H172" s="27"/>
    </row>
    <row r="173" spans="1:51" ht="16">
      <c r="A173" s="46" t="str">
        <f>'PRS Worksheet'!A167</f>
        <v>Haiti</v>
      </c>
      <c r="B173" s="56">
        <f>'PRS Worksheet'!B167</f>
        <v>54.25</v>
      </c>
      <c r="C173" s="93">
        <f>'PRS Worksheet'!E167</f>
        <v>0.26651819215360384</v>
      </c>
      <c r="D173" s="57">
        <f>'PRS Worksheet'!G167</f>
        <v>0.20711819215360383</v>
      </c>
      <c r="E173" s="57">
        <f>'PRS Worksheet'!D167</f>
        <v>0.14682729357798163</v>
      </c>
      <c r="F173" s="27"/>
      <c r="G173" s="27"/>
      <c r="H173" s="27"/>
    </row>
    <row r="174" spans="1:51" ht="16">
      <c r="A174" s="46" t="str">
        <f>'PRS Worksheet'!A168</f>
        <v>Iran</v>
      </c>
      <c r="B174" s="56">
        <f>'PRS Worksheet'!B168</f>
        <v>66.5</v>
      </c>
      <c r="C174" s="93">
        <f>'PRS Worksheet'!E168</f>
        <v>0.13709467932892289</v>
      </c>
      <c r="D174" s="57">
        <f>'PRS Worksheet'!G168</f>
        <v>7.7694679328922878E-2</v>
      </c>
      <c r="E174" s="57">
        <f>'PRS Worksheet'!D168</f>
        <v>5.5078211009174302E-2</v>
      </c>
      <c r="F174" s="27"/>
      <c r="G174" s="27"/>
      <c r="H174" s="27"/>
    </row>
    <row r="175" spans="1:51" ht="16">
      <c r="A175" s="46" t="str">
        <f>'PRS Worksheet'!A169</f>
        <v>Korea, D.P.R.</v>
      </c>
      <c r="B175" s="56">
        <f>'PRS Worksheet'!B169</f>
        <v>51</v>
      </c>
      <c r="C175" s="93">
        <f>'PRS Worksheet'!E169</f>
        <v>0.26651819215360384</v>
      </c>
      <c r="D175" s="57">
        <f>'PRS Worksheet'!G169</f>
        <v>0.20711819215360383</v>
      </c>
      <c r="E175" s="57">
        <f>'PRS Worksheet'!D169</f>
        <v>0.14682729357798163</v>
      </c>
      <c r="F175" s="27"/>
      <c r="G175" s="27"/>
      <c r="H175" s="27"/>
    </row>
    <row r="176" spans="1:51" ht="16">
      <c r="A176" s="46" t="str">
        <f>'PRS Worksheet'!A170</f>
        <v>Liberia</v>
      </c>
      <c r="B176" s="56">
        <f>'PRS Worksheet'!B170</f>
        <v>58</v>
      </c>
      <c r="C176" s="93">
        <f>'PRS Worksheet'!E170</f>
        <v>0.21478935865784579</v>
      </c>
      <c r="D176" s="57">
        <f>'PRS Worksheet'!G170</f>
        <v>0.15538935865784578</v>
      </c>
      <c r="E176" s="57">
        <f>'PRS Worksheet'!D170</f>
        <v>0.11015642201834863</v>
      </c>
      <c r="F176" s="27"/>
      <c r="G176" s="27"/>
      <c r="H176" s="27"/>
    </row>
    <row r="177" spans="1:8" ht="16">
      <c r="A177" s="46" t="str">
        <f>'PRS Worksheet'!A171</f>
        <v>Libya</v>
      </c>
      <c r="B177" s="56">
        <f>'PRS Worksheet'!B171</f>
        <v>70.75</v>
      </c>
      <c r="C177" s="93">
        <f>'PRS Worksheet'!E171</f>
        <v>0.11133169166632967</v>
      </c>
      <c r="D177" s="57">
        <f>'PRS Worksheet'!G171</f>
        <v>5.1931691666329667E-2</v>
      </c>
      <c r="E177" s="57">
        <f>'PRS Worksheet'!D171</f>
        <v>3.6814678899082576E-2</v>
      </c>
      <c r="F177" s="27"/>
      <c r="G177" s="27"/>
      <c r="H177" s="27"/>
    </row>
    <row r="178" spans="1:8" ht="16">
      <c r="A178" s="46" t="str">
        <f>'PRS Worksheet'!A172</f>
        <v>Madagascar</v>
      </c>
      <c r="B178" s="56">
        <f>'PRS Worksheet'!B172</f>
        <v>62.5</v>
      </c>
      <c r="C178" s="93">
        <f>'PRS Worksheet'!E172</f>
        <v>0.17158056832609495</v>
      </c>
      <c r="D178" s="57">
        <f>'PRS Worksheet'!G172</f>
        <v>0.11218056832609494</v>
      </c>
      <c r="E178" s="57">
        <f>'PRS Worksheet'!D172</f>
        <v>7.9525458715596339E-2</v>
      </c>
      <c r="F178" s="27"/>
      <c r="G178" s="27"/>
      <c r="H178" s="27"/>
    </row>
    <row r="179" spans="1:8" ht="16">
      <c r="A179" s="46" t="str">
        <f>'PRS Worksheet'!A173</f>
        <v>Malawi</v>
      </c>
      <c r="B179" s="56">
        <f>'PRS Worksheet'!B173</f>
        <v>51</v>
      </c>
      <c r="C179" s="93">
        <f>'PRS Worksheet'!E173</f>
        <v>0.26651819215360384</v>
      </c>
      <c r="D179" s="57">
        <f>'PRS Worksheet'!G173</f>
        <v>0.20711819215360383</v>
      </c>
      <c r="E179" s="57">
        <f>'PRS Worksheet'!D173</f>
        <v>0.14682729357798163</v>
      </c>
      <c r="F179" s="27"/>
      <c r="G179" s="27"/>
      <c r="H179" s="27"/>
    </row>
    <row r="180" spans="1:8" ht="16">
      <c r="A180" s="46" t="str">
        <f>'PRS Worksheet'!A174</f>
        <v>Myanmar</v>
      </c>
      <c r="B180" s="56">
        <f>'PRS Worksheet'!B174</f>
        <v>55.75</v>
      </c>
      <c r="C180" s="93">
        <f>'PRS Worksheet'!E174</f>
        <v>0.23203230315643184</v>
      </c>
      <c r="D180" s="57">
        <f>'PRS Worksheet'!G174</f>
        <v>0.17263230315643183</v>
      </c>
      <c r="E180" s="57">
        <f>'PRS Worksheet'!D174</f>
        <v>0.12238004587155965</v>
      </c>
      <c r="F180" s="27"/>
      <c r="G180" s="27"/>
      <c r="H180" s="27"/>
    </row>
    <row r="181" spans="1:8" ht="16">
      <c r="A181" s="46" t="str">
        <f>'PRS Worksheet'!A176</f>
        <v>Sierra Leone</v>
      </c>
      <c r="B181" s="56">
        <f>'PRS Worksheet'!B176</f>
        <v>53.5</v>
      </c>
      <c r="C181" s="93">
        <f>'PRS Worksheet'!E176</f>
        <v>0.26651819215360384</v>
      </c>
      <c r="D181" s="57">
        <f>'PRS Worksheet'!G176</f>
        <v>0.20711819215360383</v>
      </c>
      <c r="E181" s="57">
        <f>'PRS Worksheet'!D176</f>
        <v>0.14682729357798163</v>
      </c>
      <c r="F181" s="27"/>
      <c r="G181" s="27"/>
      <c r="H181" s="27"/>
    </row>
    <row r="182" spans="1:8" ht="16">
      <c r="A182" s="46" t="str">
        <f>'PRS Worksheet'!A177</f>
        <v>Somalia</v>
      </c>
      <c r="B182" s="56">
        <f>'PRS Worksheet'!B177</f>
        <v>52</v>
      </c>
      <c r="C182" s="93">
        <f>'PRS Worksheet'!E177</f>
        <v>0.26651819215360384</v>
      </c>
      <c r="D182" s="57">
        <f>'PRS Worksheet'!G177</f>
        <v>0.20711819215360383</v>
      </c>
      <c r="E182" s="57">
        <f>'PRS Worksheet'!D177</f>
        <v>0.14682729357798163</v>
      </c>
      <c r="F182" s="27"/>
      <c r="G182" s="27"/>
      <c r="H182" s="27"/>
    </row>
    <row r="183" spans="1:8" ht="16">
      <c r="A183" s="46" t="str">
        <f>'PRS Worksheet'!A178</f>
        <v>Sudan</v>
      </c>
      <c r="B183" s="56">
        <f>'PRS Worksheet'!B178</f>
        <v>43</v>
      </c>
      <c r="C183" s="93">
        <f>'PRS Worksheet'!E178</f>
        <v>0.30625930485826308</v>
      </c>
      <c r="D183" s="57">
        <f>'PRS Worksheet'!G178</f>
        <v>0.24685930485826307</v>
      </c>
      <c r="E183" s="57">
        <f>'PRS Worksheet'!D178</f>
        <v>0.17499999999999996</v>
      </c>
      <c r="F183" s="27"/>
      <c r="G183" s="27"/>
      <c r="H183" s="27"/>
    </row>
    <row r="184" spans="1:8" ht="16">
      <c r="A184" s="46" t="str">
        <f>'PRS Worksheet'!A179</f>
        <v>Syria</v>
      </c>
      <c r="B184" s="56">
        <f>'PRS Worksheet'!B179</f>
        <v>43.75</v>
      </c>
      <c r="C184" s="93">
        <f>'PRS Worksheet'!E179</f>
        <v>0.30625930485826308</v>
      </c>
      <c r="D184" s="57">
        <f>'PRS Worksheet'!G179</f>
        <v>0.24685930485826307</v>
      </c>
      <c r="E184" s="57">
        <f>'PRS Worksheet'!D179</f>
        <v>0.17499999999999996</v>
      </c>
      <c r="F184" s="27"/>
      <c r="G184" s="27"/>
      <c r="H184" s="27"/>
    </row>
    <row r="185" spans="1:8" ht="16">
      <c r="A185" s="46" t="str">
        <f>'PRS Worksheet'!A180</f>
        <v>Yemen, Republic</v>
      </c>
      <c r="B185" s="56">
        <f>'PRS Worksheet'!B180</f>
        <v>48.25</v>
      </c>
      <c r="C185" s="93">
        <f>'PRS Worksheet'!E180</f>
        <v>0.30625930485826308</v>
      </c>
      <c r="D185" s="57">
        <f>'PRS Worksheet'!G180</f>
        <v>0.24685930485826307</v>
      </c>
      <c r="E185" s="57">
        <f>'PRS Worksheet'!D180</f>
        <v>0.17499999999999996</v>
      </c>
      <c r="F185" s="27"/>
      <c r="G185" s="27"/>
      <c r="H185" s="27"/>
    </row>
    <row r="186" spans="1:8" ht="16">
      <c r="A186" s="46" t="str">
        <f>'PRS Worksheet'!A181</f>
        <v>Zimbabwe</v>
      </c>
      <c r="B186" s="56">
        <f>'PRS Worksheet'!B181</f>
        <v>61.5</v>
      </c>
      <c r="C186" s="93">
        <f>'PRS Worksheet'!E181</f>
        <v>0.18882351282468096</v>
      </c>
      <c r="D186" s="57">
        <f>'PRS Worksheet'!G181</f>
        <v>0.12942351282468095</v>
      </c>
      <c r="E186" s="57">
        <f>'PRS Worksheet'!D181</f>
        <v>9.1749082568807344E-2</v>
      </c>
      <c r="F186" s="27"/>
      <c r="G186" s="27"/>
      <c r="H186" s="27"/>
    </row>
    <row r="187" spans="1:8" ht="16">
      <c r="A187" s="91"/>
      <c r="B187" s="107"/>
      <c r="C187" s="92"/>
      <c r="D187" s="26"/>
      <c r="E187" s="27"/>
      <c r="F187" s="27"/>
      <c r="G187" s="27"/>
      <c r="H187" s="27"/>
    </row>
    <row r="188" spans="1:8">
      <c r="B188" s="17" t="s">
        <v>39</v>
      </c>
      <c r="C188" s="17" t="s">
        <v>40</v>
      </c>
    </row>
    <row r="189" spans="1:8">
      <c r="B189" s="4" t="s">
        <v>41</v>
      </c>
      <c r="C189" s="129">
        <f>'Default Spreads for Ratings'!C2</f>
        <v>86.284403669724782</v>
      </c>
    </row>
    <row r="190" spans="1:8">
      <c r="B190" s="4" t="s">
        <v>42</v>
      </c>
      <c r="C190" s="129">
        <f>'Default Spreads for Ratings'!C3</f>
        <v>103.54128440366974</v>
      </c>
    </row>
    <row r="191" spans="1:8">
      <c r="B191" s="4" t="s">
        <v>43</v>
      </c>
      <c r="C191" s="129">
        <f>'Default Spreads for Ratings'!C4</f>
        <v>146.68348623853211</v>
      </c>
    </row>
    <row r="192" spans="1:8">
      <c r="B192" s="4" t="s">
        <v>44</v>
      </c>
      <c r="C192" s="129">
        <f>'Default Spreads for Ratings'!C5</f>
        <v>48.894495412844037</v>
      </c>
    </row>
    <row r="193" spans="2:3">
      <c r="B193" s="4" t="s">
        <v>45</v>
      </c>
      <c r="C193" s="129">
        <f>'Default Spreads for Ratings'!C6</f>
        <v>60.399082568807344</v>
      </c>
    </row>
    <row r="194" spans="2:3">
      <c r="B194" s="4" t="s">
        <v>46</v>
      </c>
      <c r="C194" s="129">
        <f>'Default Spreads for Ratings'!C7</f>
        <v>73.341743119266056</v>
      </c>
    </row>
    <row r="195" spans="2:3">
      <c r="B195" s="4" t="s">
        <v>47</v>
      </c>
      <c r="C195" s="129">
        <f>'Default Spreads for Ratings'!C8</f>
        <v>0</v>
      </c>
    </row>
    <row r="196" spans="2:3">
      <c r="B196" s="4" t="s">
        <v>48</v>
      </c>
      <c r="C196" s="129">
        <f>'Default Spreads for Ratings'!C9</f>
        <v>550.78211009174311</v>
      </c>
    </row>
    <row r="197" spans="2:3">
      <c r="B197" s="4" t="s">
        <v>49</v>
      </c>
      <c r="C197" s="129">
        <f>'Default Spreads for Ratings'!C10</f>
        <v>673.01834862385329</v>
      </c>
    </row>
    <row r="198" spans="2:3">
      <c r="B198" s="4" t="s">
        <v>78</v>
      </c>
      <c r="C198" s="129">
        <f>'Default Spreads for Ratings'!C11</f>
        <v>795.25458715596335</v>
      </c>
    </row>
    <row r="199" spans="2:3">
      <c r="B199" s="4" t="s">
        <v>79</v>
      </c>
      <c r="C199" s="129">
        <f>'Default Spreads for Ratings'!C12</f>
        <v>306.30963302752298</v>
      </c>
    </row>
    <row r="200" spans="2:3">
      <c r="B200" s="4" t="s">
        <v>80</v>
      </c>
      <c r="C200" s="129">
        <f>'Default Spreads for Ratings'!C13</f>
        <v>368.14678899082571</v>
      </c>
    </row>
    <row r="201" spans="2:3">
      <c r="B201" s="4" t="s">
        <v>81</v>
      </c>
      <c r="C201" s="129">
        <f>'Default Spreads for Ratings'!C14</f>
        <v>440.05045871559633</v>
      </c>
    </row>
    <row r="202" spans="2:3">
      <c r="B202" s="4" t="s">
        <v>82</v>
      </c>
      <c r="C202" s="129">
        <f>'Default Spreads for Ratings'!C15</f>
        <v>195.57798165137615</v>
      </c>
    </row>
    <row r="203" spans="2:3">
      <c r="B203" s="4" t="s">
        <v>83</v>
      </c>
      <c r="C203" s="129">
        <f>'Default Spreads for Ratings'!C16</f>
        <v>232.96788990825689</v>
      </c>
    </row>
    <row r="204" spans="2:3">
      <c r="B204" s="4" t="s">
        <v>124</v>
      </c>
      <c r="C204" s="129">
        <f>'Default Spreads for Ratings'!C17</f>
        <v>268.91972477064223</v>
      </c>
    </row>
    <row r="205" spans="2:3">
      <c r="B205" s="4" t="s">
        <v>137</v>
      </c>
      <c r="C205" s="129">
        <v>1750</v>
      </c>
    </row>
    <row r="206" spans="2:3">
      <c r="B206" s="4" t="s">
        <v>346</v>
      </c>
      <c r="C206" s="129">
        <f>'Default Spreads for Ratings'!C18</f>
        <v>1468.2729357798166</v>
      </c>
    </row>
    <row r="207" spans="2:3">
      <c r="B207" s="4" t="s">
        <v>100</v>
      </c>
      <c r="C207" s="129">
        <f>'Default Spreads for Ratings'!C19</f>
        <v>917.49082568807341</v>
      </c>
    </row>
    <row r="208" spans="2:3">
      <c r="B208" s="4" t="s">
        <v>58</v>
      </c>
      <c r="C208" s="129">
        <f>'Default Spreads for Ratings'!C20</f>
        <v>1101.5642201834862</v>
      </c>
    </row>
    <row r="209" spans="2:3">
      <c r="B209" s="4" t="s">
        <v>62</v>
      </c>
      <c r="C209" s="129">
        <f>'Default Spreads for Ratings'!C21</f>
        <v>1223.8004587155965</v>
      </c>
    </row>
    <row r="210" spans="2:3">
      <c r="B210" s="4" t="s">
        <v>277</v>
      </c>
      <c r="C210" s="4" t="s">
        <v>143</v>
      </c>
    </row>
  </sheetData>
  <sortState xmlns:xlrd2="http://schemas.microsoft.com/office/spreadsheetml/2017/richdata2" ref="J9:K30">
    <sortCondition ref="J9:J30"/>
  </sortState>
  <mergeCells count="1">
    <mergeCell ref="A165:E165"/>
  </mergeCells>
  <phoneticPr fontId="12"/>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37"/>
  <sheetViews>
    <sheetView workbookViewId="0">
      <selection activeCell="J1" sqref="J1:Q5"/>
    </sheetView>
  </sheetViews>
  <sheetFormatPr baseColWidth="10" defaultRowHeight="13"/>
  <cols>
    <col min="1" max="1" width="31.33203125" customWidth="1"/>
    <col min="2" max="2" width="12.5" bestFit="1" customWidth="1"/>
    <col min="4" max="4" width="8" bestFit="1" customWidth="1"/>
    <col min="6" max="6" width="20" customWidth="1"/>
    <col min="15" max="15" width="13.5" customWidth="1"/>
  </cols>
  <sheetData>
    <row r="1" spans="1:17" ht="13" customHeight="1">
      <c r="A1" s="4" t="s">
        <v>294</v>
      </c>
      <c r="B1" s="4" t="s">
        <v>571</v>
      </c>
      <c r="C1" s="4" t="s">
        <v>572</v>
      </c>
      <c r="D1" s="4" t="s">
        <v>573</v>
      </c>
      <c r="J1" s="247" t="s">
        <v>574</v>
      </c>
      <c r="K1" s="248"/>
      <c r="L1" s="248"/>
      <c r="M1" s="248"/>
      <c r="N1" s="248"/>
      <c r="O1" s="248"/>
      <c r="P1" s="248"/>
      <c r="Q1" s="249"/>
    </row>
    <row r="2" spans="1:17">
      <c r="A2" s="4">
        <v>2018</v>
      </c>
      <c r="B2" s="72">
        <f>STDEV(I16:I275)*(260^0.5)</f>
        <v>0.14609025955602986</v>
      </c>
      <c r="C2" s="72">
        <f>STDEV(B15:B279)/AVERAGE(B15:B279)</f>
        <v>8.3727922319163886E-2</v>
      </c>
      <c r="D2" s="232">
        <f>B2/C2</f>
        <v>1.744821267619014</v>
      </c>
      <c r="E2" s="23"/>
      <c r="F2" s="101" t="s">
        <v>575</v>
      </c>
      <c r="J2" s="250"/>
      <c r="K2" s="251"/>
      <c r="L2" s="251"/>
      <c r="M2" s="251"/>
      <c r="N2" s="251"/>
      <c r="O2" s="251"/>
      <c r="P2" s="251"/>
      <c r="Q2" s="252"/>
    </row>
    <row r="3" spans="1:17">
      <c r="A3" s="4">
        <v>2019</v>
      </c>
      <c r="B3" s="72">
        <f>STDEV(I276:I536)*(260^0.5)</f>
        <v>0.10679253698365292</v>
      </c>
      <c r="C3" s="72">
        <f>STDEV(B280:B544)/AVERAGE(B280:B544)</f>
        <v>8.9753862847565188E-2</v>
      </c>
      <c r="D3" s="232">
        <f t="shared" ref="D3:D7" si="0">B3/C3</f>
        <v>1.189837780742937</v>
      </c>
      <c r="E3" s="23"/>
      <c r="J3" s="250"/>
      <c r="K3" s="251"/>
      <c r="L3" s="251"/>
      <c r="M3" s="251"/>
      <c r="N3" s="251"/>
      <c r="O3" s="251"/>
      <c r="P3" s="251"/>
      <c r="Q3" s="252"/>
    </row>
    <row r="4" spans="1:17">
      <c r="A4" s="4">
        <v>2020</v>
      </c>
      <c r="B4" s="72">
        <f>STDEV(I537:I798)*(260^0.5)</f>
        <v>0.22918086105991806</v>
      </c>
      <c r="C4" s="72">
        <f>STDEV(B545:B809)/AVERAGE(B545:B809)</f>
        <v>0.17254711231965128</v>
      </c>
      <c r="D4" s="232">
        <f t="shared" si="0"/>
        <v>1.32822194459766</v>
      </c>
      <c r="E4" s="79"/>
      <c r="J4" s="250"/>
      <c r="K4" s="251"/>
      <c r="L4" s="251"/>
      <c r="M4" s="251"/>
      <c r="N4" s="251"/>
      <c r="O4" s="251"/>
      <c r="P4" s="251"/>
      <c r="Q4" s="252"/>
    </row>
    <row r="5" spans="1:17" ht="14" thickBot="1">
      <c r="A5" s="4">
        <v>2021</v>
      </c>
      <c r="B5" s="72">
        <f>STDEV(I799:I1059)*(260^0.5)</f>
        <v>0.14287884625137667</v>
      </c>
      <c r="C5" s="72">
        <f>STDEV(B810:B1074)/AVERAGE(B810:B1074)</f>
        <v>4.1745906985483541E-2</v>
      </c>
      <c r="D5" s="232">
        <f t="shared" si="0"/>
        <v>3.4225833517297986</v>
      </c>
      <c r="J5" s="253"/>
      <c r="K5" s="254"/>
      <c r="L5" s="254"/>
      <c r="M5" s="254"/>
      <c r="N5" s="254"/>
      <c r="O5" s="254"/>
      <c r="P5" s="254"/>
      <c r="Q5" s="255"/>
    </row>
    <row r="6" spans="1:17">
      <c r="A6" s="4">
        <v>2022</v>
      </c>
      <c r="B6" s="72">
        <f>STDEV(I1060:I1319)*(260^0.5)</f>
        <v>0.18670507814633716</v>
      </c>
      <c r="C6" s="72">
        <f>STDEV(B1075:B1337)/AVERAGE(B1075:B1337)</f>
        <v>0.18760689698388189</v>
      </c>
      <c r="D6" s="232">
        <f t="shared" si="0"/>
        <v>0.99519304006386178</v>
      </c>
    </row>
    <row r="7" spans="1:17">
      <c r="A7" s="15" t="s">
        <v>576</v>
      </c>
      <c r="B7" s="240">
        <f>AVERAGE(B2:B6)</f>
        <v>0.16232951639946294</v>
      </c>
      <c r="C7" s="240">
        <f>AVERAGE(C2:C6)</f>
        <v>0.11507634029114915</v>
      </c>
      <c r="D7" s="233">
        <f t="shared" si="0"/>
        <v>1.410624599190075</v>
      </c>
    </row>
    <row r="9" spans="1:17" ht="14">
      <c r="A9" t="s">
        <v>363</v>
      </c>
      <c r="B9" s="219" t="s">
        <v>559</v>
      </c>
      <c r="G9" t="s">
        <v>363</v>
      </c>
      <c r="H9" t="s">
        <v>371</v>
      </c>
    </row>
    <row r="10" spans="1:17">
      <c r="A10" t="s">
        <v>254</v>
      </c>
      <c r="B10" t="s">
        <v>364</v>
      </c>
      <c r="G10" t="s">
        <v>254</v>
      </c>
      <c r="H10" t="s">
        <v>370</v>
      </c>
    </row>
    <row r="11" spans="1:17">
      <c r="B11" s="101" t="s">
        <v>575</v>
      </c>
      <c r="H11" s="101" t="s">
        <v>577</v>
      </c>
    </row>
    <row r="12" spans="1:17" ht="16">
      <c r="A12" t="s">
        <v>365</v>
      </c>
      <c r="B12" t="s">
        <v>578</v>
      </c>
      <c r="C12" t="s">
        <v>579</v>
      </c>
      <c r="G12" t="s">
        <v>365</v>
      </c>
      <c r="H12" s="234" t="s">
        <v>578</v>
      </c>
      <c r="I12" s="234" t="s">
        <v>579</v>
      </c>
      <c r="J12" s="234"/>
    </row>
    <row r="13" spans="1:17">
      <c r="A13" t="s">
        <v>366</v>
      </c>
      <c r="B13" t="s">
        <v>367</v>
      </c>
      <c r="G13" t="s">
        <v>366</v>
      </c>
      <c r="H13" t="s">
        <v>367</v>
      </c>
    </row>
    <row r="14" spans="1:17" ht="28">
      <c r="A14" s="19" t="s">
        <v>361</v>
      </c>
      <c r="B14" s="19" t="s">
        <v>362</v>
      </c>
      <c r="G14" s="80" t="s">
        <v>368</v>
      </c>
      <c r="H14" s="77" t="s">
        <v>499</v>
      </c>
      <c r="I14" s="77" t="s">
        <v>369</v>
      </c>
      <c r="J14" s="77"/>
      <c r="K14" s="77"/>
    </row>
    <row r="15" spans="1:17" ht="16">
      <c r="A15" s="132">
        <v>41638</v>
      </c>
      <c r="B15" s="79">
        <v>3.75</v>
      </c>
      <c r="C15" s="77"/>
      <c r="D15" s="235"/>
      <c r="G15" s="81">
        <v>41639</v>
      </c>
      <c r="H15" s="82">
        <v>300.16000000000003</v>
      </c>
      <c r="I15" s="236"/>
      <c r="J15" s="77"/>
      <c r="K15" s="237"/>
    </row>
    <row r="16" spans="1:17" ht="17" thickBot="1">
      <c r="A16" s="132">
        <v>41639</v>
      </c>
      <c r="B16" s="209">
        <v>3.75</v>
      </c>
      <c r="C16" s="77"/>
      <c r="D16" s="235"/>
      <c r="G16" s="81">
        <v>41640</v>
      </c>
      <c r="H16" s="82">
        <v>305.17</v>
      </c>
      <c r="I16" s="236">
        <f t="shared" ref="I16:I79" si="1">H16/H15-1</f>
        <v>1.6691098081023314E-2</v>
      </c>
      <c r="J16" s="77"/>
      <c r="K16" s="237"/>
    </row>
    <row r="17" spans="1:15" ht="17" thickBot="1">
      <c r="A17" s="132">
        <v>41640</v>
      </c>
      <c r="B17" s="79">
        <v>3.75</v>
      </c>
      <c r="C17" s="77"/>
      <c r="D17" s="238"/>
      <c r="G17" s="81">
        <v>41641</v>
      </c>
      <c r="H17" s="82">
        <v>306.92</v>
      </c>
      <c r="I17" s="236">
        <f t="shared" si="1"/>
        <v>5.7345086345315099E-3</v>
      </c>
      <c r="J17" s="77"/>
      <c r="K17" s="77"/>
    </row>
    <row r="18" spans="1:15" ht="16">
      <c r="A18" s="132">
        <v>41641</v>
      </c>
      <c r="B18" s="79">
        <v>3.74</v>
      </c>
      <c r="G18" s="81">
        <v>41642</v>
      </c>
      <c r="H18" s="82">
        <v>309.70999999999998</v>
      </c>
      <c r="I18" s="236">
        <f t="shared" si="1"/>
        <v>9.0903166949041214E-3</v>
      </c>
      <c r="J18" s="77"/>
      <c r="K18" s="77"/>
      <c r="L18" s="25"/>
      <c r="M18" s="25"/>
      <c r="N18" s="25"/>
      <c r="O18" s="25"/>
    </row>
    <row r="19" spans="1:15" ht="16">
      <c r="A19" s="132">
        <v>41642</v>
      </c>
      <c r="B19" s="79">
        <v>3.74</v>
      </c>
      <c r="G19" s="81">
        <v>41643</v>
      </c>
      <c r="H19" s="82">
        <v>311.49</v>
      </c>
      <c r="I19" s="236">
        <f t="shared" si="1"/>
        <v>5.7473120015498758E-3</v>
      </c>
      <c r="J19" s="77"/>
      <c r="K19" s="77"/>
      <c r="L19" s="25"/>
      <c r="M19" s="239"/>
      <c r="N19" s="239"/>
      <c r="O19" s="126"/>
    </row>
    <row r="20" spans="1:15" ht="16">
      <c r="A20" s="132">
        <v>41643</v>
      </c>
      <c r="B20" s="79">
        <v>3.74</v>
      </c>
      <c r="G20" s="81">
        <v>41646</v>
      </c>
      <c r="H20" s="82">
        <v>312.86</v>
      </c>
      <c r="I20" s="236">
        <f t="shared" si="1"/>
        <v>4.398215030980035E-3</v>
      </c>
      <c r="J20" s="77"/>
      <c r="K20" s="77"/>
      <c r="L20" s="25"/>
      <c r="M20" s="239"/>
      <c r="N20" s="239"/>
      <c r="O20" s="126"/>
    </row>
    <row r="21" spans="1:15" ht="16">
      <c r="A21" s="132">
        <v>41646</v>
      </c>
      <c r="B21" s="79">
        <v>3.74</v>
      </c>
      <c r="G21" s="81">
        <v>41647</v>
      </c>
      <c r="H21" s="82">
        <v>312.63</v>
      </c>
      <c r="I21" s="236">
        <f t="shared" si="1"/>
        <v>-7.3515310362470832E-4</v>
      </c>
      <c r="J21" s="77"/>
      <c r="K21" s="77"/>
      <c r="L21" s="25"/>
      <c r="M21" s="239"/>
      <c r="N21" s="239"/>
      <c r="O21" s="126"/>
    </row>
    <row r="22" spans="1:15" ht="16">
      <c r="A22" s="132">
        <v>41647</v>
      </c>
      <c r="B22" s="79">
        <v>3.76</v>
      </c>
      <c r="G22" s="81">
        <v>41648</v>
      </c>
      <c r="H22" s="82">
        <v>311.47000000000003</v>
      </c>
      <c r="I22" s="236">
        <f t="shared" si="1"/>
        <v>-3.7104564501166948E-3</v>
      </c>
      <c r="J22" s="77"/>
      <c r="K22" s="77"/>
      <c r="L22" s="25"/>
      <c r="M22" s="239"/>
      <c r="N22" s="239"/>
      <c r="O22" s="126"/>
    </row>
    <row r="23" spans="1:15" ht="16">
      <c r="A23" s="132">
        <v>41648</v>
      </c>
      <c r="B23" s="79">
        <v>3.78</v>
      </c>
      <c r="G23" s="81">
        <v>41649</v>
      </c>
      <c r="H23" s="82">
        <v>311.67</v>
      </c>
      <c r="I23" s="236">
        <f t="shared" si="1"/>
        <v>6.4211641570621758E-4</v>
      </c>
      <c r="J23" s="77"/>
      <c r="K23" s="77"/>
      <c r="L23" s="25"/>
      <c r="M23" s="239"/>
      <c r="N23" s="239"/>
      <c r="O23" s="126"/>
    </row>
    <row r="24" spans="1:15" ht="16">
      <c r="A24" s="132">
        <v>41649</v>
      </c>
      <c r="B24" s="79">
        <v>3.77</v>
      </c>
      <c r="G24" s="81">
        <v>41650</v>
      </c>
      <c r="H24" s="82">
        <v>314</v>
      </c>
      <c r="I24" s="236">
        <f t="shared" si="1"/>
        <v>7.4758558731990998E-3</v>
      </c>
      <c r="J24" s="77"/>
      <c r="K24" s="77"/>
      <c r="O24" s="126"/>
    </row>
    <row r="25" spans="1:15" ht="16">
      <c r="A25" s="132">
        <v>41650</v>
      </c>
      <c r="B25" s="79">
        <v>3.78</v>
      </c>
      <c r="G25" s="81">
        <v>41653</v>
      </c>
      <c r="H25" s="82">
        <v>314.42</v>
      </c>
      <c r="I25" s="236">
        <f t="shared" si="1"/>
        <v>1.3375796178345389E-3</v>
      </c>
      <c r="J25" s="77"/>
      <c r="K25" s="77"/>
    </row>
    <row r="26" spans="1:15" ht="16">
      <c r="A26" s="132">
        <v>41653</v>
      </c>
      <c r="B26" s="79">
        <v>3.78</v>
      </c>
      <c r="G26" s="81">
        <v>41654</v>
      </c>
      <c r="H26" s="82">
        <v>315.63</v>
      </c>
      <c r="I26" s="236">
        <f t="shared" si="1"/>
        <v>3.8483557025634774E-3</v>
      </c>
      <c r="J26" s="77"/>
      <c r="K26" s="77"/>
    </row>
    <row r="27" spans="1:15" ht="16">
      <c r="A27" s="132">
        <v>41654</v>
      </c>
      <c r="B27" s="79">
        <v>3.77</v>
      </c>
      <c r="G27" s="81">
        <v>41655</v>
      </c>
      <c r="H27" s="82">
        <v>317.52999999999997</v>
      </c>
      <c r="I27" s="236">
        <f t="shared" si="1"/>
        <v>6.0197066185090353E-3</v>
      </c>
      <c r="J27" s="77"/>
      <c r="K27" s="77"/>
    </row>
    <row r="28" spans="1:15" ht="16">
      <c r="A28" s="132">
        <v>41655</v>
      </c>
      <c r="B28" s="79">
        <v>3.78</v>
      </c>
      <c r="G28" s="81">
        <v>41656</v>
      </c>
      <c r="H28" s="82">
        <v>318.77</v>
      </c>
      <c r="I28" s="236">
        <f t="shared" si="1"/>
        <v>3.9051428211507311E-3</v>
      </c>
      <c r="J28" s="77"/>
      <c r="K28" s="77"/>
    </row>
    <row r="29" spans="1:15" ht="16">
      <c r="A29" s="132">
        <v>41656</v>
      </c>
      <c r="B29" s="79">
        <v>3.8</v>
      </c>
      <c r="G29" s="81">
        <v>41657</v>
      </c>
      <c r="H29" s="82">
        <v>320.27999999999997</v>
      </c>
      <c r="I29" s="236">
        <f t="shared" si="1"/>
        <v>4.7369576810867287E-3</v>
      </c>
      <c r="J29" s="77"/>
      <c r="K29" s="77"/>
    </row>
    <row r="30" spans="1:15" ht="16">
      <c r="A30" s="132">
        <v>41657</v>
      </c>
      <c r="B30" s="79">
        <v>3.82</v>
      </c>
      <c r="G30" s="81">
        <v>41660</v>
      </c>
      <c r="H30" s="82">
        <v>322.77999999999997</v>
      </c>
      <c r="I30" s="236">
        <f t="shared" si="1"/>
        <v>7.8056700387161282E-3</v>
      </c>
      <c r="J30" s="77"/>
      <c r="K30" s="77"/>
    </row>
    <row r="31" spans="1:15" ht="16">
      <c r="A31" s="132">
        <v>41660</v>
      </c>
      <c r="B31" s="79">
        <v>3.83</v>
      </c>
      <c r="G31" s="81">
        <v>41661</v>
      </c>
      <c r="H31" s="82">
        <v>325.54000000000002</v>
      </c>
      <c r="I31" s="236">
        <f t="shared" si="1"/>
        <v>8.5507156577235843E-3</v>
      </c>
      <c r="J31" s="77"/>
      <c r="K31" s="77"/>
    </row>
    <row r="32" spans="1:15" ht="16">
      <c r="A32" s="132">
        <v>41661</v>
      </c>
      <c r="B32" s="79">
        <v>3.81</v>
      </c>
      <c r="G32" s="81">
        <v>41662</v>
      </c>
      <c r="H32" s="82">
        <v>327.77</v>
      </c>
      <c r="I32" s="236">
        <f t="shared" si="1"/>
        <v>6.8501566627756638E-3</v>
      </c>
      <c r="J32" s="77"/>
      <c r="K32" s="77"/>
    </row>
    <row r="33" spans="1:11" ht="16">
      <c r="A33" s="132">
        <v>41662</v>
      </c>
      <c r="B33" s="79">
        <v>3.81</v>
      </c>
      <c r="G33" s="81">
        <v>41663</v>
      </c>
      <c r="H33" s="82">
        <v>328.18</v>
      </c>
      <c r="I33" s="236">
        <f t="shared" si="1"/>
        <v>1.2508771394577067E-3</v>
      </c>
      <c r="J33" s="77"/>
      <c r="K33" s="77"/>
    </row>
    <row r="34" spans="1:11" ht="16">
      <c r="A34" s="132">
        <v>41663</v>
      </c>
      <c r="B34" s="79">
        <v>3.8</v>
      </c>
      <c r="G34" s="81">
        <v>41664</v>
      </c>
      <c r="H34" s="82">
        <v>330.88</v>
      </c>
      <c r="I34" s="236">
        <f t="shared" si="1"/>
        <v>8.227192394417715E-3</v>
      </c>
      <c r="J34" s="77"/>
      <c r="K34" s="77"/>
    </row>
    <row r="35" spans="1:11" ht="16">
      <c r="A35" s="132">
        <v>41664</v>
      </c>
      <c r="B35" s="79">
        <v>3.81</v>
      </c>
      <c r="G35" s="81">
        <v>41667</v>
      </c>
      <c r="H35" s="82">
        <v>328.97</v>
      </c>
      <c r="I35" s="236">
        <f t="shared" si="1"/>
        <v>-5.7724854932300618E-3</v>
      </c>
      <c r="J35" s="77"/>
      <c r="K35" s="77"/>
    </row>
    <row r="36" spans="1:11" ht="16">
      <c r="A36" s="132">
        <v>41667</v>
      </c>
      <c r="B36" s="79">
        <v>3.85</v>
      </c>
      <c r="G36" s="81">
        <v>41668</v>
      </c>
      <c r="H36" s="82">
        <v>324.38</v>
      </c>
      <c r="I36" s="236">
        <f t="shared" si="1"/>
        <v>-1.3952640058364052E-2</v>
      </c>
      <c r="J36" s="77"/>
      <c r="K36" s="77"/>
    </row>
    <row r="37" spans="1:11" ht="16">
      <c r="A37" s="132">
        <v>41668</v>
      </c>
      <c r="B37" s="79">
        <v>3.86</v>
      </c>
      <c r="G37" s="81">
        <v>41669</v>
      </c>
      <c r="H37" s="82">
        <v>326.02999999999997</v>
      </c>
      <c r="I37" s="236">
        <f t="shared" si="1"/>
        <v>5.0866267957332401E-3</v>
      </c>
      <c r="J37" s="77"/>
      <c r="K37" s="77"/>
    </row>
    <row r="38" spans="1:11" ht="16">
      <c r="A38" s="132">
        <v>41669</v>
      </c>
      <c r="B38" s="79">
        <v>3.88</v>
      </c>
      <c r="G38" s="81">
        <v>41670</v>
      </c>
      <c r="H38" s="82">
        <v>324.76</v>
      </c>
      <c r="I38" s="236">
        <f t="shared" si="1"/>
        <v>-3.895347053952003E-3</v>
      </c>
      <c r="J38" s="77"/>
      <c r="K38" s="77"/>
    </row>
    <row r="39" spans="1:11" ht="16">
      <c r="A39" s="132">
        <v>41670</v>
      </c>
      <c r="B39" s="79">
        <v>3.91</v>
      </c>
      <c r="G39" s="81">
        <v>41671</v>
      </c>
      <c r="H39" s="82">
        <v>320.61</v>
      </c>
      <c r="I39" s="236">
        <f t="shared" si="1"/>
        <v>-1.2778667323561921E-2</v>
      </c>
      <c r="J39" s="77"/>
      <c r="K39" s="77"/>
    </row>
    <row r="40" spans="1:11" ht="16">
      <c r="A40" s="132">
        <v>41671</v>
      </c>
      <c r="B40" s="79">
        <v>3.94</v>
      </c>
      <c r="G40" s="81">
        <v>41674</v>
      </c>
      <c r="H40" s="82">
        <v>315.41000000000003</v>
      </c>
      <c r="I40" s="236">
        <f t="shared" si="1"/>
        <v>-1.6219082374224092E-2</v>
      </c>
      <c r="J40" s="77"/>
      <c r="K40" s="77"/>
    </row>
    <row r="41" spans="1:11" ht="16">
      <c r="A41" s="132">
        <v>41674</v>
      </c>
      <c r="B41" s="79">
        <v>3.96</v>
      </c>
      <c r="G41" s="81">
        <v>41675</v>
      </c>
      <c r="H41" s="82">
        <v>306.3</v>
      </c>
      <c r="I41" s="236">
        <f t="shared" si="1"/>
        <v>-2.8883041121080533E-2</v>
      </c>
      <c r="J41" s="77"/>
      <c r="K41" s="77"/>
    </row>
    <row r="42" spans="1:11" ht="16">
      <c r="A42" s="132">
        <v>41675</v>
      </c>
      <c r="B42" s="79">
        <v>3.95</v>
      </c>
      <c r="G42" s="81">
        <v>41676</v>
      </c>
      <c r="H42" s="82">
        <v>306.58</v>
      </c>
      <c r="I42" s="236">
        <f t="shared" si="1"/>
        <v>9.1413646751536959E-4</v>
      </c>
      <c r="J42" s="77"/>
      <c r="K42" s="77"/>
    </row>
    <row r="43" spans="1:11" ht="16">
      <c r="A43" s="132">
        <v>41676</v>
      </c>
      <c r="B43" s="79">
        <v>3.95</v>
      </c>
      <c r="G43" s="81">
        <v>41677</v>
      </c>
      <c r="H43" s="82">
        <v>303.69</v>
      </c>
      <c r="I43" s="236">
        <f t="shared" si="1"/>
        <v>-9.4265770761301493E-3</v>
      </c>
      <c r="J43" s="77"/>
      <c r="K43" s="77"/>
    </row>
    <row r="44" spans="1:11" ht="16">
      <c r="A44" s="132">
        <v>41677</v>
      </c>
      <c r="B44" s="79">
        <v>4.01</v>
      </c>
      <c r="G44" s="81">
        <v>41678</v>
      </c>
      <c r="H44" s="82">
        <v>299.01</v>
      </c>
      <c r="I44" s="236">
        <f t="shared" si="1"/>
        <v>-1.5410451447199436E-2</v>
      </c>
      <c r="J44" s="77"/>
      <c r="K44" s="77"/>
    </row>
    <row r="45" spans="1:11" ht="16">
      <c r="A45" s="132">
        <v>41678</v>
      </c>
      <c r="B45" s="79">
        <v>4.07</v>
      </c>
      <c r="G45" s="81">
        <v>41681</v>
      </c>
      <c r="H45" s="82">
        <v>301.33</v>
      </c>
      <c r="I45" s="236">
        <f t="shared" si="1"/>
        <v>7.7589378281661681E-3</v>
      </c>
      <c r="J45" s="77"/>
      <c r="K45" s="77"/>
    </row>
    <row r="46" spans="1:11" ht="16">
      <c r="A46" s="132">
        <v>41681</v>
      </c>
      <c r="B46" s="79">
        <v>4.05</v>
      </c>
      <c r="G46" s="81">
        <v>41682</v>
      </c>
      <c r="H46" s="82">
        <v>303.83</v>
      </c>
      <c r="I46" s="236">
        <f t="shared" si="1"/>
        <v>8.2965519530082688E-3</v>
      </c>
      <c r="J46" s="77"/>
      <c r="K46" s="77"/>
    </row>
    <row r="47" spans="1:11" ht="16">
      <c r="A47" s="132">
        <v>41682</v>
      </c>
      <c r="B47" s="79">
        <v>4.05</v>
      </c>
      <c r="G47" s="81">
        <v>41683</v>
      </c>
      <c r="H47" s="82">
        <v>308.75</v>
      </c>
      <c r="I47" s="236">
        <f t="shared" si="1"/>
        <v>1.6193265971102377E-2</v>
      </c>
      <c r="J47" s="77"/>
      <c r="K47" s="77"/>
    </row>
    <row r="48" spans="1:11" ht="16">
      <c r="A48" s="132">
        <v>41683</v>
      </c>
      <c r="B48" s="79">
        <v>4.08</v>
      </c>
      <c r="G48" s="81">
        <v>41684</v>
      </c>
      <c r="H48" s="82">
        <v>313.55</v>
      </c>
      <c r="I48" s="236">
        <f t="shared" si="1"/>
        <v>1.5546558704453428E-2</v>
      </c>
      <c r="J48" s="77"/>
      <c r="K48" s="77"/>
    </row>
    <row r="49" spans="1:11" ht="16">
      <c r="A49" s="132">
        <v>41684</v>
      </c>
      <c r="B49" s="79">
        <v>4.09</v>
      </c>
      <c r="G49" s="81">
        <v>41685</v>
      </c>
      <c r="H49" s="82">
        <v>312.73</v>
      </c>
      <c r="I49" s="236">
        <f t="shared" si="1"/>
        <v>-2.6152128847073408E-3</v>
      </c>
      <c r="J49" s="77"/>
      <c r="K49" s="77"/>
    </row>
    <row r="50" spans="1:11" ht="16">
      <c r="A50" s="132">
        <v>41685</v>
      </c>
      <c r="B50" s="79">
        <v>4.0599999999999996</v>
      </c>
      <c r="G50" s="81">
        <v>41688</v>
      </c>
      <c r="H50" s="82">
        <v>312.32</v>
      </c>
      <c r="I50" s="236">
        <f t="shared" si="1"/>
        <v>-1.311035078182532E-3</v>
      </c>
      <c r="J50" s="77"/>
      <c r="K50" s="77"/>
    </row>
    <row r="51" spans="1:11" ht="16">
      <c r="A51" s="132">
        <v>41688</v>
      </c>
      <c r="B51" s="79">
        <v>4.0599999999999996</v>
      </c>
      <c r="G51" s="81">
        <v>41689</v>
      </c>
      <c r="H51" s="82">
        <v>311.25</v>
      </c>
      <c r="I51" s="236">
        <f t="shared" si="1"/>
        <v>-3.4259733606557541E-3</v>
      </c>
      <c r="J51" s="77"/>
      <c r="K51" s="77"/>
    </row>
    <row r="52" spans="1:11" ht="16">
      <c r="A52" s="132">
        <v>41689</v>
      </c>
      <c r="B52" s="79">
        <v>4.09</v>
      </c>
      <c r="G52" s="81">
        <v>41690</v>
      </c>
      <c r="H52" s="82">
        <v>315.44</v>
      </c>
      <c r="I52" s="236">
        <f t="shared" si="1"/>
        <v>1.3461847389558246E-2</v>
      </c>
      <c r="J52" s="77"/>
      <c r="K52" s="77"/>
    </row>
    <row r="53" spans="1:11" ht="16">
      <c r="A53" s="132">
        <v>41690</v>
      </c>
      <c r="B53" s="79">
        <v>4.09</v>
      </c>
      <c r="G53" s="81">
        <v>41691</v>
      </c>
      <c r="H53" s="82">
        <v>313.77</v>
      </c>
      <c r="I53" s="236">
        <f t="shared" si="1"/>
        <v>-5.2941922394116325E-3</v>
      </c>
      <c r="J53" s="77"/>
      <c r="K53" s="77"/>
    </row>
    <row r="54" spans="1:11" ht="16">
      <c r="A54" s="132">
        <v>41691</v>
      </c>
      <c r="B54" s="79">
        <v>4.0999999999999996</v>
      </c>
      <c r="G54" s="81">
        <v>41692</v>
      </c>
      <c r="H54" s="82">
        <v>317.37</v>
      </c>
      <c r="I54" s="236">
        <f t="shared" si="1"/>
        <v>1.1473372215317079E-2</v>
      </c>
      <c r="J54" s="77"/>
      <c r="K54" s="77"/>
    </row>
    <row r="55" spans="1:11" ht="16">
      <c r="A55" s="132">
        <v>41692</v>
      </c>
      <c r="B55" s="79">
        <v>4.09</v>
      </c>
      <c r="G55" s="81">
        <v>41695</v>
      </c>
      <c r="H55" s="82">
        <v>318.49</v>
      </c>
      <c r="I55" s="236">
        <f t="shared" si="1"/>
        <v>3.5290040016384694E-3</v>
      </c>
      <c r="J55" s="77"/>
      <c r="K55" s="77"/>
    </row>
    <row r="56" spans="1:11" ht="16">
      <c r="A56" s="132">
        <v>41695</v>
      </c>
      <c r="B56" s="79">
        <v>4.0599999999999996</v>
      </c>
      <c r="G56" s="81">
        <v>41696</v>
      </c>
      <c r="H56" s="82">
        <v>315.76</v>
      </c>
      <c r="I56" s="236">
        <f t="shared" si="1"/>
        <v>-8.5716976985149573E-3</v>
      </c>
      <c r="J56" s="77"/>
      <c r="K56" s="77"/>
    </row>
    <row r="57" spans="1:11" ht="16">
      <c r="A57" s="132">
        <v>41696</v>
      </c>
      <c r="B57" s="79">
        <v>4.0599999999999996</v>
      </c>
      <c r="G57" s="81">
        <v>41697</v>
      </c>
      <c r="H57" s="82">
        <v>312.22000000000003</v>
      </c>
      <c r="I57" s="236">
        <f t="shared" si="1"/>
        <v>-1.1211046364327237E-2</v>
      </c>
      <c r="J57" s="77"/>
      <c r="K57" s="77"/>
    </row>
    <row r="58" spans="1:11" ht="16">
      <c r="A58" s="132">
        <v>41697</v>
      </c>
      <c r="B58" s="79">
        <v>4.1100000000000003</v>
      </c>
      <c r="G58" s="81">
        <v>41698</v>
      </c>
      <c r="H58" s="82">
        <v>311.47000000000003</v>
      </c>
      <c r="I58" s="236">
        <f t="shared" si="1"/>
        <v>-2.4021523284862845E-3</v>
      </c>
      <c r="J58" s="77"/>
      <c r="K58" s="77"/>
    </row>
    <row r="59" spans="1:11" ht="16">
      <c r="A59" s="132">
        <v>41698</v>
      </c>
      <c r="B59" s="79">
        <v>4.1100000000000003</v>
      </c>
      <c r="G59" s="81">
        <v>41699</v>
      </c>
      <c r="H59" s="82">
        <v>309.06</v>
      </c>
      <c r="I59" s="236">
        <f t="shared" si="1"/>
        <v>-7.7375028092594444E-3</v>
      </c>
      <c r="J59" s="77"/>
      <c r="K59" s="77"/>
    </row>
    <row r="60" spans="1:11" ht="16">
      <c r="A60" s="132">
        <v>41699</v>
      </c>
      <c r="B60" s="79">
        <v>4.1100000000000003</v>
      </c>
      <c r="G60" s="81">
        <v>41702</v>
      </c>
      <c r="H60" s="82">
        <v>307.72000000000003</v>
      </c>
      <c r="I60" s="236">
        <f t="shared" si="1"/>
        <v>-4.3357276904160136E-3</v>
      </c>
      <c r="J60" s="77"/>
      <c r="K60" s="77"/>
    </row>
    <row r="61" spans="1:11" ht="16">
      <c r="A61" s="132">
        <v>41702</v>
      </c>
      <c r="B61" s="79">
        <v>4.0999999999999996</v>
      </c>
      <c r="G61" s="81">
        <v>41703</v>
      </c>
      <c r="H61" s="82">
        <v>311.29000000000002</v>
      </c>
      <c r="I61" s="236">
        <f t="shared" si="1"/>
        <v>1.1601455868971877E-2</v>
      </c>
      <c r="J61" s="77"/>
      <c r="K61" s="77"/>
    </row>
    <row r="62" spans="1:11" ht="16">
      <c r="A62" s="132">
        <v>41703</v>
      </c>
      <c r="B62" s="79">
        <v>4.1100000000000003</v>
      </c>
      <c r="G62" s="81">
        <v>41704</v>
      </c>
      <c r="H62" s="82">
        <v>309.49</v>
      </c>
      <c r="I62" s="236">
        <f t="shared" si="1"/>
        <v>-5.7823894118025354E-3</v>
      </c>
      <c r="J62" s="77"/>
      <c r="K62" s="77"/>
    </row>
    <row r="63" spans="1:11" ht="16">
      <c r="A63" s="132">
        <v>41704</v>
      </c>
      <c r="B63" s="79">
        <v>4.12</v>
      </c>
      <c r="G63" s="81">
        <v>41705</v>
      </c>
      <c r="H63" s="82">
        <v>310.54000000000002</v>
      </c>
      <c r="I63" s="236">
        <f t="shared" si="1"/>
        <v>3.3926782771656061E-3</v>
      </c>
      <c r="J63" s="77"/>
      <c r="K63" s="77"/>
    </row>
    <row r="64" spans="1:11" ht="16">
      <c r="A64" s="132">
        <v>41705</v>
      </c>
      <c r="B64" s="79">
        <v>4.12</v>
      </c>
      <c r="G64" s="81">
        <v>41706</v>
      </c>
      <c r="H64" s="82">
        <v>313.27999999999997</v>
      </c>
      <c r="I64" s="236">
        <f t="shared" si="1"/>
        <v>8.8233399884072305E-3</v>
      </c>
      <c r="J64" s="77"/>
      <c r="K64" s="77"/>
    </row>
    <row r="65" spans="1:11" ht="16">
      <c r="A65" s="132">
        <v>41706</v>
      </c>
      <c r="B65" s="79">
        <v>4.13</v>
      </c>
      <c r="G65" s="81">
        <v>41709</v>
      </c>
      <c r="H65" s="82">
        <v>316.83</v>
      </c>
      <c r="I65" s="236">
        <f t="shared" si="1"/>
        <v>1.1331716036772299E-2</v>
      </c>
      <c r="J65" s="77"/>
      <c r="K65" s="77"/>
    </row>
    <row r="66" spans="1:11" ht="16">
      <c r="A66" s="132">
        <v>41709</v>
      </c>
      <c r="B66" s="79">
        <v>4.13</v>
      </c>
      <c r="G66" s="81">
        <v>41710</v>
      </c>
      <c r="H66" s="82">
        <v>316.91000000000003</v>
      </c>
      <c r="I66" s="236">
        <f t="shared" si="1"/>
        <v>2.5250134141341363E-4</v>
      </c>
      <c r="J66" s="77"/>
      <c r="K66" s="77"/>
    </row>
    <row r="67" spans="1:11" ht="16">
      <c r="A67" s="132">
        <v>41710</v>
      </c>
      <c r="B67" s="79">
        <v>4.12</v>
      </c>
      <c r="G67" s="81">
        <v>41711</v>
      </c>
      <c r="H67" s="82">
        <v>315.51</v>
      </c>
      <c r="I67" s="236">
        <f t="shared" si="1"/>
        <v>-4.4176580101606966E-3</v>
      </c>
      <c r="J67" s="77"/>
      <c r="K67" s="77"/>
    </row>
    <row r="68" spans="1:11" ht="16">
      <c r="A68" s="132">
        <v>41711</v>
      </c>
      <c r="B68" s="79">
        <v>4.12</v>
      </c>
      <c r="G68" s="81">
        <v>41712</v>
      </c>
      <c r="H68" s="82">
        <v>314.89</v>
      </c>
      <c r="I68" s="236">
        <f t="shared" si="1"/>
        <v>-1.965072422427161E-3</v>
      </c>
      <c r="J68" s="77"/>
      <c r="K68" s="77"/>
    </row>
    <row r="69" spans="1:11" ht="16">
      <c r="A69" s="132">
        <v>41712</v>
      </c>
      <c r="B69" s="79">
        <v>4.13</v>
      </c>
      <c r="G69" s="81">
        <v>41713</v>
      </c>
      <c r="H69" s="82">
        <v>313.88</v>
      </c>
      <c r="I69" s="236">
        <f t="shared" si="1"/>
        <v>-3.2074692749849421E-3</v>
      </c>
      <c r="J69" s="77"/>
      <c r="K69" s="77"/>
    </row>
    <row r="70" spans="1:11" ht="16">
      <c r="A70" s="132">
        <v>41713</v>
      </c>
      <c r="B70" s="79">
        <v>4.13</v>
      </c>
      <c r="G70" s="81">
        <v>41716</v>
      </c>
      <c r="H70" s="82">
        <v>311.68</v>
      </c>
      <c r="I70" s="236">
        <f t="shared" si="1"/>
        <v>-7.0090480438383951E-3</v>
      </c>
      <c r="J70" s="77"/>
      <c r="K70" s="77"/>
    </row>
    <row r="71" spans="1:11" ht="16">
      <c r="A71" s="132">
        <v>41716</v>
      </c>
      <c r="B71" s="79">
        <v>4.16</v>
      </c>
      <c r="G71" s="81">
        <v>41717</v>
      </c>
      <c r="H71" s="82">
        <v>312.77</v>
      </c>
      <c r="I71" s="236">
        <f t="shared" si="1"/>
        <v>3.4971765913756059E-3</v>
      </c>
      <c r="J71" s="77"/>
      <c r="K71" s="77"/>
    </row>
    <row r="72" spans="1:11" ht="16">
      <c r="A72" s="132">
        <v>41717</v>
      </c>
      <c r="B72" s="79">
        <v>4.18</v>
      </c>
      <c r="G72" s="81">
        <v>41718</v>
      </c>
      <c r="H72" s="82">
        <v>313.02</v>
      </c>
      <c r="I72" s="236">
        <f t="shared" si="1"/>
        <v>7.9930939668115819E-4</v>
      </c>
      <c r="J72" s="77"/>
      <c r="K72" s="77"/>
    </row>
    <row r="73" spans="1:11" ht="16">
      <c r="A73" s="132">
        <v>41718</v>
      </c>
      <c r="B73" s="79">
        <v>4.2</v>
      </c>
      <c r="G73" s="81">
        <v>41719</v>
      </c>
      <c r="H73" s="82">
        <v>309.33999999999997</v>
      </c>
      <c r="I73" s="236">
        <f t="shared" si="1"/>
        <v>-1.1756437288352184E-2</v>
      </c>
      <c r="J73" s="77"/>
      <c r="K73" s="77"/>
    </row>
    <row r="74" spans="1:11" ht="16">
      <c r="A74" s="132">
        <v>41719</v>
      </c>
      <c r="B74" s="79">
        <v>4.18</v>
      </c>
      <c r="G74" s="81">
        <v>41720</v>
      </c>
      <c r="H74" s="82">
        <v>304.42</v>
      </c>
      <c r="I74" s="236">
        <f t="shared" si="1"/>
        <v>-1.5904829637292117E-2</v>
      </c>
      <c r="J74" s="77"/>
      <c r="K74" s="77"/>
    </row>
    <row r="75" spans="1:11" ht="16">
      <c r="A75" s="132">
        <v>41720</v>
      </c>
      <c r="B75" s="79">
        <v>4.1900000000000004</v>
      </c>
      <c r="G75" s="81">
        <v>41723</v>
      </c>
      <c r="H75" s="82">
        <v>306.98</v>
      </c>
      <c r="I75" s="236">
        <f t="shared" si="1"/>
        <v>8.4094343341436506E-3</v>
      </c>
      <c r="J75" s="77"/>
      <c r="K75" s="77"/>
    </row>
    <row r="76" spans="1:11" ht="16">
      <c r="A76" s="132">
        <v>41723</v>
      </c>
      <c r="B76" s="79">
        <v>4.2</v>
      </c>
      <c r="G76" s="81">
        <v>41724</v>
      </c>
      <c r="H76" s="82">
        <v>307.33999999999997</v>
      </c>
      <c r="I76" s="236">
        <f t="shared" si="1"/>
        <v>1.1727148348426031E-3</v>
      </c>
      <c r="J76" s="77"/>
      <c r="K76" s="77"/>
    </row>
    <row r="77" spans="1:11" ht="16">
      <c r="A77" s="132">
        <v>41724</v>
      </c>
      <c r="B77" s="79">
        <v>4.18</v>
      </c>
      <c r="G77" s="81">
        <v>41725</v>
      </c>
      <c r="H77" s="82">
        <v>301.98</v>
      </c>
      <c r="I77" s="236">
        <f t="shared" si="1"/>
        <v>-1.7439968764234925E-2</v>
      </c>
      <c r="J77" s="77"/>
      <c r="K77" s="77"/>
    </row>
    <row r="78" spans="1:11" ht="16">
      <c r="A78" s="132">
        <v>41725</v>
      </c>
      <c r="B78" s="79">
        <v>4.17</v>
      </c>
      <c r="G78" s="81">
        <v>41726</v>
      </c>
      <c r="H78" s="82">
        <v>303.39999999999998</v>
      </c>
      <c r="I78" s="236">
        <f t="shared" si="1"/>
        <v>4.7022981654412099E-3</v>
      </c>
      <c r="J78" s="77"/>
      <c r="K78" s="77"/>
    </row>
    <row r="79" spans="1:11" ht="16">
      <c r="A79" s="132">
        <v>41726</v>
      </c>
      <c r="B79" s="79">
        <v>4.16</v>
      </c>
      <c r="G79" s="81">
        <v>41727</v>
      </c>
      <c r="H79" s="82">
        <v>303.75</v>
      </c>
      <c r="I79" s="236">
        <f t="shared" si="1"/>
        <v>1.1535926170074262E-3</v>
      </c>
      <c r="J79" s="77"/>
      <c r="K79" s="77"/>
    </row>
    <row r="80" spans="1:11" ht="16">
      <c r="A80" s="132">
        <v>41727</v>
      </c>
      <c r="B80" s="209">
        <v>4.16</v>
      </c>
      <c r="G80" s="81">
        <v>41730</v>
      </c>
      <c r="H80" s="82">
        <v>303.35000000000002</v>
      </c>
      <c r="I80" s="236">
        <f t="shared" ref="I80:I143" si="2">H80/H79-1</f>
        <v>-1.3168724279835065E-3</v>
      </c>
      <c r="J80" s="77"/>
      <c r="K80" s="77"/>
    </row>
    <row r="81" spans="1:11" ht="16">
      <c r="A81" s="132">
        <v>41728</v>
      </c>
      <c r="B81" s="79">
        <v>4.12</v>
      </c>
      <c r="G81" s="81">
        <v>41731</v>
      </c>
      <c r="H81" s="82">
        <v>303.69</v>
      </c>
      <c r="I81" s="236">
        <f t="shared" si="2"/>
        <v>1.1208175374979312E-3</v>
      </c>
      <c r="J81" s="77"/>
      <c r="K81" s="77"/>
    </row>
    <row r="82" spans="1:11" ht="16">
      <c r="A82" s="132">
        <v>41730</v>
      </c>
      <c r="B82" s="79">
        <v>4.13</v>
      </c>
      <c r="G82" s="81">
        <v>41732</v>
      </c>
      <c r="H82" s="82">
        <v>300.43</v>
      </c>
      <c r="I82" s="236">
        <f t="shared" si="2"/>
        <v>-1.0734630708946646E-2</v>
      </c>
      <c r="J82" s="77"/>
      <c r="K82" s="77"/>
    </row>
    <row r="83" spans="1:11" ht="16">
      <c r="A83" s="132">
        <v>41731</v>
      </c>
      <c r="B83" s="79">
        <v>4.12</v>
      </c>
      <c r="G83" s="81">
        <v>41733</v>
      </c>
      <c r="H83" s="82">
        <v>302.97000000000003</v>
      </c>
      <c r="I83" s="236">
        <f t="shared" si="2"/>
        <v>8.4545484805114146E-3</v>
      </c>
      <c r="J83" s="77"/>
      <c r="K83" s="77"/>
    </row>
    <row r="84" spans="1:11" ht="16">
      <c r="A84" s="132">
        <v>41732</v>
      </c>
      <c r="B84" s="79">
        <v>4.12</v>
      </c>
      <c r="G84" s="81">
        <v>41734</v>
      </c>
      <c r="H84" s="82">
        <v>302.49</v>
      </c>
      <c r="I84" s="236">
        <f t="shared" si="2"/>
        <v>-1.584315278740478E-3</v>
      </c>
      <c r="J84" s="77"/>
      <c r="K84" s="77"/>
    </row>
    <row r="85" spans="1:11" ht="16">
      <c r="A85" s="132">
        <v>41733</v>
      </c>
      <c r="B85" s="79">
        <v>4.12</v>
      </c>
      <c r="G85" s="81">
        <v>41737</v>
      </c>
      <c r="H85" s="82">
        <v>302.18</v>
      </c>
      <c r="I85" s="236">
        <f t="shared" si="2"/>
        <v>-1.0248272670171366E-3</v>
      </c>
      <c r="J85" s="77"/>
      <c r="K85" s="77"/>
    </row>
    <row r="86" spans="1:11" ht="16">
      <c r="A86" s="132">
        <v>41734</v>
      </c>
      <c r="B86" s="79">
        <v>4.1100000000000003</v>
      </c>
      <c r="G86" s="81">
        <v>41738</v>
      </c>
      <c r="H86" s="82">
        <v>305.39999999999998</v>
      </c>
      <c r="I86" s="236">
        <f t="shared" si="2"/>
        <v>1.06559004566813E-2</v>
      </c>
      <c r="J86" s="77"/>
      <c r="K86" s="77"/>
    </row>
    <row r="87" spans="1:11" ht="16">
      <c r="A87" s="132">
        <v>41737</v>
      </c>
      <c r="B87" s="79">
        <v>4.13</v>
      </c>
      <c r="G87" s="81">
        <v>41739</v>
      </c>
      <c r="H87" s="82">
        <v>305.60000000000002</v>
      </c>
      <c r="I87" s="236">
        <f t="shared" si="2"/>
        <v>6.548788474134426E-4</v>
      </c>
      <c r="J87" s="77"/>
      <c r="K87" s="77"/>
    </row>
    <row r="88" spans="1:11" ht="16">
      <c r="A88" s="132">
        <v>41738</v>
      </c>
      <c r="B88" s="79">
        <v>4.16</v>
      </c>
      <c r="G88" s="81">
        <v>41740</v>
      </c>
      <c r="H88" s="82">
        <v>306.08</v>
      </c>
      <c r="I88" s="236">
        <f t="shared" si="2"/>
        <v>1.5706806282720365E-3</v>
      </c>
      <c r="J88" s="77"/>
      <c r="K88" s="77"/>
    </row>
    <row r="89" spans="1:11" ht="16">
      <c r="A89" s="132">
        <v>41739</v>
      </c>
      <c r="B89" s="79">
        <v>4.16</v>
      </c>
      <c r="G89" s="81">
        <v>41741</v>
      </c>
      <c r="H89" s="82">
        <v>304.18</v>
      </c>
      <c r="I89" s="236">
        <f t="shared" si="2"/>
        <v>-6.2075274438054828E-3</v>
      </c>
      <c r="J89" s="77"/>
      <c r="K89" s="77"/>
    </row>
    <row r="90" spans="1:11" ht="16">
      <c r="A90" s="132">
        <v>41740</v>
      </c>
      <c r="B90" s="79">
        <v>4.16</v>
      </c>
      <c r="G90" s="81">
        <v>41744</v>
      </c>
      <c r="H90" s="82">
        <v>302.32</v>
      </c>
      <c r="I90" s="236">
        <f t="shared" si="2"/>
        <v>-6.1148004471037742E-3</v>
      </c>
      <c r="J90" s="77"/>
      <c r="K90" s="77"/>
    </row>
    <row r="91" spans="1:11" ht="16">
      <c r="A91" s="132">
        <v>41741</v>
      </c>
      <c r="B91" s="79">
        <v>4.17</v>
      </c>
      <c r="G91" s="81">
        <v>41745</v>
      </c>
      <c r="H91" s="82">
        <v>302.36</v>
      </c>
      <c r="I91" s="236">
        <f t="shared" si="2"/>
        <v>1.3231013495640376E-4</v>
      </c>
      <c r="J91" s="77"/>
      <c r="K91" s="77"/>
    </row>
    <row r="92" spans="1:11" ht="16">
      <c r="A92" s="132">
        <v>41744</v>
      </c>
      <c r="B92" s="79">
        <v>4.1900000000000004</v>
      </c>
      <c r="G92" s="81">
        <v>41746</v>
      </c>
      <c r="H92" s="82">
        <v>304.91000000000003</v>
      </c>
      <c r="I92" s="236">
        <f t="shared" si="2"/>
        <v>8.4336552454029601E-3</v>
      </c>
      <c r="J92" s="77"/>
      <c r="K92" s="77"/>
    </row>
    <row r="93" spans="1:11" ht="16">
      <c r="A93" s="132">
        <v>41745</v>
      </c>
      <c r="B93" s="79">
        <v>4.1900000000000004</v>
      </c>
      <c r="G93" s="81">
        <v>41747</v>
      </c>
      <c r="H93" s="82">
        <v>306.54000000000002</v>
      </c>
      <c r="I93" s="236">
        <f t="shared" si="2"/>
        <v>5.3458397559935644E-3</v>
      </c>
      <c r="J93" s="77"/>
      <c r="K93" s="77"/>
    </row>
    <row r="94" spans="1:11" ht="16">
      <c r="A94" s="132">
        <v>41746</v>
      </c>
      <c r="B94" s="79">
        <v>4.1900000000000004</v>
      </c>
      <c r="G94" s="81">
        <v>41748</v>
      </c>
      <c r="H94" s="82">
        <v>302.93</v>
      </c>
      <c r="I94" s="236">
        <f t="shared" si="2"/>
        <v>-1.1776603379656914E-2</v>
      </c>
      <c r="J94" s="77"/>
      <c r="K94" s="77"/>
    </row>
    <row r="95" spans="1:11" ht="16">
      <c r="A95" s="132">
        <v>41747</v>
      </c>
      <c r="B95" s="79">
        <v>4.22</v>
      </c>
      <c r="G95" s="81">
        <v>41751</v>
      </c>
      <c r="H95" s="82">
        <v>300.10000000000002</v>
      </c>
      <c r="I95" s="236">
        <f t="shared" si="2"/>
        <v>-9.3420922325289091E-3</v>
      </c>
      <c r="J95" s="77"/>
      <c r="K95" s="77"/>
    </row>
    <row r="96" spans="1:11" ht="16">
      <c r="A96" s="132">
        <v>41748</v>
      </c>
      <c r="B96" s="79">
        <v>4.25</v>
      </c>
      <c r="G96" s="81">
        <v>41752</v>
      </c>
      <c r="H96" s="82">
        <v>299.70999999999998</v>
      </c>
      <c r="I96" s="236">
        <f t="shared" si="2"/>
        <v>-1.2995668110631353E-3</v>
      </c>
      <c r="J96" s="77"/>
      <c r="K96" s="77"/>
    </row>
    <row r="97" spans="1:11" ht="16">
      <c r="A97" s="132">
        <v>41751</v>
      </c>
      <c r="B97" s="79">
        <v>4.28</v>
      </c>
      <c r="G97" s="81">
        <v>41753</v>
      </c>
      <c r="H97" s="82">
        <v>296.04000000000002</v>
      </c>
      <c r="I97" s="236">
        <f t="shared" si="2"/>
        <v>-1.224517033132011E-2</v>
      </c>
      <c r="J97" s="77"/>
      <c r="K97" s="77"/>
    </row>
    <row r="98" spans="1:11" ht="16">
      <c r="A98" s="132">
        <v>41752</v>
      </c>
      <c r="B98" s="79">
        <v>4.28</v>
      </c>
      <c r="G98" s="81">
        <v>41754</v>
      </c>
      <c r="H98" s="82">
        <v>296.43</v>
      </c>
      <c r="I98" s="236">
        <f t="shared" si="2"/>
        <v>1.3173895419538173E-3</v>
      </c>
      <c r="J98" s="77"/>
      <c r="K98" s="77"/>
    </row>
    <row r="99" spans="1:11" ht="16">
      <c r="A99" s="132">
        <v>41753</v>
      </c>
      <c r="B99" s="79">
        <v>4.32</v>
      </c>
      <c r="G99" s="81">
        <v>41755</v>
      </c>
      <c r="H99" s="82">
        <v>299.12</v>
      </c>
      <c r="I99" s="236">
        <f t="shared" si="2"/>
        <v>9.0746550619034139E-3</v>
      </c>
      <c r="J99" s="77"/>
      <c r="K99" s="77"/>
    </row>
    <row r="100" spans="1:11" ht="16">
      <c r="A100" s="132">
        <v>41754</v>
      </c>
      <c r="B100" s="79">
        <v>4.3099999999999996</v>
      </c>
      <c r="G100" s="81">
        <v>41758</v>
      </c>
      <c r="H100" s="82">
        <v>300.81</v>
      </c>
      <c r="I100" s="236">
        <f t="shared" si="2"/>
        <v>5.6499063920834036E-3</v>
      </c>
      <c r="J100" s="77"/>
      <c r="K100" s="77"/>
    </row>
    <row r="101" spans="1:11" ht="16">
      <c r="A101" s="132">
        <v>41755</v>
      </c>
      <c r="B101" s="79">
        <v>4.3099999999999996</v>
      </c>
      <c r="G101" s="81">
        <v>41759</v>
      </c>
      <c r="H101" s="82">
        <v>300.24</v>
      </c>
      <c r="I101" s="236">
        <f t="shared" si="2"/>
        <v>-1.8948838137029522E-3</v>
      </c>
      <c r="J101" s="77"/>
      <c r="K101" s="77"/>
    </row>
    <row r="102" spans="1:11" ht="16">
      <c r="A102" s="132">
        <v>41758</v>
      </c>
      <c r="B102" s="79">
        <v>4.3499999999999996</v>
      </c>
      <c r="G102" s="81">
        <v>41760</v>
      </c>
      <c r="H102" s="82">
        <v>297.97000000000003</v>
      </c>
      <c r="I102" s="236">
        <f t="shared" si="2"/>
        <v>-7.5606181721289412E-3</v>
      </c>
      <c r="J102" s="77"/>
      <c r="K102" s="77"/>
    </row>
    <row r="103" spans="1:11" ht="16">
      <c r="A103" s="132">
        <v>41759</v>
      </c>
      <c r="B103" s="79">
        <v>4.37</v>
      </c>
      <c r="G103" s="81">
        <v>41761</v>
      </c>
      <c r="H103" s="82">
        <v>294.48</v>
      </c>
      <c r="I103" s="236">
        <f t="shared" si="2"/>
        <v>-1.1712588515622402E-2</v>
      </c>
      <c r="J103" s="77"/>
      <c r="K103" s="77"/>
    </row>
    <row r="104" spans="1:11" ht="16">
      <c r="A104" s="132">
        <v>41760</v>
      </c>
      <c r="B104" s="79">
        <v>4.4000000000000004</v>
      </c>
      <c r="G104" s="81">
        <v>41762</v>
      </c>
      <c r="H104" s="82">
        <v>294.58</v>
      </c>
      <c r="I104" s="236">
        <f t="shared" si="2"/>
        <v>3.3958163542502362E-4</v>
      </c>
      <c r="J104" s="77"/>
      <c r="K104" s="77"/>
    </row>
    <row r="105" spans="1:11" ht="16">
      <c r="A105" s="132">
        <v>41761</v>
      </c>
      <c r="B105" s="79">
        <v>4.43</v>
      </c>
      <c r="G105" s="81">
        <v>41765</v>
      </c>
      <c r="H105" s="82">
        <v>295.38</v>
      </c>
      <c r="I105" s="236">
        <f t="shared" si="2"/>
        <v>2.7157308710707984E-3</v>
      </c>
      <c r="J105" s="77"/>
      <c r="K105" s="77"/>
    </row>
    <row r="106" spans="1:11" ht="16">
      <c r="A106" s="132">
        <v>41762</v>
      </c>
      <c r="B106" s="79">
        <v>4.43</v>
      </c>
      <c r="G106" s="81">
        <v>41766</v>
      </c>
      <c r="H106" s="82">
        <v>296.07</v>
      </c>
      <c r="I106" s="236">
        <f t="shared" si="2"/>
        <v>2.3359739995938433E-3</v>
      </c>
      <c r="J106" s="77"/>
      <c r="K106" s="77"/>
    </row>
    <row r="107" spans="1:11" ht="16">
      <c r="A107" s="132">
        <v>41765</v>
      </c>
      <c r="B107" s="79">
        <v>4.4400000000000004</v>
      </c>
      <c r="G107" s="81">
        <v>41767</v>
      </c>
      <c r="H107" s="82">
        <v>296.70999999999998</v>
      </c>
      <c r="I107" s="236">
        <f t="shared" si="2"/>
        <v>2.1616509609214685E-3</v>
      </c>
      <c r="J107" s="77"/>
      <c r="K107" s="77"/>
    </row>
    <row r="108" spans="1:11" ht="16">
      <c r="A108" s="132">
        <v>41766</v>
      </c>
      <c r="B108" s="79">
        <v>4.4800000000000004</v>
      </c>
      <c r="G108" s="81">
        <v>41768</v>
      </c>
      <c r="H108" s="82">
        <v>299.32</v>
      </c>
      <c r="I108" s="236">
        <f t="shared" si="2"/>
        <v>8.7964679316505645E-3</v>
      </c>
      <c r="J108" s="77"/>
      <c r="K108" s="77"/>
    </row>
    <row r="109" spans="1:11" ht="16">
      <c r="A109" s="132">
        <v>41767</v>
      </c>
      <c r="B109" s="79">
        <v>4.5199999999999996</v>
      </c>
      <c r="G109" s="81">
        <v>41769</v>
      </c>
      <c r="H109" s="82">
        <v>301.20999999999998</v>
      </c>
      <c r="I109" s="236">
        <f t="shared" si="2"/>
        <v>6.3143124415341312E-3</v>
      </c>
      <c r="J109" s="77"/>
      <c r="K109" s="77"/>
    </row>
    <row r="110" spans="1:11" ht="16">
      <c r="A110" s="132">
        <v>41768</v>
      </c>
      <c r="B110" s="79">
        <v>4.47</v>
      </c>
      <c r="G110" s="81">
        <v>41772</v>
      </c>
      <c r="H110" s="82">
        <v>302.49</v>
      </c>
      <c r="I110" s="236">
        <f t="shared" si="2"/>
        <v>4.2495269081372911E-3</v>
      </c>
      <c r="J110" s="77"/>
      <c r="K110" s="77"/>
    </row>
    <row r="111" spans="1:11" ht="16">
      <c r="A111" s="132">
        <v>41769</v>
      </c>
      <c r="B111" s="79">
        <v>4.46</v>
      </c>
      <c r="G111" s="81">
        <v>41773</v>
      </c>
      <c r="H111" s="82">
        <v>298.13</v>
      </c>
      <c r="I111" s="236">
        <f t="shared" si="2"/>
        <v>-1.4413699626434018E-2</v>
      </c>
      <c r="J111" s="77"/>
      <c r="K111" s="77"/>
    </row>
    <row r="112" spans="1:11" ht="16">
      <c r="A112" s="132">
        <v>41772</v>
      </c>
      <c r="B112" s="79">
        <v>4.47</v>
      </c>
      <c r="G112" s="81">
        <v>41774</v>
      </c>
      <c r="H112" s="82">
        <v>299.37</v>
      </c>
      <c r="I112" s="236">
        <f t="shared" si="2"/>
        <v>4.1592593834904878E-3</v>
      </c>
      <c r="J112" s="77"/>
      <c r="K112" s="77"/>
    </row>
    <row r="113" spans="1:11" ht="16">
      <c r="A113" s="132">
        <v>41773</v>
      </c>
      <c r="B113" s="79">
        <v>4.5199999999999996</v>
      </c>
      <c r="G113" s="81">
        <v>41775</v>
      </c>
      <c r="H113" s="82">
        <v>296.98</v>
      </c>
      <c r="I113" s="236">
        <f t="shared" si="2"/>
        <v>-7.9834318736011767E-3</v>
      </c>
      <c r="J113" s="77"/>
      <c r="K113" s="77"/>
    </row>
    <row r="114" spans="1:11" ht="16">
      <c r="A114" s="132">
        <v>41774</v>
      </c>
      <c r="B114" s="79">
        <v>4.53</v>
      </c>
      <c r="G114" s="81">
        <v>41776</v>
      </c>
      <c r="H114" s="82">
        <v>294.82</v>
      </c>
      <c r="I114" s="236">
        <f t="shared" si="2"/>
        <v>-7.2732170516534023E-3</v>
      </c>
      <c r="J114" s="77"/>
      <c r="K114" s="77"/>
    </row>
    <row r="115" spans="1:11" ht="16">
      <c r="A115" s="132">
        <v>41775</v>
      </c>
      <c r="B115" s="79">
        <v>4.55</v>
      </c>
      <c r="G115" s="81">
        <v>41779</v>
      </c>
      <c r="H115" s="82">
        <v>294.60000000000002</v>
      </c>
      <c r="I115" s="236">
        <f t="shared" si="2"/>
        <v>-7.4621803134100606E-4</v>
      </c>
      <c r="J115" s="77"/>
      <c r="K115" s="77"/>
    </row>
    <row r="116" spans="1:11" ht="16">
      <c r="A116" s="132">
        <v>41776</v>
      </c>
      <c r="B116" s="79">
        <v>4.5599999999999996</v>
      </c>
      <c r="G116" s="81">
        <v>41780</v>
      </c>
      <c r="H116" s="82">
        <v>296.25</v>
      </c>
      <c r="I116" s="236">
        <f t="shared" si="2"/>
        <v>5.6008146639510148E-3</v>
      </c>
      <c r="J116" s="77"/>
      <c r="K116" s="77"/>
    </row>
    <row r="117" spans="1:11" ht="16">
      <c r="A117" s="132">
        <v>41779</v>
      </c>
      <c r="B117" s="79">
        <v>4.55</v>
      </c>
      <c r="G117" s="81">
        <v>41781</v>
      </c>
      <c r="H117" s="82">
        <v>293</v>
      </c>
      <c r="I117" s="236">
        <f t="shared" si="2"/>
        <v>-1.0970464135021119E-2</v>
      </c>
      <c r="J117" s="77"/>
      <c r="K117" s="77"/>
    </row>
    <row r="118" spans="1:11" ht="16">
      <c r="A118" s="132">
        <v>41780</v>
      </c>
      <c r="B118" s="79">
        <v>4.5199999999999996</v>
      </c>
      <c r="G118" s="81">
        <v>41782</v>
      </c>
      <c r="H118" s="82">
        <v>293.64999999999998</v>
      </c>
      <c r="I118" s="236">
        <f t="shared" si="2"/>
        <v>2.2184300341296925E-3</v>
      </c>
      <c r="J118" s="77"/>
      <c r="K118" s="77"/>
    </row>
    <row r="119" spans="1:11" ht="16">
      <c r="A119" s="132">
        <v>41781</v>
      </c>
      <c r="B119" s="79">
        <v>4.5</v>
      </c>
      <c r="G119" s="81">
        <v>41783</v>
      </c>
      <c r="H119" s="82">
        <v>294.05</v>
      </c>
      <c r="I119" s="236">
        <f t="shared" si="2"/>
        <v>1.3621658436915318E-3</v>
      </c>
      <c r="J119" s="77"/>
      <c r="K119" s="77"/>
    </row>
    <row r="120" spans="1:11" ht="16">
      <c r="A120" s="132">
        <v>41782</v>
      </c>
      <c r="B120" s="79">
        <v>4.47</v>
      </c>
      <c r="G120" s="81">
        <v>41786</v>
      </c>
      <c r="H120" s="82">
        <v>294.26</v>
      </c>
      <c r="I120" s="236">
        <f t="shared" si="2"/>
        <v>7.1416425777925951E-4</v>
      </c>
      <c r="J120" s="77"/>
      <c r="K120" s="77"/>
    </row>
    <row r="121" spans="1:11" ht="16">
      <c r="A121" s="132">
        <v>41783</v>
      </c>
      <c r="B121" s="79">
        <v>4.45</v>
      </c>
      <c r="G121" s="81">
        <v>41787</v>
      </c>
      <c r="H121" s="82">
        <v>291.57</v>
      </c>
      <c r="I121" s="236">
        <f t="shared" si="2"/>
        <v>-9.1415754774688551E-3</v>
      </c>
      <c r="J121" s="77"/>
      <c r="K121" s="77"/>
    </row>
    <row r="122" spans="1:11" ht="16">
      <c r="A122" s="132">
        <v>41786</v>
      </c>
      <c r="B122" s="79">
        <v>4.4400000000000004</v>
      </c>
      <c r="G122" s="81">
        <v>41788</v>
      </c>
      <c r="H122" s="82">
        <v>289.42</v>
      </c>
      <c r="I122" s="236">
        <f t="shared" si="2"/>
        <v>-7.3738724834515601E-3</v>
      </c>
      <c r="J122" s="77"/>
      <c r="K122" s="77"/>
    </row>
    <row r="123" spans="1:11" ht="16">
      <c r="A123" s="132">
        <v>41787</v>
      </c>
      <c r="B123" s="79">
        <v>4.4000000000000004</v>
      </c>
      <c r="G123" s="81">
        <v>41789</v>
      </c>
      <c r="H123" s="82">
        <v>291.29000000000002</v>
      </c>
      <c r="I123" s="236">
        <f t="shared" si="2"/>
        <v>6.4611982585860428E-3</v>
      </c>
      <c r="J123" s="77"/>
      <c r="K123" s="77"/>
    </row>
    <row r="124" spans="1:11" ht="16">
      <c r="A124" s="132">
        <v>41788</v>
      </c>
      <c r="B124" s="79">
        <v>4.43</v>
      </c>
      <c r="G124" s="81">
        <v>41790</v>
      </c>
      <c r="H124" s="82">
        <v>293.39</v>
      </c>
      <c r="I124" s="236">
        <f t="shared" si="2"/>
        <v>7.2093103093135991E-3</v>
      </c>
      <c r="J124" s="77"/>
      <c r="K124" s="77"/>
    </row>
    <row r="125" spans="1:11" ht="16">
      <c r="A125" s="132">
        <v>41789</v>
      </c>
      <c r="B125" s="79">
        <v>4.51</v>
      </c>
      <c r="G125" s="81">
        <v>41793</v>
      </c>
      <c r="H125" s="82">
        <v>297.25</v>
      </c>
      <c r="I125" s="236">
        <f t="shared" si="2"/>
        <v>1.3156549302975717E-2</v>
      </c>
      <c r="J125" s="77"/>
      <c r="K125" s="77"/>
    </row>
    <row r="126" spans="1:11" ht="16">
      <c r="A126" s="132">
        <v>41790</v>
      </c>
      <c r="B126" s="79">
        <v>4.54</v>
      </c>
      <c r="G126" s="81">
        <v>41794</v>
      </c>
      <c r="H126" s="82">
        <v>296.11</v>
      </c>
      <c r="I126" s="236">
        <f t="shared" si="2"/>
        <v>-3.8351555929352354E-3</v>
      </c>
      <c r="J126" s="77"/>
      <c r="K126" s="77"/>
    </row>
    <row r="127" spans="1:11" ht="16">
      <c r="A127" s="132">
        <v>41793</v>
      </c>
      <c r="B127" s="79">
        <v>4.5599999999999996</v>
      </c>
      <c r="G127" s="81">
        <v>41795</v>
      </c>
      <c r="H127" s="82">
        <v>297.91000000000003</v>
      </c>
      <c r="I127" s="236">
        <f t="shared" si="2"/>
        <v>6.0788220593699371E-3</v>
      </c>
      <c r="J127" s="77"/>
      <c r="K127" s="77"/>
    </row>
    <row r="128" spans="1:11" ht="16">
      <c r="A128" s="132">
        <v>41794</v>
      </c>
      <c r="B128" s="79">
        <v>4.5599999999999996</v>
      </c>
      <c r="G128" s="81">
        <v>41796</v>
      </c>
      <c r="H128" s="82">
        <v>297.45</v>
      </c>
      <c r="I128" s="236">
        <f t="shared" si="2"/>
        <v>-1.5440904971301128E-3</v>
      </c>
      <c r="J128" s="77"/>
      <c r="K128" s="77"/>
    </row>
    <row r="129" spans="1:11" ht="16">
      <c r="A129" s="132">
        <v>41795</v>
      </c>
      <c r="B129" s="79">
        <v>4.59</v>
      </c>
      <c r="G129" s="81">
        <v>41797</v>
      </c>
      <c r="H129" s="82">
        <v>294.32</v>
      </c>
      <c r="I129" s="236">
        <f t="shared" si="2"/>
        <v>-1.0522776937300415E-2</v>
      </c>
      <c r="J129" s="77"/>
      <c r="K129" s="77"/>
    </row>
    <row r="130" spans="1:11" ht="16">
      <c r="A130" s="132">
        <v>41796</v>
      </c>
      <c r="B130" s="79">
        <v>4.62</v>
      </c>
      <c r="G130" s="81">
        <v>41800</v>
      </c>
      <c r="H130" s="82">
        <v>295.3</v>
      </c>
      <c r="I130" s="236">
        <f t="shared" si="2"/>
        <v>3.3297091600978934E-3</v>
      </c>
      <c r="J130" s="77"/>
      <c r="K130" s="77"/>
    </row>
    <row r="131" spans="1:11" ht="16">
      <c r="A131" s="132">
        <v>41797</v>
      </c>
      <c r="B131" s="79">
        <v>4.6100000000000003</v>
      </c>
      <c r="G131" s="81">
        <v>41801</v>
      </c>
      <c r="H131" s="82">
        <v>295.76</v>
      </c>
      <c r="I131" s="236">
        <f t="shared" si="2"/>
        <v>1.5577378936673103E-3</v>
      </c>
      <c r="J131" s="77"/>
      <c r="K131" s="77"/>
    </row>
    <row r="132" spans="1:11" ht="16">
      <c r="A132" s="132">
        <v>41800</v>
      </c>
      <c r="B132" s="79">
        <v>4.6399999999999997</v>
      </c>
      <c r="G132" s="81">
        <v>41802</v>
      </c>
      <c r="H132" s="82">
        <v>294.23</v>
      </c>
      <c r="I132" s="236">
        <f t="shared" si="2"/>
        <v>-5.1731133351364811E-3</v>
      </c>
      <c r="J132" s="77"/>
      <c r="K132" s="77"/>
    </row>
    <row r="133" spans="1:11" ht="16">
      <c r="A133" s="132">
        <v>41801</v>
      </c>
      <c r="B133" s="79">
        <v>4.66</v>
      </c>
      <c r="G133" s="81">
        <v>41803</v>
      </c>
      <c r="H133" s="82">
        <v>292.61</v>
      </c>
      <c r="I133" s="236">
        <f t="shared" si="2"/>
        <v>-5.5058967474425069E-3</v>
      </c>
      <c r="J133" s="77"/>
      <c r="K133" s="77"/>
    </row>
    <row r="134" spans="1:11" ht="16">
      <c r="A134" s="132">
        <v>41802</v>
      </c>
      <c r="B134" s="79">
        <v>4.66</v>
      </c>
      <c r="G134" s="81">
        <v>41804</v>
      </c>
      <c r="H134" s="82">
        <v>290</v>
      </c>
      <c r="I134" s="236">
        <f t="shared" si="2"/>
        <v>-8.9197224975223754E-3</v>
      </c>
      <c r="J134" s="77"/>
      <c r="K134" s="77"/>
    </row>
    <row r="135" spans="1:11" ht="16">
      <c r="A135" s="132">
        <v>41803</v>
      </c>
      <c r="B135" s="79">
        <v>4.66</v>
      </c>
      <c r="G135" s="81">
        <v>41807</v>
      </c>
      <c r="H135" s="82">
        <v>288.54000000000002</v>
      </c>
      <c r="I135" s="236">
        <f t="shared" si="2"/>
        <v>-5.0344827586206176E-3</v>
      </c>
      <c r="J135" s="77"/>
      <c r="K135" s="77"/>
    </row>
    <row r="136" spans="1:11" ht="16">
      <c r="A136" s="132">
        <v>41804</v>
      </c>
      <c r="B136" s="79">
        <v>4.67</v>
      </c>
      <c r="G136" s="81">
        <v>41808</v>
      </c>
      <c r="H136" s="82">
        <v>283.18</v>
      </c>
      <c r="I136" s="236">
        <f t="shared" si="2"/>
        <v>-1.857628058501426E-2</v>
      </c>
      <c r="J136" s="77"/>
      <c r="K136" s="77"/>
    </row>
    <row r="137" spans="1:11" ht="16">
      <c r="A137" s="132">
        <v>41807</v>
      </c>
      <c r="B137" s="79">
        <v>4.68</v>
      </c>
      <c r="G137" s="81">
        <v>41809</v>
      </c>
      <c r="H137" s="82">
        <v>284.98</v>
      </c>
      <c r="I137" s="236">
        <f t="shared" si="2"/>
        <v>6.3563811003601867E-3</v>
      </c>
      <c r="J137" s="77"/>
      <c r="K137" s="77"/>
    </row>
    <row r="138" spans="1:11" ht="16">
      <c r="A138" s="132">
        <v>41808</v>
      </c>
      <c r="B138" s="79">
        <v>4.6900000000000004</v>
      </c>
      <c r="G138" s="81">
        <v>41810</v>
      </c>
      <c r="H138" s="82">
        <v>281.92</v>
      </c>
      <c r="I138" s="236">
        <f t="shared" si="2"/>
        <v>-1.0737595620745277E-2</v>
      </c>
      <c r="J138" s="77"/>
      <c r="K138" s="77"/>
    </row>
    <row r="139" spans="1:11" ht="16">
      <c r="A139" s="132">
        <v>41809</v>
      </c>
      <c r="B139" s="79">
        <v>4.68</v>
      </c>
      <c r="G139" s="81">
        <v>41811</v>
      </c>
      <c r="H139" s="82">
        <v>283.43</v>
      </c>
      <c r="I139" s="236">
        <f t="shared" si="2"/>
        <v>5.3561293984107916E-3</v>
      </c>
      <c r="J139" s="77"/>
      <c r="K139" s="77"/>
    </row>
    <row r="140" spans="1:11" ht="16">
      <c r="A140" s="132">
        <v>41810</v>
      </c>
      <c r="B140" s="79">
        <v>4.67</v>
      </c>
      <c r="G140" s="81">
        <v>41814</v>
      </c>
      <c r="H140" s="82">
        <v>279.12</v>
      </c>
      <c r="I140" s="236">
        <f t="shared" si="2"/>
        <v>-1.5206576579755104E-2</v>
      </c>
      <c r="J140" s="77"/>
      <c r="K140" s="77"/>
    </row>
    <row r="141" spans="1:11" ht="16">
      <c r="A141" s="132">
        <v>41811</v>
      </c>
      <c r="B141" s="79">
        <v>4.6500000000000004</v>
      </c>
      <c r="G141" s="81">
        <v>41815</v>
      </c>
      <c r="H141" s="82">
        <v>278.17</v>
      </c>
      <c r="I141" s="236">
        <f t="shared" si="2"/>
        <v>-3.403554026941813E-3</v>
      </c>
      <c r="J141" s="77"/>
      <c r="K141" s="77"/>
    </row>
    <row r="142" spans="1:11" ht="16">
      <c r="A142" s="132">
        <v>41814</v>
      </c>
      <c r="B142" s="79">
        <v>4.6399999999999997</v>
      </c>
      <c r="G142" s="81">
        <v>41816</v>
      </c>
      <c r="H142" s="82">
        <v>273.79000000000002</v>
      </c>
      <c r="I142" s="236">
        <f t="shared" si="2"/>
        <v>-1.5745766977028453E-2</v>
      </c>
      <c r="J142" s="77"/>
      <c r="K142" s="77"/>
    </row>
    <row r="143" spans="1:11" ht="16">
      <c r="A143" s="132">
        <v>41815</v>
      </c>
      <c r="B143" s="79">
        <v>4.6500000000000004</v>
      </c>
      <c r="G143" s="81">
        <v>41817</v>
      </c>
      <c r="H143" s="82">
        <v>272.86</v>
      </c>
      <c r="I143" s="236">
        <f t="shared" si="2"/>
        <v>-3.396763943168124E-3</v>
      </c>
      <c r="J143" s="77"/>
      <c r="K143" s="77"/>
    </row>
    <row r="144" spans="1:11" ht="16">
      <c r="A144" s="132">
        <v>41816</v>
      </c>
      <c r="B144" s="79">
        <v>4.6399999999999997</v>
      </c>
      <c r="G144" s="81">
        <v>41818</v>
      </c>
      <c r="H144" s="82">
        <v>278.66000000000003</v>
      </c>
      <c r="I144" s="236">
        <f t="shared" ref="I144:I207" si="3">H144/H143-1</f>
        <v>2.1256321923330601E-2</v>
      </c>
      <c r="J144" s="77"/>
      <c r="K144" s="77"/>
    </row>
    <row r="145" spans="1:11" ht="16">
      <c r="A145" s="132">
        <v>41817</v>
      </c>
      <c r="B145" s="79">
        <v>4.66</v>
      </c>
      <c r="G145" s="81">
        <v>41821</v>
      </c>
      <c r="H145" s="82">
        <v>276.97000000000003</v>
      </c>
      <c r="I145" s="236">
        <f t="shared" si="3"/>
        <v>-6.0647383908706276E-3</v>
      </c>
      <c r="J145" s="77"/>
      <c r="K145" s="77"/>
    </row>
    <row r="146" spans="1:11" ht="16">
      <c r="A146" s="132">
        <v>41818</v>
      </c>
      <c r="B146" s="79">
        <v>4.6500000000000004</v>
      </c>
      <c r="G146" s="81">
        <v>41822</v>
      </c>
      <c r="H146" s="82">
        <v>276.33999999999997</v>
      </c>
      <c r="I146" s="236">
        <f t="shared" si="3"/>
        <v>-2.2746145791965322E-3</v>
      </c>
      <c r="J146" s="77"/>
      <c r="K146" s="77"/>
    </row>
    <row r="147" spans="1:11" ht="16">
      <c r="A147" s="132">
        <v>41819</v>
      </c>
      <c r="B147" s="79">
        <v>4.6500000000000004</v>
      </c>
      <c r="G147" s="81">
        <v>41823</v>
      </c>
      <c r="H147" s="82">
        <v>275.95</v>
      </c>
      <c r="I147" s="236">
        <f t="shared" si="3"/>
        <v>-1.4113049142360223E-3</v>
      </c>
      <c r="J147" s="77"/>
      <c r="K147" s="77"/>
    </row>
    <row r="148" spans="1:11" ht="16">
      <c r="A148" s="132">
        <v>41821</v>
      </c>
      <c r="B148" s="79">
        <v>4.67</v>
      </c>
      <c r="G148" s="81">
        <v>41824</v>
      </c>
      <c r="H148" s="82">
        <v>275.42</v>
      </c>
      <c r="I148" s="236">
        <f t="shared" si="3"/>
        <v>-1.9206377967021515E-3</v>
      </c>
      <c r="J148" s="77"/>
      <c r="K148" s="77"/>
    </row>
    <row r="149" spans="1:11" ht="16">
      <c r="A149" s="132">
        <v>41822</v>
      </c>
      <c r="B149" s="79">
        <v>4.66</v>
      </c>
      <c r="G149" s="81">
        <v>41825</v>
      </c>
      <c r="H149" s="82">
        <v>276.74</v>
      </c>
      <c r="I149" s="236">
        <f t="shared" si="3"/>
        <v>4.7926802701327986E-3</v>
      </c>
      <c r="J149" s="77"/>
      <c r="K149" s="77"/>
    </row>
    <row r="150" spans="1:11" ht="16">
      <c r="A150" s="132">
        <v>41823</v>
      </c>
      <c r="B150" s="79">
        <v>4.66</v>
      </c>
      <c r="G150" s="81">
        <v>41828</v>
      </c>
      <c r="H150" s="82">
        <v>280.77999999999997</v>
      </c>
      <c r="I150" s="236">
        <f t="shared" si="3"/>
        <v>1.4598540145985162E-2</v>
      </c>
      <c r="J150" s="77"/>
      <c r="K150" s="77"/>
    </row>
    <row r="151" spans="1:11" ht="16">
      <c r="A151" s="132">
        <v>41824</v>
      </c>
      <c r="B151" s="79">
        <v>4.6500000000000004</v>
      </c>
      <c r="G151" s="81">
        <v>41829</v>
      </c>
      <c r="H151" s="82">
        <v>280.99</v>
      </c>
      <c r="I151" s="236">
        <f t="shared" si="3"/>
        <v>7.4791651827066374E-4</v>
      </c>
      <c r="J151" s="77"/>
      <c r="K151" s="77"/>
    </row>
    <row r="152" spans="1:11" ht="16">
      <c r="A152" s="132">
        <v>41825</v>
      </c>
      <c r="B152" s="79">
        <v>4.62</v>
      </c>
      <c r="G152" s="81">
        <v>41830</v>
      </c>
      <c r="H152" s="82">
        <v>278.19</v>
      </c>
      <c r="I152" s="236">
        <f t="shared" si="3"/>
        <v>-9.9647674294459643E-3</v>
      </c>
      <c r="J152" s="77"/>
      <c r="K152" s="77"/>
    </row>
    <row r="153" spans="1:11" ht="16">
      <c r="A153" s="132">
        <v>41828</v>
      </c>
      <c r="B153" s="79">
        <v>4.6100000000000003</v>
      </c>
      <c r="G153" s="81">
        <v>41831</v>
      </c>
      <c r="H153" s="82">
        <v>280.20999999999998</v>
      </c>
      <c r="I153" s="236">
        <f t="shared" si="3"/>
        <v>7.2612243430747458E-3</v>
      </c>
      <c r="J153" s="77"/>
      <c r="K153" s="77"/>
    </row>
    <row r="154" spans="1:11" ht="16">
      <c r="A154" s="132">
        <v>41829</v>
      </c>
      <c r="B154" s="79">
        <v>4.6100000000000003</v>
      </c>
      <c r="G154" s="81">
        <v>41832</v>
      </c>
      <c r="H154" s="82">
        <v>280.97000000000003</v>
      </c>
      <c r="I154" s="236">
        <f t="shared" si="3"/>
        <v>2.7122515256416957E-3</v>
      </c>
      <c r="J154" s="77"/>
      <c r="K154" s="77"/>
    </row>
    <row r="155" spans="1:11" ht="16">
      <c r="A155" s="132">
        <v>41830</v>
      </c>
      <c r="B155" s="79">
        <v>4.6100000000000003</v>
      </c>
      <c r="G155" s="81">
        <v>41835</v>
      </c>
      <c r="H155" s="82">
        <v>279.62</v>
      </c>
      <c r="I155" s="236">
        <f t="shared" si="3"/>
        <v>-4.8047834288359459E-3</v>
      </c>
      <c r="J155" s="77"/>
      <c r="K155" s="77"/>
    </row>
    <row r="156" spans="1:11" ht="16">
      <c r="A156" s="132">
        <v>41831</v>
      </c>
      <c r="B156" s="79">
        <v>4.62</v>
      </c>
      <c r="G156" s="81">
        <v>41836</v>
      </c>
      <c r="H156" s="82">
        <v>279.92</v>
      </c>
      <c r="I156" s="236">
        <f t="shared" si="3"/>
        <v>1.072884629139681E-3</v>
      </c>
      <c r="J156" s="77"/>
      <c r="K156" s="77"/>
    </row>
    <row r="157" spans="1:11" ht="16">
      <c r="A157" s="132">
        <v>41832</v>
      </c>
      <c r="B157" s="79">
        <v>4.5999999999999996</v>
      </c>
      <c r="G157" s="81">
        <v>41837</v>
      </c>
      <c r="H157" s="82">
        <v>279.49</v>
      </c>
      <c r="I157" s="236">
        <f t="shared" si="3"/>
        <v>-1.5361531866248113E-3</v>
      </c>
      <c r="J157" s="77"/>
      <c r="K157" s="77"/>
    </row>
    <row r="158" spans="1:11" ht="16">
      <c r="A158" s="132">
        <v>41835</v>
      </c>
      <c r="B158" s="79">
        <v>4.59</v>
      </c>
      <c r="G158" s="81">
        <v>41838</v>
      </c>
      <c r="H158" s="82">
        <v>277.18</v>
      </c>
      <c r="I158" s="236">
        <f t="shared" si="3"/>
        <v>-8.2650542058749776E-3</v>
      </c>
      <c r="J158" s="77"/>
      <c r="K158" s="77"/>
    </row>
    <row r="159" spans="1:11" ht="16">
      <c r="A159" s="132">
        <v>41836</v>
      </c>
      <c r="B159" s="79">
        <v>4.5999999999999996</v>
      </c>
      <c r="G159" s="81">
        <v>41839</v>
      </c>
      <c r="H159" s="82">
        <v>279.60000000000002</v>
      </c>
      <c r="I159" s="236">
        <f t="shared" si="3"/>
        <v>8.730788657190347E-3</v>
      </c>
      <c r="J159" s="77"/>
      <c r="K159" s="77"/>
    </row>
    <row r="160" spans="1:11" ht="16">
      <c r="A160" s="132">
        <v>41837</v>
      </c>
      <c r="B160" s="79">
        <v>4.5999999999999996</v>
      </c>
      <c r="G160" s="81">
        <v>41842</v>
      </c>
      <c r="H160" s="82">
        <v>279.77999999999997</v>
      </c>
      <c r="I160" s="236">
        <f t="shared" si="3"/>
        <v>6.4377682403415903E-4</v>
      </c>
      <c r="J160" s="77"/>
      <c r="K160" s="77"/>
    </row>
    <row r="161" spans="1:11" ht="16">
      <c r="A161" s="132">
        <v>41838</v>
      </c>
      <c r="B161" s="79">
        <v>4.6100000000000003</v>
      </c>
      <c r="G161" s="81">
        <v>41843</v>
      </c>
      <c r="H161" s="82">
        <v>283.12</v>
      </c>
      <c r="I161" s="236">
        <f t="shared" si="3"/>
        <v>1.1937951247408707E-2</v>
      </c>
      <c r="J161" s="77"/>
      <c r="K161" s="77"/>
    </row>
    <row r="162" spans="1:11" ht="16">
      <c r="A162" s="132">
        <v>41839</v>
      </c>
      <c r="B162" s="79">
        <v>4.59</v>
      </c>
      <c r="G162" s="81">
        <v>41844</v>
      </c>
      <c r="H162" s="82">
        <v>285.36</v>
      </c>
      <c r="I162" s="236">
        <f t="shared" si="3"/>
        <v>7.9118395026844812E-3</v>
      </c>
      <c r="J162" s="77"/>
      <c r="K162" s="77"/>
    </row>
    <row r="163" spans="1:11" ht="16">
      <c r="A163" s="132">
        <v>41842</v>
      </c>
      <c r="B163" s="79">
        <v>4.5999999999999996</v>
      </c>
      <c r="G163" s="81">
        <v>41845</v>
      </c>
      <c r="H163" s="82">
        <v>284.99</v>
      </c>
      <c r="I163" s="236">
        <f t="shared" si="3"/>
        <v>-1.2966077936641396E-3</v>
      </c>
      <c r="J163" s="77"/>
      <c r="K163" s="77"/>
    </row>
    <row r="164" spans="1:11" ht="16">
      <c r="A164" s="132">
        <v>41843</v>
      </c>
      <c r="B164" s="79">
        <v>4.5999999999999996</v>
      </c>
      <c r="G164" s="81">
        <v>41846</v>
      </c>
      <c r="H164" s="82">
        <v>285.8</v>
      </c>
      <c r="I164" s="236">
        <f t="shared" si="3"/>
        <v>2.8422049896488222E-3</v>
      </c>
      <c r="J164" s="77"/>
      <c r="K164" s="77"/>
    </row>
    <row r="165" spans="1:11" ht="16">
      <c r="A165" s="132">
        <v>41844</v>
      </c>
      <c r="B165" s="79">
        <v>4.58</v>
      </c>
      <c r="G165" s="81">
        <v>41849</v>
      </c>
      <c r="H165" s="82">
        <v>285.23</v>
      </c>
      <c r="I165" s="236">
        <f t="shared" si="3"/>
        <v>-1.9944016794961605E-3</v>
      </c>
      <c r="J165" s="77"/>
      <c r="K165" s="77"/>
    </row>
    <row r="166" spans="1:11" ht="16">
      <c r="A166" s="132">
        <v>41845</v>
      </c>
      <c r="B166" s="79">
        <v>4.57</v>
      </c>
      <c r="G166" s="81">
        <v>41850</v>
      </c>
      <c r="H166" s="82">
        <v>284.45</v>
      </c>
      <c r="I166" s="236">
        <f t="shared" si="3"/>
        <v>-2.7346352066753843E-3</v>
      </c>
      <c r="J166" s="77"/>
      <c r="K166" s="77"/>
    </row>
    <row r="167" spans="1:11" ht="16">
      <c r="A167" s="132">
        <v>41846</v>
      </c>
      <c r="B167" s="79">
        <v>4.5599999999999996</v>
      </c>
      <c r="G167" s="81">
        <v>41851</v>
      </c>
      <c r="H167" s="82">
        <v>284.25</v>
      </c>
      <c r="I167" s="236">
        <f t="shared" si="3"/>
        <v>-7.0311126735800311E-4</v>
      </c>
      <c r="J167" s="77"/>
      <c r="K167" s="77"/>
    </row>
    <row r="168" spans="1:11" ht="16">
      <c r="A168" s="132">
        <v>41849</v>
      </c>
      <c r="B168" s="79">
        <v>4.5599999999999996</v>
      </c>
      <c r="G168" s="81">
        <v>41852</v>
      </c>
      <c r="H168" s="82">
        <v>279.7</v>
      </c>
      <c r="I168" s="236">
        <f t="shared" si="3"/>
        <v>-1.6007036059806579E-2</v>
      </c>
      <c r="J168" s="77"/>
      <c r="K168" s="77"/>
    </row>
    <row r="169" spans="1:11" ht="16">
      <c r="A169" s="132">
        <v>41850</v>
      </c>
      <c r="B169" s="79">
        <v>4.59</v>
      </c>
      <c r="G169" s="81">
        <v>41853</v>
      </c>
      <c r="H169" s="82">
        <v>281.25</v>
      </c>
      <c r="I169" s="236">
        <f t="shared" si="3"/>
        <v>5.5416517697532974E-3</v>
      </c>
      <c r="J169" s="77"/>
      <c r="K169" s="77"/>
    </row>
    <row r="170" spans="1:11" ht="16">
      <c r="A170" s="132">
        <v>41851</v>
      </c>
      <c r="B170" s="79">
        <v>4.62</v>
      </c>
      <c r="G170" s="81">
        <v>41856</v>
      </c>
      <c r="H170" s="82">
        <v>280.52</v>
      </c>
      <c r="I170" s="236">
        <f t="shared" si="3"/>
        <v>-2.5955555555555732E-3</v>
      </c>
      <c r="J170" s="77"/>
      <c r="K170" s="77"/>
    </row>
    <row r="171" spans="1:11" ht="16">
      <c r="A171" s="132">
        <v>41852</v>
      </c>
      <c r="B171" s="79">
        <v>4.6500000000000004</v>
      </c>
      <c r="G171" s="81">
        <v>41857</v>
      </c>
      <c r="H171" s="82">
        <v>282.64</v>
      </c>
      <c r="I171" s="236">
        <f t="shared" si="3"/>
        <v>7.5573934122343811E-3</v>
      </c>
      <c r="J171" s="77"/>
      <c r="K171" s="77"/>
    </row>
    <row r="172" spans="1:11" ht="16">
      <c r="A172" s="132">
        <v>41853</v>
      </c>
      <c r="B172" s="79">
        <v>4.62</v>
      </c>
      <c r="G172" s="81">
        <v>41858</v>
      </c>
      <c r="H172" s="82">
        <v>282.29000000000002</v>
      </c>
      <c r="I172" s="236">
        <f t="shared" si="3"/>
        <v>-1.2383243702235314E-3</v>
      </c>
      <c r="J172" s="77"/>
      <c r="K172" s="77"/>
    </row>
    <row r="173" spans="1:11" ht="16">
      <c r="A173" s="132">
        <v>41856</v>
      </c>
      <c r="B173" s="79">
        <v>4.6100000000000003</v>
      </c>
      <c r="G173" s="81">
        <v>41859</v>
      </c>
      <c r="H173" s="82">
        <v>281.86</v>
      </c>
      <c r="I173" s="236">
        <f t="shared" si="3"/>
        <v>-1.5232562258670201E-3</v>
      </c>
      <c r="J173" s="77"/>
      <c r="K173" s="77"/>
    </row>
    <row r="174" spans="1:11" ht="16">
      <c r="A174" s="132">
        <v>41857</v>
      </c>
      <c r="B174" s="79">
        <v>4.63</v>
      </c>
      <c r="G174" s="81">
        <v>41860</v>
      </c>
      <c r="H174" s="82">
        <v>278.02</v>
      </c>
      <c r="I174" s="236">
        <f t="shared" si="3"/>
        <v>-1.3623784857730858E-2</v>
      </c>
      <c r="J174" s="77"/>
      <c r="K174" s="77"/>
    </row>
    <row r="175" spans="1:11" ht="16">
      <c r="A175" s="132">
        <v>41858</v>
      </c>
      <c r="B175" s="79">
        <v>4.67</v>
      </c>
      <c r="G175" s="81">
        <v>41863</v>
      </c>
      <c r="H175" s="82">
        <v>272.89999999999998</v>
      </c>
      <c r="I175" s="236">
        <f t="shared" si="3"/>
        <v>-1.8415941299187111E-2</v>
      </c>
      <c r="J175" s="77"/>
      <c r="K175" s="77"/>
    </row>
    <row r="176" spans="1:11" ht="16">
      <c r="A176" s="132">
        <v>41859</v>
      </c>
      <c r="B176" s="79">
        <v>4.7</v>
      </c>
      <c r="G176" s="81">
        <v>41864</v>
      </c>
      <c r="H176" s="82">
        <v>272.54000000000002</v>
      </c>
      <c r="I176" s="236">
        <f t="shared" si="3"/>
        <v>-1.3191645291313892E-3</v>
      </c>
      <c r="J176" s="77"/>
      <c r="K176" s="77"/>
    </row>
    <row r="177" spans="1:11" ht="16">
      <c r="A177" s="132">
        <v>41860</v>
      </c>
      <c r="B177" s="79">
        <v>4.7</v>
      </c>
      <c r="G177" s="81">
        <v>41865</v>
      </c>
      <c r="H177" s="82">
        <v>267.17</v>
      </c>
      <c r="I177" s="236">
        <f t="shared" si="3"/>
        <v>-1.970352975709988E-2</v>
      </c>
      <c r="J177" s="77"/>
      <c r="K177" s="77"/>
    </row>
    <row r="178" spans="1:11" ht="16">
      <c r="A178" s="132">
        <v>41863</v>
      </c>
      <c r="B178" s="79">
        <v>4.75</v>
      </c>
      <c r="G178" s="81">
        <v>41866</v>
      </c>
      <c r="H178" s="82">
        <v>267.08</v>
      </c>
      <c r="I178" s="236">
        <f t="shared" si="3"/>
        <v>-3.3686416888134563E-4</v>
      </c>
      <c r="J178" s="77"/>
      <c r="K178" s="77"/>
    </row>
    <row r="179" spans="1:11" ht="16">
      <c r="A179" s="132">
        <v>41864</v>
      </c>
      <c r="B179" s="79">
        <v>4.75</v>
      </c>
      <c r="G179" s="81">
        <v>41867</v>
      </c>
      <c r="H179" s="82">
        <v>267.17</v>
      </c>
      <c r="I179" s="236">
        <f t="shared" si="3"/>
        <v>3.3697768458895716E-4</v>
      </c>
      <c r="J179" s="77"/>
      <c r="K179" s="77"/>
    </row>
    <row r="180" spans="1:11" ht="16">
      <c r="A180" s="132">
        <v>41865</v>
      </c>
      <c r="B180" s="79">
        <v>4.76</v>
      </c>
      <c r="G180" s="81">
        <v>41870</v>
      </c>
      <c r="H180" s="82">
        <v>270.04000000000002</v>
      </c>
      <c r="I180" s="236">
        <f t="shared" si="3"/>
        <v>1.0742224052101568E-2</v>
      </c>
      <c r="J180" s="77"/>
      <c r="K180" s="77"/>
    </row>
    <row r="181" spans="1:11" ht="16">
      <c r="A181" s="132">
        <v>41866</v>
      </c>
      <c r="B181" s="79">
        <v>4.72</v>
      </c>
      <c r="G181" s="81">
        <v>41871</v>
      </c>
      <c r="H181" s="82">
        <v>272.32</v>
      </c>
      <c r="I181" s="236">
        <f t="shared" si="3"/>
        <v>8.443193600947918E-3</v>
      </c>
      <c r="J181" s="77"/>
      <c r="K181" s="77"/>
    </row>
    <row r="182" spans="1:11" ht="16">
      <c r="A182" s="132">
        <v>41867</v>
      </c>
      <c r="B182" s="79">
        <v>4.72</v>
      </c>
      <c r="G182" s="81">
        <v>41872</v>
      </c>
      <c r="H182" s="82">
        <v>273.72000000000003</v>
      </c>
      <c r="I182" s="236">
        <f t="shared" si="3"/>
        <v>5.1410105757934144E-3</v>
      </c>
      <c r="J182" s="77"/>
      <c r="K182" s="77"/>
    </row>
    <row r="183" spans="1:11" ht="16">
      <c r="A183" s="132">
        <v>41870</v>
      </c>
      <c r="B183" s="79">
        <v>4.72</v>
      </c>
      <c r="G183" s="81">
        <v>41873</v>
      </c>
      <c r="H183" s="82">
        <v>272.95</v>
      </c>
      <c r="I183" s="236">
        <f t="shared" si="3"/>
        <v>-2.8130936723660405E-3</v>
      </c>
      <c r="J183" s="77"/>
      <c r="K183" s="77"/>
    </row>
    <row r="184" spans="1:11" ht="16">
      <c r="A184" s="132">
        <v>41871</v>
      </c>
      <c r="B184" s="79">
        <v>4.71</v>
      </c>
      <c r="G184" s="81">
        <v>41874</v>
      </c>
      <c r="H184" s="82">
        <v>273.19</v>
      </c>
      <c r="I184" s="236">
        <f t="shared" si="3"/>
        <v>8.7928191976560655E-4</v>
      </c>
      <c r="J184" s="77"/>
      <c r="K184" s="77"/>
    </row>
    <row r="185" spans="1:11" ht="16">
      <c r="A185" s="132">
        <v>41872</v>
      </c>
      <c r="B185" s="79">
        <v>4.7</v>
      </c>
      <c r="G185" s="81">
        <v>41877</v>
      </c>
      <c r="H185" s="82">
        <v>278.08999999999997</v>
      </c>
      <c r="I185" s="236">
        <f t="shared" si="3"/>
        <v>1.7936234854862843E-2</v>
      </c>
      <c r="J185" s="77"/>
      <c r="K185" s="77"/>
    </row>
    <row r="186" spans="1:11" ht="16">
      <c r="A186" s="132">
        <v>41873</v>
      </c>
      <c r="B186" s="79">
        <v>4.7</v>
      </c>
      <c r="G186" s="81">
        <v>41878</v>
      </c>
      <c r="H186" s="82">
        <v>278.17</v>
      </c>
      <c r="I186" s="236">
        <f t="shared" si="3"/>
        <v>2.876766514439133E-4</v>
      </c>
      <c r="J186" s="77"/>
      <c r="K186" s="77"/>
    </row>
    <row r="187" spans="1:11" ht="16">
      <c r="A187" s="132">
        <v>41874</v>
      </c>
      <c r="B187" s="79">
        <v>4.72</v>
      </c>
      <c r="G187" s="81">
        <v>41879</v>
      </c>
      <c r="H187" s="82">
        <v>277.8</v>
      </c>
      <c r="I187" s="236">
        <f t="shared" si="3"/>
        <v>-1.3301218679224736E-3</v>
      </c>
      <c r="J187" s="77"/>
      <c r="K187" s="77"/>
    </row>
    <row r="188" spans="1:11" ht="16">
      <c r="A188" s="132">
        <v>41877</v>
      </c>
      <c r="B188" s="79">
        <v>4.72</v>
      </c>
      <c r="G188" s="81">
        <v>41880</v>
      </c>
      <c r="H188" s="82">
        <v>274.10000000000002</v>
      </c>
      <c r="I188" s="236">
        <f t="shared" si="3"/>
        <v>-1.331893448524113E-2</v>
      </c>
      <c r="J188" s="77"/>
      <c r="K188" s="77"/>
    </row>
    <row r="189" spans="1:11" ht="16">
      <c r="A189" s="132">
        <v>41878</v>
      </c>
      <c r="B189" s="79">
        <v>4.72</v>
      </c>
      <c r="G189" s="81">
        <v>41881</v>
      </c>
      <c r="H189" s="82">
        <v>273.7</v>
      </c>
      <c r="I189" s="236">
        <f t="shared" si="3"/>
        <v>-1.4593214155419476E-3</v>
      </c>
      <c r="J189" s="77"/>
      <c r="K189" s="77"/>
    </row>
    <row r="190" spans="1:11" ht="16">
      <c r="A190" s="132">
        <v>41879</v>
      </c>
      <c r="B190" s="79">
        <v>4.7300000000000004</v>
      </c>
      <c r="G190" s="81">
        <v>41884</v>
      </c>
      <c r="H190" s="82">
        <v>271.41000000000003</v>
      </c>
      <c r="I190" s="236">
        <f t="shared" si="3"/>
        <v>-8.3668249908658288E-3</v>
      </c>
      <c r="J190" s="77"/>
      <c r="K190" s="77"/>
    </row>
    <row r="191" spans="1:11" ht="16">
      <c r="A191" s="132">
        <v>41880</v>
      </c>
      <c r="B191" s="79">
        <v>4.75</v>
      </c>
      <c r="G191" s="81">
        <v>41885</v>
      </c>
      <c r="H191" s="82">
        <v>269.06</v>
      </c>
      <c r="I191" s="236">
        <f t="shared" si="3"/>
        <v>-8.6584871596478985E-3</v>
      </c>
      <c r="J191" s="77"/>
      <c r="K191" s="77"/>
    </row>
    <row r="192" spans="1:11" ht="16">
      <c r="A192" s="132">
        <v>41881</v>
      </c>
      <c r="B192" s="79">
        <v>4.78</v>
      </c>
      <c r="G192" s="81">
        <v>41886</v>
      </c>
      <c r="H192" s="82">
        <v>264.64</v>
      </c>
      <c r="I192" s="236">
        <f t="shared" si="3"/>
        <v>-1.6427562625436765E-2</v>
      </c>
      <c r="J192" s="77"/>
      <c r="K192" s="77"/>
    </row>
    <row r="193" spans="1:11" ht="16">
      <c r="A193" s="132">
        <v>41884</v>
      </c>
      <c r="B193" s="79">
        <v>4.78</v>
      </c>
      <c r="G193" s="81">
        <v>41887</v>
      </c>
      <c r="H193" s="82">
        <v>263.86</v>
      </c>
      <c r="I193" s="236">
        <f t="shared" si="3"/>
        <v>-2.9474002418378165E-3</v>
      </c>
      <c r="J193" s="77"/>
      <c r="K193" s="77"/>
    </row>
    <row r="194" spans="1:11" ht="16">
      <c r="A194" s="132">
        <v>41885</v>
      </c>
      <c r="B194" s="79">
        <v>4.82</v>
      </c>
      <c r="G194" s="81">
        <v>41888</v>
      </c>
      <c r="H194" s="82">
        <v>265.2</v>
      </c>
      <c r="I194" s="236">
        <f t="shared" si="3"/>
        <v>5.0784506935495077E-3</v>
      </c>
      <c r="J194" s="77"/>
      <c r="K194" s="77"/>
    </row>
    <row r="195" spans="1:11" ht="16">
      <c r="A195" s="132">
        <v>41886</v>
      </c>
      <c r="B195" s="79">
        <v>4.82</v>
      </c>
      <c r="G195" s="81">
        <v>41891</v>
      </c>
      <c r="H195" s="82">
        <v>261.57</v>
      </c>
      <c r="I195" s="236">
        <f t="shared" si="3"/>
        <v>-1.3687782805429816E-2</v>
      </c>
      <c r="J195" s="77"/>
      <c r="K195" s="77"/>
    </row>
    <row r="196" spans="1:11" ht="16">
      <c r="A196" s="132">
        <v>41887</v>
      </c>
      <c r="B196" s="79">
        <v>4.8</v>
      </c>
      <c r="G196" s="81">
        <v>41892</v>
      </c>
      <c r="H196" s="82">
        <v>259.38</v>
      </c>
      <c r="I196" s="236">
        <f t="shared" si="3"/>
        <v>-8.3725197843789179E-3</v>
      </c>
      <c r="J196" s="77"/>
      <c r="K196" s="77"/>
    </row>
    <row r="197" spans="1:11" ht="16">
      <c r="A197" s="132">
        <v>41888</v>
      </c>
      <c r="B197" s="79">
        <v>4.8099999999999996</v>
      </c>
      <c r="G197" s="81">
        <v>41893</v>
      </c>
      <c r="H197" s="82">
        <v>259.97000000000003</v>
      </c>
      <c r="I197" s="236">
        <f t="shared" si="3"/>
        <v>2.2746549464107702E-3</v>
      </c>
      <c r="J197" s="77"/>
      <c r="K197" s="77"/>
    </row>
    <row r="198" spans="1:11" ht="16">
      <c r="A198" s="132">
        <v>41891</v>
      </c>
      <c r="B198" s="79">
        <v>4.84</v>
      </c>
      <c r="G198" s="81">
        <v>41894</v>
      </c>
      <c r="H198" s="82">
        <v>263.45</v>
      </c>
      <c r="I198" s="236">
        <f t="shared" si="3"/>
        <v>1.3386159941531472E-2</v>
      </c>
      <c r="J198" s="77"/>
      <c r="K198" s="77"/>
    </row>
    <row r="199" spans="1:11" ht="16">
      <c r="A199" s="132">
        <v>41892</v>
      </c>
      <c r="B199" s="79">
        <v>4.87</v>
      </c>
      <c r="G199" s="81">
        <v>41895</v>
      </c>
      <c r="H199" s="82">
        <v>265.69</v>
      </c>
      <c r="I199" s="236">
        <f t="shared" si="3"/>
        <v>8.5025621560068654E-3</v>
      </c>
      <c r="J199" s="77"/>
      <c r="K199" s="77"/>
    </row>
    <row r="200" spans="1:11" ht="16">
      <c r="A200" s="132">
        <v>41893</v>
      </c>
      <c r="B200" s="79">
        <v>4.8600000000000003</v>
      </c>
      <c r="G200" s="81">
        <v>41898</v>
      </c>
      <c r="H200" s="82">
        <v>263.02</v>
      </c>
      <c r="I200" s="236">
        <f t="shared" si="3"/>
        <v>-1.0049305581693035E-2</v>
      </c>
      <c r="J200" s="77"/>
      <c r="K200" s="77"/>
    </row>
    <row r="201" spans="1:11" ht="16">
      <c r="A201" s="132">
        <v>41894</v>
      </c>
      <c r="B201" s="79">
        <v>4.83</v>
      </c>
      <c r="G201" s="81">
        <v>41899</v>
      </c>
      <c r="H201" s="82">
        <v>263.51</v>
      </c>
      <c r="I201" s="236">
        <f t="shared" si="3"/>
        <v>1.8629761995285765E-3</v>
      </c>
      <c r="J201" s="77"/>
      <c r="K201" s="77"/>
    </row>
    <row r="202" spans="1:11" ht="16">
      <c r="A202" s="132">
        <v>41895</v>
      </c>
      <c r="B202" s="79">
        <v>4.83</v>
      </c>
      <c r="G202" s="81">
        <v>41900</v>
      </c>
      <c r="H202" s="82">
        <v>266.33999999999997</v>
      </c>
      <c r="I202" s="236">
        <f t="shared" si="3"/>
        <v>1.0739630374558828E-2</v>
      </c>
      <c r="J202" s="77"/>
      <c r="K202" s="77"/>
    </row>
    <row r="203" spans="1:11" ht="16">
      <c r="A203" s="132">
        <v>41898</v>
      </c>
      <c r="B203" s="79">
        <v>4.82</v>
      </c>
      <c r="G203" s="81">
        <v>41901</v>
      </c>
      <c r="H203" s="82">
        <v>267.5</v>
      </c>
      <c r="I203" s="236">
        <f t="shared" si="3"/>
        <v>4.3553352857250704E-3</v>
      </c>
      <c r="J203" s="77"/>
      <c r="K203" s="77"/>
    </row>
    <row r="204" spans="1:11" ht="16">
      <c r="A204" s="132">
        <v>41899</v>
      </c>
      <c r="B204" s="79">
        <v>4.83</v>
      </c>
      <c r="G204" s="81">
        <v>41902</v>
      </c>
      <c r="H204" s="82">
        <v>271.01</v>
      </c>
      <c r="I204" s="236">
        <f t="shared" si="3"/>
        <v>1.3121495327102828E-2</v>
      </c>
      <c r="J204" s="77"/>
      <c r="K204" s="77"/>
    </row>
    <row r="205" spans="1:11" ht="16">
      <c r="A205" s="132">
        <v>41900</v>
      </c>
      <c r="B205" s="79">
        <v>4.84</v>
      </c>
      <c r="G205" s="81">
        <v>41905</v>
      </c>
      <c r="H205" s="82">
        <v>268.17</v>
      </c>
      <c r="I205" s="236">
        <f t="shared" si="3"/>
        <v>-1.0479318106342839E-2</v>
      </c>
      <c r="J205" s="77"/>
      <c r="K205" s="77"/>
    </row>
    <row r="206" spans="1:11" ht="16">
      <c r="A206" s="132">
        <v>41901</v>
      </c>
      <c r="B206" s="79">
        <v>4.82</v>
      </c>
      <c r="G206" s="81">
        <v>41906</v>
      </c>
      <c r="H206" s="82">
        <v>268.01</v>
      </c>
      <c r="I206" s="236">
        <f t="shared" si="3"/>
        <v>-5.9663646194585418E-4</v>
      </c>
      <c r="J206" s="77"/>
      <c r="K206" s="77"/>
    </row>
    <row r="207" spans="1:11" ht="16">
      <c r="A207" s="132">
        <v>41902</v>
      </c>
      <c r="B207" s="79">
        <v>4.8</v>
      </c>
      <c r="G207" s="81">
        <v>41907</v>
      </c>
      <c r="H207" s="82">
        <v>269.22000000000003</v>
      </c>
      <c r="I207" s="236">
        <f t="shared" si="3"/>
        <v>4.5147569120556064E-3</v>
      </c>
      <c r="J207" s="77"/>
      <c r="K207" s="77"/>
    </row>
    <row r="208" spans="1:11" ht="16">
      <c r="A208" s="132">
        <v>41905</v>
      </c>
      <c r="B208" s="79">
        <v>4.79</v>
      </c>
      <c r="G208" s="81">
        <v>41908</v>
      </c>
      <c r="H208" s="82">
        <v>270.14999999999998</v>
      </c>
      <c r="I208" s="236">
        <f t="shared" ref="I208:I271" si="4">H208/H207-1</f>
        <v>3.4544238912412872E-3</v>
      </c>
      <c r="J208" s="77"/>
      <c r="K208" s="77"/>
    </row>
    <row r="209" spans="1:11" ht="16">
      <c r="A209" s="132">
        <v>41906</v>
      </c>
      <c r="B209" s="79">
        <v>4.8</v>
      </c>
      <c r="G209" s="81">
        <v>41909</v>
      </c>
      <c r="H209" s="82">
        <v>269.33</v>
      </c>
      <c r="I209" s="236">
        <f t="shared" si="4"/>
        <v>-3.0353507310753036E-3</v>
      </c>
      <c r="J209" s="77"/>
      <c r="K209" s="77"/>
    </row>
    <row r="210" spans="1:11" ht="16">
      <c r="A210" s="132">
        <v>41907</v>
      </c>
      <c r="B210" s="79">
        <v>4.78</v>
      </c>
      <c r="G210" s="81">
        <v>41912</v>
      </c>
      <c r="H210" s="82">
        <v>269.01</v>
      </c>
      <c r="I210" s="236">
        <f t="shared" si="4"/>
        <v>-1.1881335165039308E-3</v>
      </c>
      <c r="J210" s="77"/>
      <c r="K210" s="77"/>
    </row>
    <row r="211" spans="1:11" ht="16">
      <c r="A211" s="132">
        <v>41908</v>
      </c>
      <c r="B211" s="79">
        <v>4.7300000000000004</v>
      </c>
      <c r="G211" s="81">
        <v>41913</v>
      </c>
      <c r="H211" s="82">
        <v>266.45999999999998</v>
      </c>
      <c r="I211" s="236">
        <f t="shared" si="4"/>
        <v>-9.4792015166722532E-3</v>
      </c>
      <c r="J211" s="77"/>
      <c r="K211" s="77"/>
    </row>
    <row r="212" spans="1:11" ht="16">
      <c r="A212" s="132">
        <v>41909</v>
      </c>
      <c r="B212" s="79">
        <v>4.74</v>
      </c>
      <c r="G212" s="81">
        <v>41914</v>
      </c>
      <c r="H212" s="82">
        <v>266.85000000000002</v>
      </c>
      <c r="I212" s="236">
        <f t="shared" si="4"/>
        <v>1.4636343165954635E-3</v>
      </c>
      <c r="J212" s="77"/>
      <c r="K212" s="77"/>
    </row>
    <row r="213" spans="1:11" ht="16">
      <c r="A213" s="132">
        <v>41911</v>
      </c>
      <c r="B213" s="79">
        <v>4.7699999999999996</v>
      </c>
      <c r="G213" s="81">
        <v>41915</v>
      </c>
      <c r="H213" s="82">
        <v>260.81</v>
      </c>
      <c r="I213" s="236">
        <f t="shared" si="4"/>
        <v>-2.2634438823309067E-2</v>
      </c>
      <c r="J213" s="77"/>
      <c r="K213" s="77"/>
    </row>
    <row r="214" spans="1:11" ht="16">
      <c r="A214" s="132">
        <v>41912</v>
      </c>
      <c r="B214" s="79">
        <v>4.7699999999999996</v>
      </c>
      <c r="G214" s="81">
        <v>41916</v>
      </c>
      <c r="H214" s="82">
        <v>257.89999999999998</v>
      </c>
      <c r="I214" s="236">
        <f t="shared" si="4"/>
        <v>-1.1157547640044618E-2</v>
      </c>
      <c r="J214" s="77"/>
      <c r="K214" s="77"/>
    </row>
    <row r="215" spans="1:11" ht="16">
      <c r="A215" s="132">
        <v>41913</v>
      </c>
      <c r="B215" s="79">
        <v>4.76</v>
      </c>
      <c r="G215" s="81">
        <v>41919</v>
      </c>
      <c r="H215" s="82">
        <v>256.75</v>
      </c>
      <c r="I215" s="236">
        <f t="shared" si="4"/>
        <v>-4.4590926715780688E-3</v>
      </c>
      <c r="J215" s="77"/>
      <c r="K215" s="77"/>
    </row>
    <row r="216" spans="1:11" ht="16">
      <c r="A216" s="132">
        <v>41914</v>
      </c>
      <c r="B216" s="79">
        <v>4.7699999999999996</v>
      </c>
      <c r="G216" s="81">
        <v>41920</v>
      </c>
      <c r="H216" s="82">
        <v>256.08999999999997</v>
      </c>
      <c r="I216" s="236">
        <f t="shared" si="4"/>
        <v>-2.5705939629990793E-3</v>
      </c>
      <c r="J216" s="77"/>
      <c r="K216" s="77"/>
    </row>
    <row r="217" spans="1:11" ht="16">
      <c r="A217" s="132">
        <v>41915</v>
      </c>
      <c r="B217" s="79">
        <v>4.8499999999999996</v>
      </c>
      <c r="G217" s="81">
        <v>41921</v>
      </c>
      <c r="H217" s="82">
        <v>254.23</v>
      </c>
      <c r="I217" s="236">
        <f t="shared" si="4"/>
        <v>-7.2630715763988274E-3</v>
      </c>
      <c r="J217" s="77"/>
      <c r="K217" s="77"/>
    </row>
    <row r="218" spans="1:11" ht="16">
      <c r="A218" s="132">
        <v>41916</v>
      </c>
      <c r="B218" s="79">
        <v>4.8600000000000003</v>
      </c>
      <c r="G218" s="81">
        <v>41922</v>
      </c>
      <c r="H218" s="82">
        <v>247.4</v>
      </c>
      <c r="I218" s="236">
        <f t="shared" si="4"/>
        <v>-2.6865436809188514E-2</v>
      </c>
      <c r="J218" s="77"/>
      <c r="K218" s="77"/>
    </row>
    <row r="219" spans="1:11" ht="16">
      <c r="A219" s="132">
        <v>41919</v>
      </c>
      <c r="B219" s="79">
        <v>4.8600000000000003</v>
      </c>
      <c r="G219" s="81">
        <v>41923</v>
      </c>
      <c r="H219" s="82">
        <v>253.49</v>
      </c>
      <c r="I219" s="236">
        <f t="shared" si="4"/>
        <v>2.4616006467259588E-2</v>
      </c>
      <c r="J219" s="77"/>
      <c r="K219" s="77"/>
    </row>
    <row r="220" spans="1:11" ht="16">
      <c r="A220" s="132">
        <v>41920</v>
      </c>
      <c r="B220" s="79">
        <v>4.8600000000000003</v>
      </c>
      <c r="G220" s="81">
        <v>41926</v>
      </c>
      <c r="H220" s="82">
        <v>251.9</v>
      </c>
      <c r="I220" s="236">
        <f t="shared" si="4"/>
        <v>-6.2724367825160998E-3</v>
      </c>
      <c r="J220" s="77"/>
      <c r="K220" s="77"/>
    </row>
    <row r="221" spans="1:11" ht="16">
      <c r="A221" s="132">
        <v>41921</v>
      </c>
      <c r="B221" s="79">
        <v>4.87</v>
      </c>
      <c r="G221" s="81">
        <v>41927</v>
      </c>
      <c r="H221" s="82">
        <v>255.35</v>
      </c>
      <c r="I221" s="236">
        <f t="shared" si="4"/>
        <v>1.3695911075823686E-2</v>
      </c>
      <c r="J221" s="77"/>
      <c r="K221" s="77"/>
    </row>
    <row r="222" spans="1:11" ht="16">
      <c r="A222" s="132">
        <v>41922</v>
      </c>
      <c r="B222" s="79">
        <v>4.84</v>
      </c>
      <c r="G222" s="81">
        <v>41928</v>
      </c>
      <c r="H222" s="82">
        <v>254.48</v>
      </c>
      <c r="I222" s="236">
        <f t="shared" si="4"/>
        <v>-3.4070883101625649E-3</v>
      </c>
      <c r="J222" s="77"/>
      <c r="K222" s="77"/>
    </row>
    <row r="223" spans="1:11" ht="16">
      <c r="A223" s="132">
        <v>41923</v>
      </c>
      <c r="B223" s="79">
        <v>4.83</v>
      </c>
      <c r="G223" s="81">
        <v>41929</v>
      </c>
      <c r="H223" s="82">
        <v>251.58</v>
      </c>
      <c r="I223" s="236">
        <f t="shared" si="4"/>
        <v>-1.1395787488211129E-2</v>
      </c>
      <c r="J223" s="77"/>
      <c r="K223" s="77"/>
    </row>
    <row r="224" spans="1:11" ht="16">
      <c r="A224" s="132">
        <v>41926</v>
      </c>
      <c r="B224" s="79">
        <v>4.82</v>
      </c>
      <c r="G224" s="81">
        <v>41930</v>
      </c>
      <c r="H224" s="82">
        <v>251.23</v>
      </c>
      <c r="I224" s="236">
        <f t="shared" si="4"/>
        <v>-1.3912075681692393E-3</v>
      </c>
      <c r="J224" s="77"/>
      <c r="K224" s="77"/>
    </row>
    <row r="225" spans="1:11" ht="16">
      <c r="A225" s="132">
        <v>41927</v>
      </c>
      <c r="B225" s="79">
        <v>4.8099999999999996</v>
      </c>
      <c r="G225" s="81">
        <v>41933</v>
      </c>
      <c r="H225" s="82">
        <v>254</v>
      </c>
      <c r="I225" s="236">
        <f t="shared" si="4"/>
        <v>1.1025753293794516E-2</v>
      </c>
      <c r="J225" s="77"/>
      <c r="K225" s="77"/>
    </row>
    <row r="226" spans="1:11" ht="16">
      <c r="A226" s="132">
        <v>41928</v>
      </c>
      <c r="B226" s="79">
        <v>4.8099999999999996</v>
      </c>
      <c r="G226" s="81">
        <v>41934</v>
      </c>
      <c r="H226" s="82">
        <v>249.04</v>
      </c>
      <c r="I226" s="236">
        <f t="shared" si="4"/>
        <v>-1.952755905511816E-2</v>
      </c>
      <c r="J226" s="77"/>
      <c r="K226" s="77"/>
    </row>
    <row r="227" spans="1:11" ht="16">
      <c r="A227" s="132">
        <v>41929</v>
      </c>
      <c r="B227" s="79">
        <v>4.84</v>
      </c>
      <c r="G227" s="81">
        <v>41935</v>
      </c>
      <c r="H227" s="82">
        <v>247.05</v>
      </c>
      <c r="I227" s="236">
        <f t="shared" si="4"/>
        <v>-7.9906842274333201E-3</v>
      </c>
      <c r="J227" s="77"/>
      <c r="K227" s="77"/>
    </row>
    <row r="228" spans="1:11" ht="16">
      <c r="A228" s="132">
        <v>41930</v>
      </c>
      <c r="B228" s="79">
        <v>4.83</v>
      </c>
      <c r="G228" s="81">
        <v>41936</v>
      </c>
      <c r="H228" s="82">
        <v>246.57</v>
      </c>
      <c r="I228" s="236">
        <f t="shared" si="4"/>
        <v>-1.9429265330905832E-3</v>
      </c>
      <c r="J228" s="77"/>
      <c r="K228" s="77"/>
    </row>
    <row r="229" spans="1:11" ht="16">
      <c r="A229" s="132">
        <v>41933</v>
      </c>
      <c r="B229" s="79">
        <v>4.8499999999999996</v>
      </c>
      <c r="G229" s="81">
        <v>41937</v>
      </c>
      <c r="H229" s="82">
        <v>244.58</v>
      </c>
      <c r="I229" s="236">
        <f t="shared" si="4"/>
        <v>-8.0707304213812892E-3</v>
      </c>
      <c r="J229" s="77"/>
      <c r="K229" s="77"/>
    </row>
    <row r="230" spans="1:11" ht="16">
      <c r="A230" s="132">
        <v>41934</v>
      </c>
      <c r="B230" s="79">
        <v>4.8499999999999996</v>
      </c>
      <c r="G230" s="81">
        <v>41940</v>
      </c>
      <c r="H230" s="82">
        <v>243.42</v>
      </c>
      <c r="I230" s="236">
        <f t="shared" si="4"/>
        <v>-4.7428244337232028E-3</v>
      </c>
      <c r="J230" s="77"/>
      <c r="K230" s="77"/>
    </row>
    <row r="231" spans="1:11" ht="16">
      <c r="A231" s="132">
        <v>41935</v>
      </c>
      <c r="B231" s="79">
        <v>4.84</v>
      </c>
      <c r="G231" s="81">
        <v>41941</v>
      </c>
      <c r="H231" s="82">
        <v>243.45</v>
      </c>
      <c r="I231" s="236">
        <f t="shared" si="4"/>
        <v>1.2324377618933013E-4</v>
      </c>
      <c r="J231" s="77"/>
      <c r="K231" s="77"/>
    </row>
    <row r="232" spans="1:11" ht="16">
      <c r="A232" s="132">
        <v>41936</v>
      </c>
      <c r="B232" s="79">
        <v>4.8499999999999996</v>
      </c>
      <c r="G232" s="81">
        <v>41942</v>
      </c>
      <c r="H232" s="82">
        <v>248.62</v>
      </c>
      <c r="I232" s="236">
        <f t="shared" si="4"/>
        <v>2.1236393509961093E-2</v>
      </c>
      <c r="J232" s="77"/>
      <c r="K232" s="77"/>
    </row>
    <row r="233" spans="1:11" ht="16">
      <c r="A233" s="132">
        <v>41937</v>
      </c>
      <c r="B233" s="79">
        <v>4.84</v>
      </c>
      <c r="G233" s="81">
        <v>41943</v>
      </c>
      <c r="H233" s="82">
        <v>253.36</v>
      </c>
      <c r="I233" s="236">
        <f t="shared" si="4"/>
        <v>1.9065240125492711E-2</v>
      </c>
      <c r="J233" s="77"/>
      <c r="K233" s="77"/>
    </row>
    <row r="234" spans="1:11" ht="16">
      <c r="A234" s="132">
        <v>41940</v>
      </c>
      <c r="B234" s="79">
        <v>4.8499999999999996</v>
      </c>
      <c r="G234" s="81">
        <v>41944</v>
      </c>
      <c r="H234" s="82">
        <v>258.58999999999997</v>
      </c>
      <c r="I234" s="236">
        <f t="shared" si="4"/>
        <v>2.064256394063757E-2</v>
      </c>
      <c r="J234" s="77"/>
      <c r="K234" s="77"/>
    </row>
    <row r="235" spans="1:11" ht="16">
      <c r="A235" s="132">
        <v>41941</v>
      </c>
      <c r="B235" s="79">
        <v>4.8899999999999997</v>
      </c>
      <c r="G235" s="81">
        <v>41947</v>
      </c>
      <c r="H235" s="82">
        <v>257.86</v>
      </c>
      <c r="I235" s="236">
        <f t="shared" si="4"/>
        <v>-2.8230016628638666E-3</v>
      </c>
      <c r="J235" s="77"/>
      <c r="K235" s="77"/>
    </row>
    <row r="236" spans="1:11" ht="16">
      <c r="A236" s="132">
        <v>41942</v>
      </c>
      <c r="B236" s="79">
        <v>4.95</v>
      </c>
      <c r="G236" s="81">
        <v>41948</v>
      </c>
      <c r="H236" s="82">
        <v>257.55</v>
      </c>
      <c r="I236" s="236">
        <f t="shared" si="4"/>
        <v>-1.202202745675951E-3</v>
      </c>
      <c r="J236" s="77"/>
      <c r="K236" s="77"/>
    </row>
    <row r="237" spans="1:11" ht="16">
      <c r="A237" s="132">
        <v>41943</v>
      </c>
      <c r="B237" s="79">
        <v>4.9400000000000004</v>
      </c>
      <c r="G237" s="81">
        <v>41949</v>
      </c>
      <c r="H237" s="82">
        <v>259.49</v>
      </c>
      <c r="I237" s="236">
        <f t="shared" si="4"/>
        <v>7.5325179576781753E-3</v>
      </c>
      <c r="J237" s="77"/>
      <c r="K237" s="77"/>
    </row>
    <row r="238" spans="1:11" ht="16">
      <c r="A238" s="132">
        <v>41944</v>
      </c>
      <c r="B238" s="79">
        <v>4.9400000000000004</v>
      </c>
      <c r="G238" s="81">
        <v>41950</v>
      </c>
      <c r="H238" s="82">
        <v>257.87</v>
      </c>
      <c r="I238" s="236">
        <f t="shared" si="4"/>
        <v>-6.2430151450922899E-3</v>
      </c>
      <c r="J238" s="77"/>
      <c r="K238" s="77"/>
    </row>
    <row r="239" spans="1:11" ht="16">
      <c r="A239" s="132">
        <v>41947</v>
      </c>
      <c r="B239" s="79">
        <v>4.93</v>
      </c>
      <c r="G239" s="81">
        <v>41951</v>
      </c>
      <c r="H239" s="82">
        <v>253.73</v>
      </c>
      <c r="I239" s="236">
        <f t="shared" si="4"/>
        <v>-1.6054601155621073E-2</v>
      </c>
      <c r="J239" s="77"/>
      <c r="K239" s="77"/>
    </row>
    <row r="240" spans="1:11" ht="16">
      <c r="A240" s="132">
        <v>41948</v>
      </c>
      <c r="B240" s="79">
        <v>4.93</v>
      </c>
      <c r="G240" s="81">
        <v>41954</v>
      </c>
      <c r="H240" s="82">
        <v>251</v>
      </c>
      <c r="I240" s="236">
        <f t="shared" si="4"/>
        <v>-1.0759468726599053E-2</v>
      </c>
      <c r="J240" s="77"/>
      <c r="K240" s="77"/>
    </row>
    <row r="241" spans="1:11" ht="16">
      <c r="A241" s="132">
        <v>41949</v>
      </c>
      <c r="B241" s="79">
        <v>4.92</v>
      </c>
      <c r="G241" s="81">
        <v>41955</v>
      </c>
      <c r="H241" s="82">
        <v>251.24</v>
      </c>
      <c r="I241" s="236">
        <f t="shared" si="4"/>
        <v>9.5617529880476226E-4</v>
      </c>
      <c r="J241" s="77"/>
      <c r="K241" s="77"/>
    </row>
    <row r="242" spans="1:11" ht="16">
      <c r="A242" s="132">
        <v>41950</v>
      </c>
      <c r="B242" s="79">
        <v>4.95</v>
      </c>
      <c r="G242" s="81">
        <v>41956</v>
      </c>
      <c r="H242" s="82">
        <v>252.22</v>
      </c>
      <c r="I242" s="236">
        <f t="shared" si="4"/>
        <v>3.9006527622988951E-3</v>
      </c>
      <c r="J242" s="77"/>
      <c r="K242" s="77"/>
    </row>
    <row r="243" spans="1:11" ht="16">
      <c r="A243" s="132">
        <v>41951</v>
      </c>
      <c r="B243" s="79">
        <v>4.96</v>
      </c>
      <c r="G243" s="81">
        <v>41957</v>
      </c>
      <c r="H243" s="82">
        <v>255.27</v>
      </c>
      <c r="I243" s="236">
        <f t="shared" si="4"/>
        <v>1.2092617556101803E-2</v>
      </c>
      <c r="J243" s="77"/>
      <c r="K243" s="77"/>
    </row>
    <row r="244" spans="1:11" ht="16">
      <c r="A244" s="132">
        <v>41954</v>
      </c>
      <c r="B244" s="79">
        <v>4.96</v>
      </c>
      <c r="G244" s="81">
        <v>41958</v>
      </c>
      <c r="H244" s="82">
        <v>256.94</v>
      </c>
      <c r="I244" s="236">
        <f t="shared" si="4"/>
        <v>6.5420926861754491E-3</v>
      </c>
      <c r="J244" s="77"/>
      <c r="K244" s="77"/>
    </row>
    <row r="245" spans="1:11" ht="16">
      <c r="A245" s="132">
        <v>41955</v>
      </c>
      <c r="B245" s="79">
        <v>4.97</v>
      </c>
      <c r="G245" s="81">
        <v>41961</v>
      </c>
      <c r="H245" s="82">
        <v>257.48</v>
      </c>
      <c r="I245" s="236">
        <f t="shared" si="4"/>
        <v>2.1016579746244712E-3</v>
      </c>
      <c r="J245" s="77"/>
      <c r="K245" s="77"/>
    </row>
    <row r="246" spans="1:11" ht="16">
      <c r="A246" s="132">
        <v>41956</v>
      </c>
      <c r="B246" s="79">
        <v>4.97</v>
      </c>
      <c r="G246" s="81">
        <v>41962</v>
      </c>
      <c r="H246" s="82">
        <v>253.56</v>
      </c>
      <c r="I246" s="236">
        <f t="shared" si="4"/>
        <v>-1.5224483455025695E-2</v>
      </c>
      <c r="J246" s="77"/>
      <c r="K246" s="77"/>
    </row>
    <row r="247" spans="1:11" ht="16">
      <c r="A247" s="132">
        <v>41957</v>
      </c>
      <c r="B247" s="79">
        <v>4.9800000000000004</v>
      </c>
      <c r="G247" s="81">
        <v>41963</v>
      </c>
      <c r="H247" s="82">
        <v>254.73</v>
      </c>
      <c r="I247" s="236">
        <f t="shared" si="4"/>
        <v>4.6142924751537695E-3</v>
      </c>
      <c r="J247" s="77"/>
      <c r="K247" s="77"/>
    </row>
    <row r="248" spans="1:11" ht="16">
      <c r="A248" s="132">
        <v>41958</v>
      </c>
      <c r="B248" s="79">
        <v>4.9800000000000004</v>
      </c>
      <c r="G248" s="81">
        <v>41964</v>
      </c>
      <c r="H248" s="82">
        <v>254.85</v>
      </c>
      <c r="I248" s="236">
        <f t="shared" si="4"/>
        <v>4.7108703332932045E-4</v>
      </c>
      <c r="J248" s="77"/>
      <c r="K248" s="77"/>
    </row>
    <row r="249" spans="1:11" ht="16">
      <c r="A249" s="132">
        <v>41961</v>
      </c>
      <c r="B249" s="79">
        <v>4.9800000000000004</v>
      </c>
      <c r="G249" s="81">
        <v>41965</v>
      </c>
      <c r="H249" s="82">
        <v>253.18</v>
      </c>
      <c r="I249" s="236">
        <f t="shared" si="4"/>
        <v>-6.5528742397488182E-3</v>
      </c>
      <c r="J249" s="77"/>
      <c r="K249" s="77"/>
    </row>
    <row r="250" spans="1:11" ht="16">
      <c r="A250" s="132">
        <v>41962</v>
      </c>
      <c r="B250" s="79">
        <v>5.0199999999999996</v>
      </c>
      <c r="G250" s="81">
        <v>41968</v>
      </c>
      <c r="H250" s="82">
        <v>254.75</v>
      </c>
      <c r="I250" s="236">
        <f t="shared" si="4"/>
        <v>6.2011217315742773E-3</v>
      </c>
      <c r="J250" s="77"/>
      <c r="K250" s="77"/>
    </row>
    <row r="251" spans="1:11" ht="16">
      <c r="A251" s="132">
        <v>41963</v>
      </c>
      <c r="B251" s="79">
        <v>5.03</v>
      </c>
      <c r="G251" s="81">
        <v>41969</v>
      </c>
      <c r="H251" s="82">
        <v>255.45</v>
      </c>
      <c r="I251" s="236">
        <f t="shared" si="4"/>
        <v>2.7477919528948735E-3</v>
      </c>
      <c r="J251" s="77"/>
      <c r="K251" s="77"/>
    </row>
    <row r="252" spans="1:11" ht="16">
      <c r="A252" s="132">
        <v>41964</v>
      </c>
      <c r="B252" s="79">
        <v>5.03</v>
      </c>
      <c r="G252" s="81">
        <v>41970</v>
      </c>
      <c r="H252" s="82">
        <v>258.45</v>
      </c>
      <c r="I252" s="236">
        <f t="shared" si="4"/>
        <v>1.174398120963005E-2</v>
      </c>
      <c r="J252" s="77"/>
      <c r="K252" s="77"/>
    </row>
    <row r="253" spans="1:11" ht="16">
      <c r="A253" s="132">
        <v>41965</v>
      </c>
      <c r="B253" s="79">
        <v>5.03</v>
      </c>
      <c r="G253" s="81">
        <v>41971</v>
      </c>
      <c r="H253" s="82">
        <v>260.19</v>
      </c>
      <c r="I253" s="236">
        <f t="shared" si="4"/>
        <v>6.7324434126523336E-3</v>
      </c>
      <c r="J253" s="77"/>
      <c r="K253" s="77"/>
    </row>
    <row r="254" spans="1:11" ht="16">
      <c r="A254" s="132">
        <v>41968</v>
      </c>
      <c r="B254" s="79">
        <v>5.05</v>
      </c>
      <c r="G254" s="81">
        <v>41972</v>
      </c>
      <c r="H254" s="82">
        <v>259.87</v>
      </c>
      <c r="I254" s="236">
        <f t="shared" si="4"/>
        <v>-1.2298704792651494E-3</v>
      </c>
      <c r="J254" s="77"/>
      <c r="K254" s="77"/>
    </row>
    <row r="255" spans="1:11" ht="16">
      <c r="A255" s="132">
        <v>41969</v>
      </c>
      <c r="B255" s="79">
        <v>5.07</v>
      </c>
      <c r="G255" s="81">
        <v>41975</v>
      </c>
      <c r="H255" s="82">
        <v>264.88</v>
      </c>
      <c r="I255" s="236">
        <f t="shared" si="4"/>
        <v>1.9278870204332943E-2</v>
      </c>
      <c r="J255" s="77"/>
      <c r="K255" s="77"/>
    </row>
    <row r="256" spans="1:11" ht="16">
      <c r="A256" s="132">
        <v>41970</v>
      </c>
      <c r="B256" s="79">
        <v>5.07</v>
      </c>
      <c r="G256" s="81">
        <v>41976</v>
      </c>
      <c r="H256" s="82">
        <v>264.14999999999998</v>
      </c>
      <c r="I256" s="236">
        <f t="shared" si="4"/>
        <v>-2.7559649652673102E-3</v>
      </c>
      <c r="J256" s="77"/>
      <c r="K256" s="77"/>
    </row>
    <row r="257" spans="1:11" ht="16">
      <c r="A257" s="132">
        <v>41971</v>
      </c>
      <c r="B257" s="79">
        <v>5.0199999999999996</v>
      </c>
      <c r="G257" s="81">
        <v>41977</v>
      </c>
      <c r="H257" s="82">
        <v>261.27</v>
      </c>
      <c r="I257" s="236">
        <f t="shared" si="4"/>
        <v>-1.0902896081771751E-2</v>
      </c>
      <c r="J257" s="77"/>
      <c r="K257" s="77"/>
    </row>
    <row r="258" spans="1:11" ht="16">
      <c r="A258" s="132">
        <v>41972</v>
      </c>
      <c r="B258" s="79">
        <v>5.07</v>
      </c>
      <c r="G258" s="81">
        <v>41978</v>
      </c>
      <c r="H258" s="82">
        <v>255.46</v>
      </c>
      <c r="I258" s="236">
        <f t="shared" si="4"/>
        <v>-2.223753205496215E-2</v>
      </c>
      <c r="J258" s="77"/>
      <c r="K258" s="77"/>
    </row>
    <row r="259" spans="1:11" ht="16">
      <c r="A259" s="132">
        <v>41975</v>
      </c>
      <c r="B259" s="79">
        <v>5.0199999999999996</v>
      </c>
      <c r="G259" s="81">
        <v>41979</v>
      </c>
      <c r="H259" s="82">
        <v>256.07</v>
      </c>
      <c r="I259" s="236">
        <f t="shared" si="4"/>
        <v>2.3878493697642167E-3</v>
      </c>
      <c r="J259" s="77"/>
      <c r="K259" s="77"/>
    </row>
    <row r="260" spans="1:11" ht="16">
      <c r="A260" s="132">
        <v>41976</v>
      </c>
      <c r="B260" s="79">
        <v>5</v>
      </c>
      <c r="G260" s="81">
        <v>41982</v>
      </c>
      <c r="H260" s="82">
        <v>251.09</v>
      </c>
      <c r="I260" s="236">
        <f t="shared" si="4"/>
        <v>-1.9447807240207671E-2</v>
      </c>
      <c r="J260" s="77"/>
      <c r="K260" s="77"/>
    </row>
    <row r="261" spans="1:11" ht="16">
      <c r="A261" s="132">
        <v>41977</v>
      </c>
      <c r="B261" s="79">
        <v>5.01</v>
      </c>
      <c r="G261" s="81">
        <v>41983</v>
      </c>
      <c r="H261" s="82">
        <v>251.83</v>
      </c>
      <c r="I261" s="236">
        <f t="shared" si="4"/>
        <v>2.947150424150724E-3</v>
      </c>
      <c r="J261" s="77"/>
      <c r="K261" s="77"/>
    </row>
    <row r="262" spans="1:11" ht="16">
      <c r="A262" s="132">
        <v>41978</v>
      </c>
      <c r="B262" s="79">
        <v>5.01</v>
      </c>
      <c r="G262" s="81">
        <v>41984</v>
      </c>
      <c r="H262" s="82">
        <v>255.38</v>
      </c>
      <c r="I262" s="236">
        <f t="shared" si="4"/>
        <v>1.4096811340983839E-2</v>
      </c>
      <c r="J262" s="77"/>
      <c r="K262" s="77"/>
    </row>
    <row r="263" spans="1:11" ht="16">
      <c r="A263" s="132">
        <v>41979</v>
      </c>
      <c r="B263" s="79">
        <v>4.99</v>
      </c>
      <c r="G263" s="81">
        <v>41985</v>
      </c>
      <c r="H263" s="82">
        <v>256.95999999999998</v>
      </c>
      <c r="I263" s="236">
        <f t="shared" si="4"/>
        <v>6.1868587986528834E-3</v>
      </c>
      <c r="J263" s="77"/>
      <c r="K263" s="77"/>
    </row>
    <row r="264" spans="1:11" ht="16">
      <c r="A264" s="132">
        <v>41982</v>
      </c>
      <c r="B264" s="79">
        <v>4.99</v>
      </c>
      <c r="G264" s="81">
        <v>41986</v>
      </c>
      <c r="H264" s="82">
        <v>254.06</v>
      </c>
      <c r="I264" s="236">
        <f t="shared" si="4"/>
        <v>-1.1285803237857994E-2</v>
      </c>
      <c r="J264" s="77"/>
      <c r="K264" s="77"/>
    </row>
    <row r="265" spans="1:11" ht="16">
      <c r="A265" s="132">
        <v>41983</v>
      </c>
      <c r="B265" s="79">
        <v>4.99</v>
      </c>
      <c r="G265" s="81">
        <v>41989</v>
      </c>
      <c r="H265" s="82">
        <v>252.85</v>
      </c>
      <c r="I265" s="236">
        <f t="shared" si="4"/>
        <v>-4.7626544910651658E-3</v>
      </c>
      <c r="J265" s="77"/>
      <c r="K265" s="77"/>
    </row>
    <row r="266" spans="1:11" ht="16">
      <c r="A266" s="132">
        <v>41984</v>
      </c>
      <c r="B266" s="79">
        <v>4.9800000000000004</v>
      </c>
      <c r="G266" s="81">
        <v>41990</v>
      </c>
      <c r="H266" s="82">
        <v>251.73</v>
      </c>
      <c r="I266" s="236">
        <f t="shared" si="4"/>
        <v>-4.4295036582954195E-3</v>
      </c>
      <c r="J266" s="77"/>
      <c r="K266" s="77"/>
    </row>
    <row r="267" spans="1:11" ht="16">
      <c r="A267" s="132">
        <v>41985</v>
      </c>
      <c r="B267" s="79">
        <v>4.97</v>
      </c>
      <c r="G267" s="81">
        <v>41991</v>
      </c>
      <c r="H267" s="82">
        <v>252.69</v>
      </c>
      <c r="I267" s="236">
        <f t="shared" si="4"/>
        <v>3.813609820045416E-3</v>
      </c>
      <c r="J267" s="77"/>
      <c r="K267" s="77"/>
    </row>
    <row r="268" spans="1:11" ht="16">
      <c r="A268" s="132">
        <v>41986</v>
      </c>
      <c r="B268" s="79">
        <v>4.96</v>
      </c>
      <c r="G268" s="81">
        <v>41992</v>
      </c>
      <c r="H268" s="82">
        <v>251.11</v>
      </c>
      <c r="I268" s="236">
        <f t="shared" si="4"/>
        <v>-6.2527207249989392E-3</v>
      </c>
      <c r="J268" s="77"/>
      <c r="K268" s="77"/>
    </row>
    <row r="269" spans="1:11" ht="16">
      <c r="A269" s="132">
        <v>41989</v>
      </c>
      <c r="B269" s="79">
        <v>4.93</v>
      </c>
      <c r="G269" s="81">
        <v>41993</v>
      </c>
      <c r="H269" s="82">
        <v>249.83</v>
      </c>
      <c r="I269" s="236">
        <f t="shared" si="4"/>
        <v>-5.0973676874676022E-3</v>
      </c>
      <c r="J269" s="77"/>
      <c r="K269" s="77"/>
    </row>
    <row r="270" spans="1:11" ht="16">
      <c r="A270" s="132">
        <v>41990</v>
      </c>
      <c r="B270" s="79">
        <v>4.92</v>
      </c>
      <c r="G270" s="81">
        <v>41996</v>
      </c>
      <c r="H270" s="82">
        <v>248.75</v>
      </c>
      <c r="I270" s="236">
        <f t="shared" si="4"/>
        <v>-4.3229395989272668E-3</v>
      </c>
      <c r="J270" s="77"/>
      <c r="K270" s="77"/>
    </row>
    <row r="271" spans="1:11" ht="16">
      <c r="A271" s="132">
        <v>41991</v>
      </c>
      <c r="B271" s="79">
        <v>4.92</v>
      </c>
      <c r="G271" s="81">
        <v>41997</v>
      </c>
      <c r="H271" s="82">
        <v>247.97</v>
      </c>
      <c r="I271" s="236">
        <f t="shared" si="4"/>
        <v>-3.1356783919598286E-3</v>
      </c>
      <c r="J271" s="77"/>
      <c r="K271" s="77"/>
    </row>
    <row r="272" spans="1:11" ht="16">
      <c r="A272" s="132">
        <v>41992</v>
      </c>
      <c r="B272" s="79">
        <v>4.92</v>
      </c>
      <c r="G272" s="81">
        <v>41998</v>
      </c>
      <c r="H272" s="82">
        <v>248.35</v>
      </c>
      <c r="I272" s="236">
        <f t="shared" ref="I272:I335" si="5">H272/H271-1</f>
        <v>1.5324434407388843E-3</v>
      </c>
      <c r="J272" s="77"/>
      <c r="K272" s="77"/>
    </row>
    <row r="273" spans="1:11" ht="16">
      <c r="A273" s="132">
        <v>41993</v>
      </c>
      <c r="B273" s="79">
        <v>4.95</v>
      </c>
      <c r="G273" s="81">
        <v>41999</v>
      </c>
      <c r="H273" s="82">
        <v>248.88</v>
      </c>
      <c r="I273" s="236">
        <f t="shared" si="5"/>
        <v>2.1340849607409673E-3</v>
      </c>
      <c r="J273" s="77"/>
      <c r="K273" s="77"/>
    </row>
    <row r="274" spans="1:11" ht="16">
      <c r="A274" s="132">
        <v>41996</v>
      </c>
      <c r="B274" s="79">
        <v>4.9400000000000004</v>
      </c>
      <c r="G274" s="81">
        <v>42000</v>
      </c>
      <c r="H274" s="82">
        <v>251.56</v>
      </c>
      <c r="I274" s="236">
        <f t="shared" si="5"/>
        <v>1.0768241722918681E-2</v>
      </c>
      <c r="J274" s="77"/>
      <c r="K274" s="77"/>
    </row>
    <row r="275" spans="1:11" ht="16">
      <c r="A275" s="132">
        <v>41997</v>
      </c>
      <c r="B275" s="209">
        <v>4.9400000000000004</v>
      </c>
      <c r="G275" s="81">
        <v>42003</v>
      </c>
      <c r="H275" s="82">
        <v>252.6</v>
      </c>
      <c r="I275" s="236">
        <f t="shared" si="5"/>
        <v>4.1342025759261158E-3</v>
      </c>
      <c r="J275" s="77"/>
      <c r="K275" s="77"/>
    </row>
    <row r="276" spans="1:11" ht="16">
      <c r="A276" s="132">
        <v>41998</v>
      </c>
      <c r="B276" s="79">
        <v>4.93</v>
      </c>
      <c r="G276" s="81">
        <v>42004</v>
      </c>
      <c r="H276" s="82">
        <v>252.74</v>
      </c>
      <c r="I276" s="236">
        <f t="shared" si="5"/>
        <v>5.5423594615988669E-4</v>
      </c>
      <c r="J276" s="77"/>
      <c r="K276" s="77"/>
    </row>
    <row r="277" spans="1:11" ht="16">
      <c r="A277" s="132">
        <v>41999</v>
      </c>
      <c r="B277" s="79">
        <v>4.93</v>
      </c>
      <c r="G277" s="81">
        <v>42005</v>
      </c>
      <c r="H277" s="82">
        <v>250.55</v>
      </c>
      <c r="I277" s="236">
        <f t="shared" si="5"/>
        <v>-8.6650312574186872E-3</v>
      </c>
      <c r="J277" s="77"/>
      <c r="K277" s="77"/>
    </row>
    <row r="278" spans="1:11" ht="16">
      <c r="A278" s="132">
        <v>42000</v>
      </c>
      <c r="B278" s="79">
        <v>4.92</v>
      </c>
      <c r="G278" s="81">
        <v>42006</v>
      </c>
      <c r="H278" s="82">
        <v>249.51</v>
      </c>
      <c r="I278" s="236">
        <f t="shared" si="5"/>
        <v>-4.1508680902015982E-3</v>
      </c>
      <c r="J278" s="77"/>
      <c r="K278" s="77"/>
    </row>
    <row r="279" spans="1:11" ht="16">
      <c r="A279" s="132">
        <v>42003</v>
      </c>
      <c r="B279" s="79">
        <v>4.92</v>
      </c>
      <c r="G279" s="81">
        <v>42007</v>
      </c>
      <c r="H279" s="82">
        <v>253.63</v>
      </c>
      <c r="I279" s="236">
        <f t="shared" si="5"/>
        <v>1.6512364233898458E-2</v>
      </c>
      <c r="J279" s="77"/>
      <c r="K279" s="77"/>
    </row>
    <row r="280" spans="1:11" ht="16">
      <c r="A280" s="132">
        <v>42004</v>
      </c>
      <c r="B280" s="209">
        <v>4.92</v>
      </c>
      <c r="G280" s="81">
        <v>42010</v>
      </c>
      <c r="H280" s="82">
        <v>256.58999999999997</v>
      </c>
      <c r="I280" s="236">
        <f t="shared" si="5"/>
        <v>1.167054370539744E-2</v>
      </c>
      <c r="J280" s="77"/>
      <c r="K280" s="77"/>
    </row>
    <row r="281" spans="1:11" ht="16">
      <c r="A281" s="132">
        <v>42005</v>
      </c>
      <c r="B281" s="79">
        <v>4.9000000000000004</v>
      </c>
      <c r="G281" s="81">
        <v>42011</v>
      </c>
      <c r="H281" s="82">
        <v>256.27</v>
      </c>
      <c r="I281" s="236">
        <f t="shared" si="5"/>
        <v>-1.2471257648388745E-3</v>
      </c>
      <c r="J281" s="77"/>
      <c r="K281" s="77"/>
    </row>
    <row r="282" spans="1:11" ht="16">
      <c r="A282" s="132">
        <v>42006</v>
      </c>
      <c r="B282" s="79">
        <v>4.8499999999999996</v>
      </c>
      <c r="G282" s="81">
        <v>42012</v>
      </c>
      <c r="H282" s="82">
        <v>260.38</v>
      </c>
      <c r="I282" s="236">
        <f t="shared" si="5"/>
        <v>1.6037772661646077E-2</v>
      </c>
      <c r="J282" s="77"/>
      <c r="K282" s="77"/>
    </row>
    <row r="283" spans="1:11" ht="16">
      <c r="A283" s="132">
        <v>42007</v>
      </c>
      <c r="B283" s="79">
        <v>4.82</v>
      </c>
      <c r="G283" s="81">
        <v>42013</v>
      </c>
      <c r="H283" s="82">
        <v>261.42</v>
      </c>
      <c r="I283" s="236">
        <f t="shared" si="5"/>
        <v>3.9941623780628266E-3</v>
      </c>
      <c r="J283" s="77"/>
      <c r="K283" s="77"/>
    </row>
    <row r="284" spans="1:11" ht="16">
      <c r="A284" s="132">
        <v>42010</v>
      </c>
      <c r="B284" s="79">
        <v>4.8</v>
      </c>
      <c r="G284" s="81">
        <v>42014</v>
      </c>
      <c r="H284" s="82">
        <v>261.73</v>
      </c>
      <c r="I284" s="236">
        <f t="shared" si="5"/>
        <v>1.1858312294392714E-3</v>
      </c>
      <c r="J284" s="77"/>
      <c r="K284" s="77"/>
    </row>
    <row r="285" spans="1:11" ht="16">
      <c r="A285" s="132">
        <v>42011</v>
      </c>
      <c r="B285" s="79">
        <v>4.8099999999999996</v>
      </c>
      <c r="G285" s="81">
        <v>42017</v>
      </c>
      <c r="H285" s="82">
        <v>259.89</v>
      </c>
      <c r="I285" s="236">
        <f t="shared" si="5"/>
        <v>-7.0301455698621451E-3</v>
      </c>
      <c r="J285" s="77"/>
      <c r="K285" s="77"/>
    </row>
    <row r="286" spans="1:11" ht="16">
      <c r="A286" s="132">
        <v>42012</v>
      </c>
      <c r="B286" s="79">
        <v>4.79</v>
      </c>
      <c r="G286" s="81">
        <v>42018</v>
      </c>
      <c r="H286" s="82">
        <v>262.45999999999998</v>
      </c>
      <c r="I286" s="236">
        <f t="shared" si="5"/>
        <v>9.8887991073146608E-3</v>
      </c>
      <c r="J286" s="77"/>
      <c r="K286" s="77"/>
    </row>
    <row r="287" spans="1:11" ht="16">
      <c r="A287" s="132">
        <v>42013</v>
      </c>
      <c r="B287" s="79">
        <v>4.78</v>
      </c>
      <c r="G287" s="81">
        <v>42019</v>
      </c>
      <c r="H287" s="82">
        <v>263.41000000000003</v>
      </c>
      <c r="I287" s="236">
        <f t="shared" si="5"/>
        <v>3.6195991770175961E-3</v>
      </c>
      <c r="J287" s="77"/>
      <c r="K287" s="77"/>
    </row>
    <row r="288" spans="1:11" ht="16">
      <c r="A288" s="132">
        <v>42014</v>
      </c>
      <c r="B288" s="79">
        <v>4.78</v>
      </c>
      <c r="G288" s="81">
        <v>42020</v>
      </c>
      <c r="H288" s="82">
        <v>263.2</v>
      </c>
      <c r="I288" s="236">
        <f t="shared" si="5"/>
        <v>-7.9723624767491508E-4</v>
      </c>
      <c r="J288" s="77"/>
      <c r="K288" s="77"/>
    </row>
    <row r="289" spans="1:11" ht="16">
      <c r="A289" s="132">
        <v>42017</v>
      </c>
      <c r="B289" s="79">
        <v>4.7699999999999996</v>
      </c>
      <c r="G289" s="81">
        <v>42021</v>
      </c>
      <c r="H289" s="82">
        <v>265.39</v>
      </c>
      <c r="I289" s="236">
        <f t="shared" si="5"/>
        <v>8.3206686930090701E-3</v>
      </c>
      <c r="J289" s="77"/>
      <c r="K289" s="77"/>
    </row>
    <row r="290" spans="1:11" ht="16">
      <c r="A290" s="132">
        <v>42018</v>
      </c>
      <c r="B290" s="79">
        <v>4.75</v>
      </c>
      <c r="G290" s="81">
        <v>42024</v>
      </c>
      <c r="H290" s="82">
        <v>265.61</v>
      </c>
      <c r="I290" s="236">
        <f t="shared" si="5"/>
        <v>8.2896868759196884E-4</v>
      </c>
      <c r="J290" s="77"/>
      <c r="K290" s="77"/>
    </row>
    <row r="291" spans="1:11" ht="16">
      <c r="A291" s="132">
        <v>42019</v>
      </c>
      <c r="B291" s="79">
        <v>4.7300000000000004</v>
      </c>
      <c r="G291" s="81">
        <v>42025</v>
      </c>
      <c r="H291" s="82">
        <v>263.61</v>
      </c>
      <c r="I291" s="236">
        <f t="shared" si="5"/>
        <v>-7.5298369790294251E-3</v>
      </c>
      <c r="J291" s="77"/>
      <c r="K291" s="77"/>
    </row>
    <row r="292" spans="1:11" ht="16">
      <c r="A292" s="132">
        <v>42020</v>
      </c>
      <c r="B292" s="79">
        <v>4.7</v>
      </c>
      <c r="G292" s="81">
        <v>42026</v>
      </c>
      <c r="H292" s="82">
        <v>263.86</v>
      </c>
      <c r="I292" s="236">
        <f t="shared" si="5"/>
        <v>9.4837069913888961E-4</v>
      </c>
      <c r="J292" s="77"/>
      <c r="K292" s="77"/>
    </row>
    <row r="293" spans="1:11" ht="16">
      <c r="A293" s="132">
        <v>42021</v>
      </c>
      <c r="B293" s="79">
        <v>4.6900000000000004</v>
      </c>
      <c r="G293" s="81">
        <v>42027</v>
      </c>
      <c r="H293" s="82">
        <v>265.69</v>
      </c>
      <c r="I293" s="236">
        <f t="shared" si="5"/>
        <v>6.9354960964147505E-3</v>
      </c>
      <c r="J293" s="77"/>
      <c r="K293" s="77"/>
    </row>
    <row r="294" spans="1:11" ht="16">
      <c r="A294" s="132">
        <v>42024</v>
      </c>
      <c r="B294" s="79">
        <v>4.6900000000000004</v>
      </c>
      <c r="G294" s="81">
        <v>42028</v>
      </c>
      <c r="H294" s="82">
        <v>268.05</v>
      </c>
      <c r="I294" s="236">
        <f t="shared" si="5"/>
        <v>8.8825322744552349E-3</v>
      </c>
      <c r="J294" s="77"/>
      <c r="K294" s="77"/>
    </row>
    <row r="295" spans="1:11" ht="16">
      <c r="A295" s="132">
        <v>42025</v>
      </c>
      <c r="B295" s="79">
        <v>4.67</v>
      </c>
      <c r="G295" s="81">
        <v>42031</v>
      </c>
      <c r="H295" s="82">
        <v>266.67</v>
      </c>
      <c r="I295" s="236">
        <f t="shared" si="5"/>
        <v>-5.1482932288752226E-3</v>
      </c>
      <c r="J295" s="77"/>
      <c r="K295" s="77"/>
    </row>
    <row r="296" spans="1:11" ht="16">
      <c r="A296" s="132">
        <v>42026</v>
      </c>
      <c r="B296" s="79">
        <v>4.6500000000000004</v>
      </c>
      <c r="G296" s="81">
        <v>42032</v>
      </c>
      <c r="H296" s="82">
        <v>266.91000000000003</v>
      </c>
      <c r="I296" s="236">
        <f t="shared" si="5"/>
        <v>8.9998875014063451E-4</v>
      </c>
      <c r="J296" s="77"/>
      <c r="K296" s="77"/>
    </row>
    <row r="297" spans="1:11" ht="16">
      <c r="A297" s="132">
        <v>42027</v>
      </c>
      <c r="B297" s="79">
        <v>4.62</v>
      </c>
      <c r="G297" s="81">
        <v>42033</v>
      </c>
      <c r="H297" s="82">
        <v>268.29000000000002</v>
      </c>
      <c r="I297" s="236">
        <f t="shared" si="5"/>
        <v>5.1702821175676483E-3</v>
      </c>
      <c r="J297" s="77"/>
      <c r="K297" s="77"/>
    </row>
    <row r="298" spans="1:11" ht="16">
      <c r="A298" s="132">
        <v>42028</v>
      </c>
      <c r="B298" s="79">
        <v>4.62</v>
      </c>
      <c r="G298" s="81">
        <v>42034</v>
      </c>
      <c r="H298" s="82">
        <v>272.08999999999997</v>
      </c>
      <c r="I298" s="236">
        <f t="shared" si="5"/>
        <v>1.4163778001416105E-2</v>
      </c>
      <c r="J298" s="77"/>
      <c r="K298" s="77"/>
    </row>
    <row r="299" spans="1:11" ht="16">
      <c r="A299" s="132">
        <v>42031</v>
      </c>
      <c r="B299" s="79">
        <v>4.5999999999999996</v>
      </c>
      <c r="G299" s="81">
        <v>42035</v>
      </c>
      <c r="H299" s="82">
        <v>272.5</v>
      </c>
      <c r="I299" s="236">
        <f t="shared" si="5"/>
        <v>1.5068543496639109E-3</v>
      </c>
      <c r="J299" s="77"/>
      <c r="K299" s="77"/>
    </row>
    <row r="300" spans="1:11" ht="16">
      <c r="A300" s="132">
        <v>42032</v>
      </c>
      <c r="B300" s="79">
        <v>4.6100000000000003</v>
      </c>
      <c r="G300" s="81">
        <v>42038</v>
      </c>
      <c r="H300" s="82">
        <v>271.94</v>
      </c>
      <c r="I300" s="236">
        <f t="shared" si="5"/>
        <v>-2.0550458715596909E-3</v>
      </c>
      <c r="J300" s="77"/>
      <c r="K300" s="77"/>
    </row>
    <row r="301" spans="1:11" ht="16">
      <c r="A301" s="132">
        <v>42033</v>
      </c>
      <c r="B301" s="79">
        <v>4.62</v>
      </c>
      <c r="G301" s="81">
        <v>42039</v>
      </c>
      <c r="H301" s="82">
        <v>272.94</v>
      </c>
      <c r="I301" s="236">
        <f t="shared" si="5"/>
        <v>3.6772817533279323E-3</v>
      </c>
      <c r="J301" s="77"/>
      <c r="K301" s="77"/>
    </row>
    <row r="302" spans="1:11" ht="16">
      <c r="A302" s="132">
        <v>42034</v>
      </c>
      <c r="B302" s="79">
        <v>4.58</v>
      </c>
      <c r="G302" s="81">
        <v>42040</v>
      </c>
      <c r="H302" s="82">
        <v>272.06</v>
      </c>
      <c r="I302" s="236">
        <f t="shared" si="5"/>
        <v>-3.2241518282406512E-3</v>
      </c>
      <c r="J302" s="77"/>
      <c r="K302" s="77"/>
    </row>
    <row r="303" spans="1:11" ht="16">
      <c r="A303" s="132">
        <v>42035</v>
      </c>
      <c r="B303" s="79">
        <v>4.55</v>
      </c>
      <c r="G303" s="81">
        <v>42041</v>
      </c>
      <c r="H303" s="82">
        <v>270.48</v>
      </c>
      <c r="I303" s="236">
        <f t="shared" si="5"/>
        <v>-5.8075424538703846E-3</v>
      </c>
      <c r="J303" s="77"/>
      <c r="K303" s="77"/>
    </row>
    <row r="304" spans="1:11" ht="16">
      <c r="A304" s="132">
        <v>42038</v>
      </c>
      <c r="B304" s="79">
        <v>4.5599999999999996</v>
      </c>
      <c r="G304" s="81">
        <v>42042</v>
      </c>
      <c r="H304" s="82">
        <v>269.61</v>
      </c>
      <c r="I304" s="236">
        <f t="shared" si="5"/>
        <v>-3.2165039929015204E-3</v>
      </c>
      <c r="J304" s="77"/>
      <c r="K304" s="77"/>
    </row>
    <row r="305" spans="1:11" ht="16">
      <c r="A305" s="132">
        <v>42039</v>
      </c>
      <c r="B305" s="79">
        <v>4.53</v>
      </c>
      <c r="G305" s="81">
        <v>42045</v>
      </c>
      <c r="H305" s="82">
        <v>269.19</v>
      </c>
      <c r="I305" s="236">
        <f t="shared" si="5"/>
        <v>-1.5578057193724737E-3</v>
      </c>
      <c r="J305" s="77"/>
      <c r="K305" s="77"/>
    </row>
    <row r="306" spans="1:11" ht="16">
      <c r="A306" s="132">
        <v>42040</v>
      </c>
      <c r="B306" s="79">
        <v>4.5199999999999996</v>
      </c>
      <c r="G306" s="81">
        <v>42046</v>
      </c>
      <c r="H306" s="82">
        <v>270.82</v>
      </c>
      <c r="I306" s="236">
        <f t="shared" si="5"/>
        <v>6.0552026449718355E-3</v>
      </c>
      <c r="J306" s="77"/>
      <c r="K306" s="77"/>
    </row>
    <row r="307" spans="1:11" ht="16">
      <c r="A307" s="132">
        <v>42041</v>
      </c>
      <c r="B307" s="79">
        <v>4.53</v>
      </c>
      <c r="G307" s="81">
        <v>42047</v>
      </c>
      <c r="H307" s="82">
        <v>270.64</v>
      </c>
      <c r="I307" s="236">
        <f t="shared" si="5"/>
        <v>-6.6464810575295186E-4</v>
      </c>
      <c r="J307" s="77"/>
      <c r="K307" s="77"/>
    </row>
    <row r="308" spans="1:11" ht="16">
      <c r="A308" s="132">
        <v>42042</v>
      </c>
      <c r="B308" s="79">
        <v>4.5199999999999996</v>
      </c>
      <c r="G308" s="81">
        <v>42048</v>
      </c>
      <c r="H308" s="82">
        <v>269.57</v>
      </c>
      <c r="I308" s="236">
        <f t="shared" si="5"/>
        <v>-3.953591486845931E-3</v>
      </c>
      <c r="J308" s="77"/>
      <c r="K308" s="77"/>
    </row>
    <row r="309" spans="1:11" ht="16">
      <c r="A309" s="132">
        <v>42045</v>
      </c>
      <c r="B309" s="79">
        <v>4.5199999999999996</v>
      </c>
      <c r="G309" s="81">
        <v>42049</v>
      </c>
      <c r="H309" s="82">
        <v>267.95999999999998</v>
      </c>
      <c r="I309" s="236">
        <f t="shared" si="5"/>
        <v>-5.9724746819008745E-3</v>
      </c>
      <c r="J309" s="77"/>
      <c r="K309" s="77"/>
    </row>
    <row r="310" spans="1:11" ht="16">
      <c r="A310" s="132">
        <v>42046</v>
      </c>
      <c r="B310" s="79">
        <v>4.5199999999999996</v>
      </c>
      <c r="G310" s="81">
        <v>42052</v>
      </c>
      <c r="H310" s="82">
        <v>269.2</v>
      </c>
      <c r="I310" s="236">
        <f t="shared" si="5"/>
        <v>4.6275563516942064E-3</v>
      </c>
      <c r="J310" s="77"/>
      <c r="K310" s="77"/>
    </row>
    <row r="311" spans="1:11" ht="16">
      <c r="A311" s="132">
        <v>42047</v>
      </c>
      <c r="B311" s="79">
        <v>4.53</v>
      </c>
      <c r="G311" s="81">
        <v>42053</v>
      </c>
      <c r="H311" s="82">
        <v>269.64999999999998</v>
      </c>
      <c r="I311" s="236">
        <f t="shared" si="5"/>
        <v>1.6716196136701278E-3</v>
      </c>
      <c r="J311" s="77"/>
      <c r="K311" s="77"/>
    </row>
    <row r="312" spans="1:11" ht="16">
      <c r="A312" s="132">
        <v>42048</v>
      </c>
      <c r="B312" s="79">
        <v>4.5199999999999996</v>
      </c>
      <c r="G312" s="81">
        <v>42054</v>
      </c>
      <c r="H312" s="82">
        <v>272.33999999999997</v>
      </c>
      <c r="I312" s="236">
        <f t="shared" si="5"/>
        <v>9.9758946782866342E-3</v>
      </c>
      <c r="J312" s="77"/>
      <c r="K312" s="77"/>
    </row>
    <row r="313" spans="1:11" ht="16">
      <c r="A313" s="132">
        <v>42049</v>
      </c>
      <c r="B313" s="79">
        <v>4.5</v>
      </c>
      <c r="G313" s="81">
        <v>42055</v>
      </c>
      <c r="H313" s="82">
        <v>272.91000000000003</v>
      </c>
      <c r="I313" s="236">
        <f t="shared" si="5"/>
        <v>2.0929720202689239E-3</v>
      </c>
      <c r="J313" s="77"/>
      <c r="K313" s="77"/>
    </row>
    <row r="314" spans="1:11" ht="16">
      <c r="A314" s="132">
        <v>42052</v>
      </c>
      <c r="B314" s="79">
        <v>4.5</v>
      </c>
      <c r="G314" s="81">
        <v>42056</v>
      </c>
      <c r="H314" s="82">
        <v>275.04000000000002</v>
      </c>
      <c r="I314" s="236">
        <f t="shared" si="5"/>
        <v>7.804770803561567E-3</v>
      </c>
      <c r="J314" s="77"/>
      <c r="K314" s="77"/>
    </row>
    <row r="315" spans="1:11" ht="16">
      <c r="A315" s="132">
        <v>42053</v>
      </c>
      <c r="B315" s="79">
        <v>4.49</v>
      </c>
      <c r="G315" s="81">
        <v>42059</v>
      </c>
      <c r="H315" s="82">
        <v>277.45999999999998</v>
      </c>
      <c r="I315" s="236">
        <f t="shared" si="5"/>
        <v>8.7987201861545739E-3</v>
      </c>
      <c r="J315" s="77"/>
      <c r="K315" s="77"/>
    </row>
    <row r="316" spans="1:11" ht="16">
      <c r="A316" s="132">
        <v>42054</v>
      </c>
      <c r="B316" s="79">
        <v>4.47</v>
      </c>
      <c r="G316" s="81">
        <v>42060</v>
      </c>
      <c r="H316" s="82">
        <v>276.58999999999997</v>
      </c>
      <c r="I316" s="236">
        <f t="shared" si="5"/>
        <v>-3.1355871116557354E-3</v>
      </c>
      <c r="J316" s="77"/>
      <c r="K316" s="77"/>
    </row>
    <row r="317" spans="1:11" ht="16">
      <c r="A317" s="132">
        <v>42055</v>
      </c>
      <c r="B317" s="79">
        <v>4.5</v>
      </c>
      <c r="G317" s="81">
        <v>42061</v>
      </c>
      <c r="H317" s="82">
        <v>275.52999999999997</v>
      </c>
      <c r="I317" s="236">
        <f t="shared" si="5"/>
        <v>-3.8323872880436927E-3</v>
      </c>
      <c r="J317" s="77"/>
      <c r="K317" s="77"/>
    </row>
    <row r="318" spans="1:11" ht="16">
      <c r="A318" s="132">
        <v>42056</v>
      </c>
      <c r="B318" s="79">
        <v>4.4800000000000004</v>
      </c>
      <c r="G318" s="81">
        <v>42062</v>
      </c>
      <c r="H318" s="82">
        <v>273.74</v>
      </c>
      <c r="I318" s="236">
        <f t="shared" si="5"/>
        <v>-6.4965702464340191E-3</v>
      </c>
      <c r="J318" s="77"/>
      <c r="K318" s="77"/>
    </row>
    <row r="319" spans="1:11" ht="16">
      <c r="A319" s="132">
        <v>42059</v>
      </c>
      <c r="B319" s="79">
        <v>4.47</v>
      </c>
      <c r="G319" s="81">
        <v>42063</v>
      </c>
      <c r="H319" s="82">
        <v>274.06</v>
      </c>
      <c r="I319" s="236">
        <f t="shared" si="5"/>
        <v>1.168992474610997E-3</v>
      </c>
      <c r="J319" s="77"/>
      <c r="K319" s="77"/>
    </row>
    <row r="320" spans="1:11" ht="16">
      <c r="A320" s="132">
        <v>42060</v>
      </c>
      <c r="B320" s="79">
        <v>4.46</v>
      </c>
      <c r="G320" s="81">
        <v>42066</v>
      </c>
      <c r="H320" s="82">
        <v>274.85000000000002</v>
      </c>
      <c r="I320" s="236">
        <f t="shared" si="5"/>
        <v>2.8825804568344271E-3</v>
      </c>
      <c r="J320" s="77"/>
      <c r="K320" s="77"/>
    </row>
    <row r="321" spans="1:11" ht="16">
      <c r="A321" s="132">
        <v>42061</v>
      </c>
      <c r="B321" s="79">
        <v>4.45</v>
      </c>
      <c r="G321" s="81">
        <v>42067</v>
      </c>
      <c r="H321" s="82">
        <v>275.89</v>
      </c>
      <c r="I321" s="236">
        <f t="shared" si="5"/>
        <v>3.7838821175184556E-3</v>
      </c>
      <c r="J321" s="77"/>
      <c r="K321" s="77"/>
    </row>
    <row r="322" spans="1:11" ht="16">
      <c r="A322" s="132">
        <v>42062</v>
      </c>
      <c r="B322" s="79">
        <v>4.47</v>
      </c>
      <c r="G322" s="81">
        <v>42068</v>
      </c>
      <c r="H322" s="82">
        <v>276.20999999999998</v>
      </c>
      <c r="I322" s="236">
        <f t="shared" si="5"/>
        <v>1.1598825618905906E-3</v>
      </c>
      <c r="J322" s="77"/>
      <c r="K322" s="77"/>
    </row>
    <row r="323" spans="1:11" ht="16">
      <c r="A323" s="132">
        <v>42063</v>
      </c>
      <c r="B323" s="79">
        <v>4.5</v>
      </c>
      <c r="G323" s="81">
        <v>42069</v>
      </c>
      <c r="H323" s="82">
        <v>272.92</v>
      </c>
      <c r="I323" s="236">
        <f t="shared" si="5"/>
        <v>-1.1911226964990251E-2</v>
      </c>
      <c r="J323" s="77"/>
      <c r="K323" s="77"/>
    </row>
    <row r="324" spans="1:11" ht="16">
      <c r="A324" s="132">
        <v>42066</v>
      </c>
      <c r="B324" s="79">
        <v>4.5</v>
      </c>
      <c r="G324" s="81">
        <v>42070</v>
      </c>
      <c r="H324" s="82">
        <v>270.14999999999998</v>
      </c>
      <c r="I324" s="236">
        <f t="shared" si="5"/>
        <v>-1.0149494357320932E-2</v>
      </c>
      <c r="J324" s="77"/>
      <c r="K324" s="77"/>
    </row>
    <row r="325" spans="1:11" ht="16">
      <c r="A325" s="132">
        <v>42067</v>
      </c>
      <c r="B325" s="79">
        <v>4.5</v>
      </c>
      <c r="G325" s="81">
        <v>42073</v>
      </c>
      <c r="H325" s="82">
        <v>273.23</v>
      </c>
      <c r="I325" s="236">
        <f t="shared" si="5"/>
        <v>1.1401073477697699E-2</v>
      </c>
      <c r="J325" s="77"/>
      <c r="K325" s="77"/>
    </row>
    <row r="326" spans="1:11" ht="16">
      <c r="A326" s="132">
        <v>42068</v>
      </c>
      <c r="B326" s="79">
        <v>4.4800000000000004</v>
      </c>
      <c r="G326" s="81">
        <v>42074</v>
      </c>
      <c r="H326" s="82">
        <v>275.61</v>
      </c>
      <c r="I326" s="236">
        <f t="shared" si="5"/>
        <v>8.7106101086995569E-3</v>
      </c>
      <c r="J326" s="77"/>
      <c r="K326" s="77"/>
    </row>
    <row r="327" spans="1:11" ht="16">
      <c r="A327" s="132">
        <v>42069</v>
      </c>
      <c r="B327" s="79">
        <v>4.47</v>
      </c>
      <c r="G327" s="81">
        <v>42075</v>
      </c>
      <c r="H327" s="82">
        <v>275.86</v>
      </c>
      <c r="I327" s="236">
        <f t="shared" si="5"/>
        <v>9.0707884329299659E-4</v>
      </c>
      <c r="J327" s="77"/>
      <c r="K327" s="77"/>
    </row>
    <row r="328" spans="1:11" ht="16">
      <c r="A328" s="132">
        <v>42070</v>
      </c>
      <c r="B328" s="79">
        <v>4.46</v>
      </c>
      <c r="G328" s="81">
        <v>42076</v>
      </c>
      <c r="H328" s="82">
        <v>275.32</v>
      </c>
      <c r="I328" s="236">
        <f t="shared" si="5"/>
        <v>-1.957514681360184E-3</v>
      </c>
      <c r="J328" s="77"/>
      <c r="K328" s="77"/>
    </row>
    <row r="329" spans="1:11" ht="16">
      <c r="A329" s="132">
        <v>42073</v>
      </c>
      <c r="B329" s="79">
        <v>4.4400000000000004</v>
      </c>
      <c r="G329" s="81">
        <v>42077</v>
      </c>
      <c r="H329" s="82">
        <v>277.61</v>
      </c>
      <c r="I329" s="236">
        <f t="shared" si="5"/>
        <v>8.3175940723523301E-3</v>
      </c>
      <c r="J329" s="77"/>
      <c r="K329" s="77"/>
    </row>
    <row r="330" spans="1:11" ht="16">
      <c r="A330" s="132">
        <v>42074</v>
      </c>
      <c r="B330" s="79">
        <v>4.42</v>
      </c>
      <c r="G330" s="81">
        <v>42080</v>
      </c>
      <c r="H330" s="82">
        <v>280.8</v>
      </c>
      <c r="I330" s="236">
        <f t="shared" si="5"/>
        <v>1.1490940528078974E-2</v>
      </c>
      <c r="J330" s="77"/>
      <c r="K330" s="77"/>
    </row>
    <row r="331" spans="1:11" ht="16">
      <c r="A331" s="132">
        <v>42075</v>
      </c>
      <c r="B331" s="79">
        <v>4.4000000000000004</v>
      </c>
      <c r="G331" s="81">
        <v>42081</v>
      </c>
      <c r="H331" s="82">
        <v>281.22000000000003</v>
      </c>
      <c r="I331" s="236">
        <f t="shared" si="5"/>
        <v>1.4957264957264904E-3</v>
      </c>
      <c r="J331" s="77"/>
      <c r="K331" s="77"/>
    </row>
    <row r="332" spans="1:11" ht="16">
      <c r="A332" s="132">
        <v>42076</v>
      </c>
      <c r="B332" s="79">
        <v>4.3899999999999997</v>
      </c>
      <c r="G332" s="81">
        <v>42082</v>
      </c>
      <c r="H332" s="82">
        <v>280.43</v>
      </c>
      <c r="I332" s="236">
        <f t="shared" si="5"/>
        <v>-2.8091885356661406E-3</v>
      </c>
      <c r="J332" s="77"/>
      <c r="K332" s="77"/>
    </row>
    <row r="333" spans="1:11" ht="16">
      <c r="A333" s="132">
        <v>42077</v>
      </c>
      <c r="B333" s="79">
        <v>4.37</v>
      </c>
      <c r="G333" s="81">
        <v>42083</v>
      </c>
      <c r="H333" s="82">
        <v>280.19</v>
      </c>
      <c r="I333" s="236">
        <f t="shared" si="5"/>
        <v>-8.5582854901400385E-4</v>
      </c>
      <c r="J333" s="77"/>
      <c r="K333" s="77"/>
    </row>
    <row r="334" spans="1:11" ht="16">
      <c r="A334" s="132">
        <v>42080</v>
      </c>
      <c r="B334" s="79">
        <v>4.34</v>
      </c>
      <c r="G334" s="81">
        <v>42084</v>
      </c>
      <c r="H334" s="82">
        <v>277.12</v>
      </c>
      <c r="I334" s="236">
        <f t="shared" si="5"/>
        <v>-1.0956850708447763E-2</v>
      </c>
      <c r="J334" s="77"/>
      <c r="K334" s="77"/>
    </row>
    <row r="335" spans="1:11" ht="16">
      <c r="A335" s="132">
        <v>42081</v>
      </c>
      <c r="B335" s="79">
        <v>4.33</v>
      </c>
      <c r="G335" s="81">
        <v>42087</v>
      </c>
      <c r="H335" s="82">
        <v>274.82</v>
      </c>
      <c r="I335" s="236">
        <f t="shared" si="5"/>
        <v>-8.299653579676769E-3</v>
      </c>
      <c r="J335" s="77"/>
      <c r="K335" s="77"/>
    </row>
    <row r="336" spans="1:11" ht="16">
      <c r="A336" s="132">
        <v>42082</v>
      </c>
      <c r="B336" s="79">
        <v>4.32</v>
      </c>
      <c r="G336" s="81">
        <v>42088</v>
      </c>
      <c r="H336" s="82">
        <v>275.76</v>
      </c>
      <c r="I336" s="236">
        <f t="shared" ref="I336:I399" si="6">H336/H335-1</f>
        <v>3.4204206389636393E-3</v>
      </c>
      <c r="J336" s="77"/>
      <c r="K336" s="77"/>
    </row>
    <row r="337" spans="1:11" ht="16">
      <c r="A337" s="132">
        <v>42083</v>
      </c>
      <c r="B337" s="79">
        <v>4.26</v>
      </c>
      <c r="G337" s="81">
        <v>42089</v>
      </c>
      <c r="H337" s="82">
        <v>274.20999999999998</v>
      </c>
      <c r="I337" s="236">
        <f t="shared" si="6"/>
        <v>-5.6208297069916258E-3</v>
      </c>
      <c r="J337" s="77"/>
      <c r="K337" s="77"/>
    </row>
    <row r="338" spans="1:11" ht="16">
      <c r="A338" s="132">
        <v>42084</v>
      </c>
      <c r="B338" s="79">
        <v>4.25</v>
      </c>
      <c r="G338" s="81">
        <v>42090</v>
      </c>
      <c r="H338" s="82">
        <v>274.86</v>
      </c>
      <c r="I338" s="236">
        <f t="shared" si="6"/>
        <v>2.3704460085336443E-3</v>
      </c>
      <c r="J338" s="77"/>
      <c r="K338" s="77"/>
    </row>
    <row r="339" spans="1:11" ht="16">
      <c r="A339" s="132">
        <v>42087</v>
      </c>
      <c r="B339" s="79">
        <v>4.2300000000000004</v>
      </c>
      <c r="G339" s="81">
        <v>42091</v>
      </c>
      <c r="H339" s="82">
        <v>278</v>
      </c>
      <c r="I339" s="236">
        <f t="shared" si="6"/>
        <v>1.1423997671541786E-2</v>
      </c>
      <c r="J339" s="77"/>
      <c r="K339" s="77"/>
    </row>
    <row r="340" spans="1:11" ht="16">
      <c r="A340" s="132">
        <v>42088</v>
      </c>
      <c r="B340" s="79">
        <v>4.21</v>
      </c>
      <c r="G340" s="81">
        <v>42094</v>
      </c>
      <c r="H340" s="82">
        <v>280.93</v>
      </c>
      <c r="I340" s="236">
        <f t="shared" si="6"/>
        <v>1.0539568345323769E-2</v>
      </c>
      <c r="J340" s="77"/>
      <c r="K340" s="77"/>
    </row>
    <row r="341" spans="1:11" ht="16">
      <c r="A341" s="132">
        <v>42089</v>
      </c>
      <c r="B341" s="79">
        <v>4.1900000000000004</v>
      </c>
      <c r="G341" s="81">
        <v>42095</v>
      </c>
      <c r="H341" s="82">
        <v>281.16000000000003</v>
      </c>
      <c r="I341" s="236">
        <f t="shared" si="6"/>
        <v>8.1870928701111012E-4</v>
      </c>
      <c r="J341" s="77"/>
      <c r="K341" s="77"/>
    </row>
    <row r="342" spans="1:11" ht="16">
      <c r="A342" s="132">
        <v>42090</v>
      </c>
      <c r="B342" s="79">
        <v>4.2</v>
      </c>
      <c r="G342" s="81">
        <v>42096</v>
      </c>
      <c r="H342" s="82">
        <v>282.95999999999998</v>
      </c>
      <c r="I342" s="236">
        <f t="shared" si="6"/>
        <v>6.4020486555695921E-3</v>
      </c>
      <c r="J342" s="77"/>
      <c r="K342" s="77"/>
    </row>
    <row r="343" spans="1:11" ht="16">
      <c r="A343" s="132">
        <v>42091</v>
      </c>
      <c r="B343" s="79">
        <v>4.21</v>
      </c>
      <c r="G343" s="81">
        <v>42097</v>
      </c>
      <c r="H343" s="82">
        <v>283.08</v>
      </c>
      <c r="I343" s="236">
        <f t="shared" si="6"/>
        <v>4.2408821034767286E-4</v>
      </c>
      <c r="J343" s="77"/>
      <c r="K343" s="77"/>
    </row>
    <row r="344" spans="1:11" ht="16">
      <c r="A344" s="132">
        <v>42093</v>
      </c>
      <c r="B344" s="79">
        <v>4.24</v>
      </c>
      <c r="G344" s="81">
        <v>42098</v>
      </c>
      <c r="H344" s="82">
        <v>284.27999999999997</v>
      </c>
      <c r="I344" s="236">
        <f t="shared" si="6"/>
        <v>4.2390843577786441E-3</v>
      </c>
      <c r="J344" s="77"/>
      <c r="K344" s="77"/>
    </row>
    <row r="345" spans="1:11" ht="16">
      <c r="A345" s="132">
        <v>42094</v>
      </c>
      <c r="B345" s="79">
        <v>4.26</v>
      </c>
      <c r="G345" s="81">
        <v>42101</v>
      </c>
      <c r="H345" s="82">
        <v>285.17</v>
      </c>
      <c r="I345" s="236">
        <f t="shared" si="6"/>
        <v>3.1307161953004758E-3</v>
      </c>
      <c r="J345" s="77"/>
      <c r="K345" s="77"/>
    </row>
    <row r="346" spans="1:11" ht="16">
      <c r="A346" s="132">
        <v>42095</v>
      </c>
      <c r="B346" s="79">
        <v>4.26</v>
      </c>
      <c r="G346" s="81">
        <v>42102</v>
      </c>
      <c r="H346" s="82">
        <v>286.48</v>
      </c>
      <c r="I346" s="236">
        <f t="shared" si="6"/>
        <v>4.5937510958375949E-3</v>
      </c>
      <c r="J346" s="77"/>
      <c r="K346" s="77"/>
    </row>
    <row r="347" spans="1:11" ht="16">
      <c r="A347" s="132">
        <v>42096</v>
      </c>
      <c r="B347" s="79">
        <v>4.2699999999999996</v>
      </c>
      <c r="G347" s="81">
        <v>42103</v>
      </c>
      <c r="H347" s="82">
        <v>286.99</v>
      </c>
      <c r="I347" s="236">
        <f t="shared" si="6"/>
        <v>1.7802289863166898E-3</v>
      </c>
      <c r="J347" s="77"/>
      <c r="K347" s="77"/>
    </row>
    <row r="348" spans="1:11" ht="16">
      <c r="A348" s="132">
        <v>42097</v>
      </c>
      <c r="B348" s="79">
        <v>4.26</v>
      </c>
      <c r="G348" s="81">
        <v>42104</v>
      </c>
      <c r="H348" s="82">
        <v>284.81</v>
      </c>
      <c r="I348" s="236">
        <f t="shared" si="6"/>
        <v>-7.5960834872295102E-3</v>
      </c>
      <c r="J348" s="77"/>
      <c r="K348" s="77"/>
    </row>
    <row r="349" spans="1:11" ht="16">
      <c r="A349" s="132">
        <v>42098</v>
      </c>
      <c r="B349" s="79">
        <v>4.26</v>
      </c>
      <c r="G349" s="81">
        <v>42105</v>
      </c>
      <c r="H349" s="82">
        <v>285.02</v>
      </c>
      <c r="I349" s="236">
        <f t="shared" si="6"/>
        <v>7.3733366103700959E-4</v>
      </c>
      <c r="J349" s="77"/>
      <c r="K349" s="77"/>
    </row>
    <row r="350" spans="1:11" ht="16">
      <c r="A350" s="132">
        <v>42101</v>
      </c>
      <c r="B350" s="79">
        <v>4.26</v>
      </c>
      <c r="G350" s="81">
        <v>42108</v>
      </c>
      <c r="H350" s="82">
        <v>284.02</v>
      </c>
      <c r="I350" s="236">
        <f t="shared" si="6"/>
        <v>-3.5085257174934936E-3</v>
      </c>
      <c r="J350" s="77"/>
      <c r="K350" s="77"/>
    </row>
    <row r="351" spans="1:11" ht="16">
      <c r="A351" s="132">
        <v>42102</v>
      </c>
      <c r="B351" s="79">
        <v>4.25</v>
      </c>
      <c r="G351" s="81">
        <v>42109</v>
      </c>
      <c r="H351" s="82">
        <v>285.97000000000003</v>
      </c>
      <c r="I351" s="236">
        <f t="shared" si="6"/>
        <v>6.8657136821352882E-3</v>
      </c>
      <c r="J351" s="77"/>
      <c r="K351" s="77"/>
    </row>
    <row r="352" spans="1:11" ht="16">
      <c r="A352" s="132">
        <v>42103</v>
      </c>
      <c r="B352" s="79">
        <v>4.24</v>
      </c>
      <c r="G352" s="81">
        <v>42110</v>
      </c>
      <c r="H352" s="82">
        <v>286.76</v>
      </c>
      <c r="I352" s="236">
        <f t="shared" si="6"/>
        <v>2.7625275378535541E-3</v>
      </c>
      <c r="J352" s="77"/>
      <c r="K352" s="77"/>
    </row>
    <row r="353" spans="1:11" ht="16">
      <c r="A353" s="132">
        <v>42104</v>
      </c>
      <c r="B353" s="79">
        <v>4.25</v>
      </c>
      <c r="G353" s="81">
        <v>42111</v>
      </c>
      <c r="H353" s="82">
        <v>286.14</v>
      </c>
      <c r="I353" s="236">
        <f t="shared" si="6"/>
        <v>-2.1620867624494444E-3</v>
      </c>
      <c r="J353" s="77"/>
      <c r="K353" s="77"/>
    </row>
    <row r="354" spans="1:11" ht="16">
      <c r="A354" s="132">
        <v>42105</v>
      </c>
      <c r="B354" s="79">
        <v>4.2699999999999996</v>
      </c>
      <c r="G354" s="81">
        <v>42112</v>
      </c>
      <c r="H354" s="82">
        <v>286.22000000000003</v>
      </c>
      <c r="I354" s="236">
        <f t="shared" si="6"/>
        <v>2.7958342070322217E-4</v>
      </c>
      <c r="J354" s="77"/>
      <c r="K354" s="77"/>
    </row>
    <row r="355" spans="1:11" ht="16">
      <c r="A355" s="132">
        <v>42108</v>
      </c>
      <c r="B355" s="79">
        <v>4.28</v>
      </c>
      <c r="G355" s="81">
        <v>42115</v>
      </c>
      <c r="H355" s="82">
        <v>285.32</v>
      </c>
      <c r="I355" s="236">
        <f t="shared" si="6"/>
        <v>-3.1444343511984885E-3</v>
      </c>
      <c r="J355" s="77"/>
      <c r="K355" s="77"/>
    </row>
    <row r="356" spans="1:11" ht="16">
      <c r="A356" s="132">
        <v>42109</v>
      </c>
      <c r="B356" s="79">
        <v>4.29</v>
      </c>
      <c r="G356" s="81">
        <v>42116</v>
      </c>
      <c r="H356" s="82">
        <v>285.35000000000002</v>
      </c>
      <c r="I356" s="236">
        <f t="shared" si="6"/>
        <v>1.0514510023851287E-4</v>
      </c>
      <c r="J356" s="77"/>
      <c r="K356" s="77"/>
    </row>
    <row r="357" spans="1:11" ht="16">
      <c r="A357" s="132">
        <v>42110</v>
      </c>
      <c r="B357" s="79">
        <v>4.29</v>
      </c>
      <c r="G357" s="81">
        <v>42117</v>
      </c>
      <c r="H357" s="82">
        <v>284.64999999999998</v>
      </c>
      <c r="I357" s="236">
        <f t="shared" si="6"/>
        <v>-2.4531277378659899E-3</v>
      </c>
      <c r="J357" s="77"/>
      <c r="K357" s="77"/>
    </row>
    <row r="358" spans="1:11" ht="16">
      <c r="A358" s="132">
        <v>42111</v>
      </c>
      <c r="B358" s="79">
        <v>4.2699999999999996</v>
      </c>
      <c r="G358" s="81">
        <v>42118</v>
      </c>
      <c r="H358" s="82">
        <v>282.86</v>
      </c>
      <c r="I358" s="236">
        <f t="shared" si="6"/>
        <v>-6.288424380818447E-3</v>
      </c>
      <c r="J358" s="77"/>
      <c r="K358" s="77"/>
    </row>
    <row r="359" spans="1:11" ht="16">
      <c r="A359" s="132">
        <v>42112</v>
      </c>
      <c r="B359" s="209">
        <v>4.2699999999999996</v>
      </c>
      <c r="G359" s="81">
        <v>42119</v>
      </c>
      <c r="H359" s="82">
        <v>283.43</v>
      </c>
      <c r="I359" s="236">
        <f t="shared" si="6"/>
        <v>2.0151311602913946E-3</v>
      </c>
      <c r="J359" s="77"/>
      <c r="K359" s="77"/>
    </row>
    <row r="360" spans="1:11" ht="16">
      <c r="A360" s="132">
        <v>42115</v>
      </c>
      <c r="B360" s="79">
        <v>4.2699999999999996</v>
      </c>
      <c r="G360" s="81">
        <v>42122</v>
      </c>
      <c r="H360" s="82">
        <v>283.82</v>
      </c>
      <c r="I360" s="236">
        <f t="shared" si="6"/>
        <v>1.3760011290264718E-3</v>
      </c>
      <c r="J360" s="77"/>
      <c r="K360" s="77"/>
    </row>
    <row r="361" spans="1:11" ht="16">
      <c r="A361" s="132">
        <v>42116</v>
      </c>
      <c r="B361" s="79">
        <v>4.26</v>
      </c>
      <c r="G361" s="81">
        <v>42123</v>
      </c>
      <c r="H361" s="82">
        <v>283.5</v>
      </c>
      <c r="I361" s="236">
        <f t="shared" si="6"/>
        <v>-1.127475160312863E-3</v>
      </c>
      <c r="J361" s="77"/>
      <c r="K361" s="77"/>
    </row>
    <row r="362" spans="1:11" ht="16">
      <c r="A362" s="132">
        <v>42117</v>
      </c>
      <c r="B362" s="79">
        <v>4.24</v>
      </c>
      <c r="G362" s="81">
        <v>42124</v>
      </c>
      <c r="H362" s="82">
        <v>283.86</v>
      </c>
      <c r="I362" s="236">
        <f t="shared" si="6"/>
        <v>1.2698412698413097E-3</v>
      </c>
      <c r="J362" s="77"/>
      <c r="K362" s="77"/>
    </row>
    <row r="363" spans="1:11" ht="16">
      <c r="A363" s="132">
        <v>42118</v>
      </c>
      <c r="B363" s="79">
        <v>4.26</v>
      </c>
      <c r="G363" s="81">
        <v>42125</v>
      </c>
      <c r="H363" s="82">
        <v>283.27</v>
      </c>
      <c r="I363" s="236">
        <f t="shared" si="6"/>
        <v>-2.0784893961813822E-3</v>
      </c>
      <c r="J363" s="77"/>
      <c r="K363" s="77"/>
    </row>
    <row r="364" spans="1:11" ht="16">
      <c r="A364" s="132">
        <v>42119</v>
      </c>
      <c r="B364" s="79">
        <v>4.24</v>
      </c>
      <c r="G364" s="81">
        <v>42126</v>
      </c>
      <c r="H364" s="82">
        <v>284.83999999999997</v>
      </c>
      <c r="I364" s="236">
        <f t="shared" si="6"/>
        <v>5.5424153634342499E-3</v>
      </c>
      <c r="J364" s="77"/>
      <c r="K364" s="77"/>
    </row>
    <row r="365" spans="1:11" ht="16">
      <c r="A365" s="132">
        <v>42122</v>
      </c>
      <c r="B365" s="79">
        <v>4.2300000000000004</v>
      </c>
      <c r="G365" s="81">
        <v>42129</v>
      </c>
      <c r="H365" s="82">
        <v>278.99</v>
      </c>
      <c r="I365" s="236">
        <f t="shared" si="6"/>
        <v>-2.0537845808172861E-2</v>
      </c>
      <c r="J365" s="77"/>
      <c r="K365" s="77"/>
    </row>
    <row r="366" spans="1:11" ht="16">
      <c r="A366" s="132">
        <v>42123</v>
      </c>
      <c r="B366" s="79">
        <v>4.22</v>
      </c>
      <c r="G366" s="81">
        <v>42130</v>
      </c>
      <c r="H366" s="82">
        <v>277.66000000000003</v>
      </c>
      <c r="I366" s="236">
        <f t="shared" si="6"/>
        <v>-4.7671959568442723E-3</v>
      </c>
      <c r="J366" s="77"/>
      <c r="K366" s="77"/>
    </row>
    <row r="367" spans="1:11" ht="16">
      <c r="A367" s="132">
        <v>42124</v>
      </c>
      <c r="B367" s="79">
        <v>4.22</v>
      </c>
      <c r="G367" s="81">
        <v>42131</v>
      </c>
      <c r="H367" s="82">
        <v>276.14999999999998</v>
      </c>
      <c r="I367" s="236">
        <f t="shared" si="6"/>
        <v>-5.438305841677038E-3</v>
      </c>
      <c r="J367" s="77"/>
      <c r="K367" s="77"/>
    </row>
    <row r="368" spans="1:11" ht="16">
      <c r="A368" s="132">
        <v>42125</v>
      </c>
      <c r="B368" s="79">
        <v>4.25</v>
      </c>
      <c r="G368" s="81">
        <v>42132</v>
      </c>
      <c r="H368" s="82">
        <v>271.39999999999998</v>
      </c>
      <c r="I368" s="236">
        <f t="shared" si="6"/>
        <v>-1.7200796668477292E-2</v>
      </c>
      <c r="J368" s="77"/>
      <c r="K368" s="77"/>
    </row>
    <row r="369" spans="1:11" ht="16">
      <c r="A369" s="132">
        <v>42126</v>
      </c>
      <c r="B369" s="79">
        <v>4.24</v>
      </c>
      <c r="G369" s="81">
        <v>42133</v>
      </c>
      <c r="H369" s="82">
        <v>272.58999999999997</v>
      </c>
      <c r="I369" s="236">
        <f t="shared" si="6"/>
        <v>4.3846720707443332E-3</v>
      </c>
      <c r="J369" s="77"/>
      <c r="K369" s="77"/>
    </row>
    <row r="370" spans="1:11" ht="16">
      <c r="A370" s="132">
        <v>42129</v>
      </c>
      <c r="B370" s="79">
        <v>4.2300000000000004</v>
      </c>
      <c r="G370" s="81">
        <v>42136</v>
      </c>
      <c r="H370" s="82">
        <v>268.06</v>
      </c>
      <c r="I370" s="236">
        <f t="shared" si="6"/>
        <v>-1.6618364576836964E-2</v>
      </c>
      <c r="J370" s="77"/>
      <c r="K370" s="77"/>
    </row>
    <row r="371" spans="1:11" ht="16">
      <c r="A371" s="132">
        <v>42130</v>
      </c>
      <c r="B371" s="79">
        <v>4.22</v>
      </c>
      <c r="G371" s="81">
        <v>42137</v>
      </c>
      <c r="H371" s="82">
        <v>267.70999999999998</v>
      </c>
      <c r="I371" s="236">
        <f t="shared" si="6"/>
        <v>-1.3056778333210284E-3</v>
      </c>
      <c r="J371" s="77"/>
      <c r="K371" s="77"/>
    </row>
    <row r="372" spans="1:11" ht="16">
      <c r="A372" s="132">
        <v>42131</v>
      </c>
      <c r="B372" s="79">
        <v>4.21</v>
      </c>
      <c r="G372" s="81">
        <v>42138</v>
      </c>
      <c r="H372" s="82">
        <v>268.06</v>
      </c>
      <c r="I372" s="236">
        <f t="shared" si="6"/>
        <v>1.3073848567479729E-3</v>
      </c>
      <c r="J372" s="77"/>
      <c r="K372" s="77"/>
    </row>
    <row r="373" spans="1:11" ht="16">
      <c r="A373" s="132">
        <v>42132</v>
      </c>
      <c r="B373" s="79">
        <v>4.2</v>
      </c>
      <c r="G373" s="81">
        <v>42139</v>
      </c>
      <c r="H373" s="82">
        <v>267.48</v>
      </c>
      <c r="I373" s="236">
        <f t="shared" si="6"/>
        <v>-2.1636946952173775E-3</v>
      </c>
      <c r="J373" s="77"/>
      <c r="K373" s="77"/>
    </row>
    <row r="374" spans="1:11" ht="16">
      <c r="A374" s="132">
        <v>42133</v>
      </c>
      <c r="B374" s="79">
        <v>4.2</v>
      </c>
      <c r="G374" s="81">
        <v>42140</v>
      </c>
      <c r="H374" s="82">
        <v>263.87</v>
      </c>
      <c r="I374" s="236">
        <f t="shared" si="6"/>
        <v>-1.3496336174667278E-2</v>
      </c>
      <c r="J374" s="77"/>
      <c r="K374" s="77"/>
    </row>
    <row r="375" spans="1:11" ht="16">
      <c r="A375" s="132">
        <v>42136</v>
      </c>
      <c r="B375" s="79">
        <v>4.18</v>
      </c>
      <c r="G375" s="81">
        <v>42143</v>
      </c>
      <c r="H375" s="82">
        <v>263.5</v>
      </c>
      <c r="I375" s="236">
        <f t="shared" si="6"/>
        <v>-1.4022056315610154E-3</v>
      </c>
      <c r="J375" s="77"/>
      <c r="K375" s="77"/>
    </row>
    <row r="376" spans="1:11" ht="16">
      <c r="A376" s="132">
        <v>42137</v>
      </c>
      <c r="B376" s="79">
        <v>4.18</v>
      </c>
      <c r="G376" s="81">
        <v>42144</v>
      </c>
      <c r="H376" s="82">
        <v>264.77999999999997</v>
      </c>
      <c r="I376" s="236">
        <f t="shared" si="6"/>
        <v>4.8576850094874668E-3</v>
      </c>
      <c r="J376" s="77"/>
      <c r="K376" s="77"/>
    </row>
    <row r="377" spans="1:11" ht="16">
      <c r="A377" s="132">
        <v>42138</v>
      </c>
      <c r="B377" s="79">
        <v>4.17</v>
      </c>
      <c r="G377" s="81">
        <v>42145</v>
      </c>
      <c r="H377" s="82">
        <v>264.58</v>
      </c>
      <c r="I377" s="236">
        <f t="shared" si="6"/>
        <v>-7.553440592189542E-4</v>
      </c>
      <c r="J377" s="77"/>
      <c r="K377" s="77"/>
    </row>
    <row r="378" spans="1:11" ht="16">
      <c r="A378" s="132">
        <v>42139</v>
      </c>
      <c r="B378" s="79">
        <v>4.16</v>
      </c>
      <c r="G378" s="81">
        <v>42146</v>
      </c>
      <c r="H378" s="82">
        <v>260.69</v>
      </c>
      <c r="I378" s="236">
        <f t="shared" si="6"/>
        <v>-1.4702547433668389E-2</v>
      </c>
      <c r="J378" s="77"/>
      <c r="K378" s="77"/>
    </row>
    <row r="379" spans="1:11" ht="16">
      <c r="A379" s="132">
        <v>42140</v>
      </c>
      <c r="B379" s="79">
        <v>4.17</v>
      </c>
      <c r="G379" s="81">
        <v>42147</v>
      </c>
      <c r="H379" s="82">
        <v>261.87</v>
      </c>
      <c r="I379" s="236">
        <f t="shared" si="6"/>
        <v>4.5264490390886092E-3</v>
      </c>
      <c r="J379" s="77"/>
      <c r="K379" s="77"/>
    </row>
    <row r="380" spans="1:11" ht="16">
      <c r="A380" s="132">
        <v>42143</v>
      </c>
      <c r="B380" s="79">
        <v>4.18</v>
      </c>
      <c r="G380" s="81">
        <v>42150</v>
      </c>
      <c r="H380" s="82">
        <v>262.64</v>
      </c>
      <c r="I380" s="236">
        <f t="shared" si="6"/>
        <v>2.9403902699811635E-3</v>
      </c>
      <c r="J380" s="77"/>
      <c r="K380" s="77"/>
    </row>
    <row r="381" spans="1:11" ht="16">
      <c r="A381" s="132">
        <v>42144</v>
      </c>
      <c r="B381" s="79">
        <v>4.17</v>
      </c>
      <c r="G381" s="81">
        <v>42151</v>
      </c>
      <c r="H381" s="82">
        <v>262.7</v>
      </c>
      <c r="I381" s="236">
        <f t="shared" si="6"/>
        <v>2.2844958879075783E-4</v>
      </c>
      <c r="J381" s="77"/>
      <c r="K381" s="77"/>
    </row>
    <row r="382" spans="1:11" ht="16">
      <c r="A382" s="132">
        <v>42145</v>
      </c>
      <c r="B382" s="79">
        <v>4.16</v>
      </c>
      <c r="G382" s="81">
        <v>42152</v>
      </c>
      <c r="H382" s="82">
        <v>262.56</v>
      </c>
      <c r="I382" s="236">
        <f t="shared" si="6"/>
        <v>-5.3292729349063706E-4</v>
      </c>
      <c r="J382" s="77"/>
      <c r="K382" s="77"/>
    </row>
    <row r="383" spans="1:11" ht="16">
      <c r="A383" s="132">
        <v>42146</v>
      </c>
      <c r="B383" s="79">
        <v>4.1399999999999997</v>
      </c>
      <c r="G383" s="81">
        <v>42153</v>
      </c>
      <c r="H383" s="82">
        <v>264.83999999999997</v>
      </c>
      <c r="I383" s="236">
        <f t="shared" si="6"/>
        <v>8.6837294332722248E-3</v>
      </c>
      <c r="J383" s="77"/>
      <c r="K383" s="77"/>
    </row>
    <row r="384" spans="1:11" ht="16">
      <c r="A384" s="132">
        <v>42147</v>
      </c>
      <c r="B384" s="79">
        <v>4.12</v>
      </c>
      <c r="G384" s="81">
        <v>42154</v>
      </c>
      <c r="H384" s="82">
        <v>265.76</v>
      </c>
      <c r="I384" s="236">
        <f t="shared" si="6"/>
        <v>3.4737954991692632E-3</v>
      </c>
      <c r="J384" s="77"/>
      <c r="K384" s="77"/>
    </row>
    <row r="385" spans="1:11" ht="16">
      <c r="A385" s="132">
        <v>42150</v>
      </c>
      <c r="B385" s="79">
        <v>4.12</v>
      </c>
      <c r="G385" s="81">
        <v>42157</v>
      </c>
      <c r="H385" s="82">
        <v>267.73</v>
      </c>
      <c r="I385" s="236">
        <f t="shared" si="6"/>
        <v>7.4127031908490792E-3</v>
      </c>
      <c r="J385" s="77"/>
      <c r="K385" s="77"/>
    </row>
    <row r="386" spans="1:11" ht="16">
      <c r="A386" s="132">
        <v>42151</v>
      </c>
      <c r="B386" s="79">
        <v>4.0999999999999996</v>
      </c>
      <c r="G386" s="81">
        <v>42158</v>
      </c>
      <c r="H386" s="82">
        <v>267.11</v>
      </c>
      <c r="I386" s="236">
        <f t="shared" si="6"/>
        <v>-2.3157658835394335E-3</v>
      </c>
      <c r="J386" s="77"/>
      <c r="K386" s="77"/>
    </row>
    <row r="387" spans="1:11" ht="16">
      <c r="A387" s="132">
        <v>42152</v>
      </c>
      <c r="B387" s="79">
        <v>4.09</v>
      </c>
      <c r="G387" s="81">
        <v>42159</v>
      </c>
      <c r="H387" s="82">
        <v>266.89999999999998</v>
      </c>
      <c r="I387" s="236">
        <f t="shared" si="6"/>
        <v>-7.8619295421378244E-4</v>
      </c>
      <c r="J387" s="77"/>
      <c r="K387" s="77"/>
    </row>
    <row r="388" spans="1:11" ht="16">
      <c r="A388" s="132">
        <v>42153</v>
      </c>
      <c r="B388" s="79">
        <v>4.09</v>
      </c>
      <c r="G388" s="81">
        <v>42160</v>
      </c>
      <c r="H388" s="82">
        <v>266.24</v>
      </c>
      <c r="I388" s="236">
        <f t="shared" si="6"/>
        <v>-2.4728362682651106E-3</v>
      </c>
      <c r="J388" s="77"/>
      <c r="K388" s="77"/>
    </row>
    <row r="389" spans="1:11" ht="16">
      <c r="A389" s="132">
        <v>42154</v>
      </c>
      <c r="B389" s="79">
        <v>4.08</v>
      </c>
      <c r="G389" s="81">
        <v>42161</v>
      </c>
      <c r="H389" s="82">
        <v>267.62</v>
      </c>
      <c r="I389" s="236">
        <f t="shared" si="6"/>
        <v>5.1832932692308376E-3</v>
      </c>
      <c r="J389" s="77"/>
      <c r="K389" s="77"/>
    </row>
    <row r="390" spans="1:11" ht="16">
      <c r="A390" s="132">
        <v>42157</v>
      </c>
      <c r="B390" s="79">
        <v>4.03</v>
      </c>
      <c r="G390" s="81">
        <v>42164</v>
      </c>
      <c r="H390" s="82">
        <v>271.12</v>
      </c>
      <c r="I390" s="236">
        <f t="shared" si="6"/>
        <v>1.3078245273148603E-2</v>
      </c>
      <c r="J390" s="77"/>
      <c r="K390" s="77"/>
    </row>
    <row r="391" spans="1:11" ht="16">
      <c r="A391" s="132">
        <v>42158</v>
      </c>
      <c r="B391" s="79">
        <v>4.03</v>
      </c>
      <c r="G391" s="81">
        <v>42165</v>
      </c>
      <c r="H391" s="82">
        <v>273.54000000000002</v>
      </c>
      <c r="I391" s="236">
        <f t="shared" si="6"/>
        <v>8.9259368545293594E-3</v>
      </c>
      <c r="J391" s="77"/>
      <c r="K391" s="77"/>
    </row>
    <row r="392" spans="1:11" ht="16">
      <c r="A392" s="132">
        <v>42159</v>
      </c>
      <c r="B392" s="79">
        <v>4.01</v>
      </c>
      <c r="G392" s="81">
        <v>42166</v>
      </c>
      <c r="H392" s="82">
        <v>272.01</v>
      </c>
      <c r="I392" s="236">
        <f t="shared" si="6"/>
        <v>-5.5933318710245095E-3</v>
      </c>
      <c r="J392" s="77"/>
      <c r="K392" s="77"/>
    </row>
    <row r="393" spans="1:11" ht="16">
      <c r="A393" s="132">
        <v>42160</v>
      </c>
      <c r="B393" s="79">
        <v>4.01</v>
      </c>
      <c r="G393" s="81">
        <v>42167</v>
      </c>
      <c r="H393" s="82">
        <v>271.24</v>
      </c>
      <c r="I393" s="236">
        <f t="shared" si="6"/>
        <v>-2.8307782802101666E-3</v>
      </c>
      <c r="J393" s="77"/>
      <c r="K393" s="77"/>
    </row>
    <row r="394" spans="1:11" ht="16">
      <c r="A394" s="132">
        <v>42161</v>
      </c>
      <c r="B394" s="79">
        <v>4.0199999999999996</v>
      </c>
      <c r="G394" s="81">
        <v>42168</v>
      </c>
      <c r="H394" s="82">
        <v>269.27999999999997</v>
      </c>
      <c r="I394" s="236">
        <f t="shared" si="6"/>
        <v>-7.2260728506121641E-3</v>
      </c>
      <c r="J394" s="77"/>
      <c r="K394" s="77"/>
    </row>
    <row r="395" spans="1:11" ht="16">
      <c r="A395" s="132">
        <v>42164</v>
      </c>
      <c r="B395" s="79">
        <v>4</v>
      </c>
      <c r="G395" s="81">
        <v>42171</v>
      </c>
      <c r="H395" s="82">
        <v>268.17</v>
      </c>
      <c r="I395" s="236">
        <f t="shared" si="6"/>
        <v>-4.1221033868090728E-3</v>
      </c>
      <c r="J395" s="77"/>
      <c r="K395" s="77"/>
    </row>
    <row r="396" spans="1:11" ht="16">
      <c r="A396" s="132">
        <v>42165</v>
      </c>
      <c r="B396" s="79">
        <v>3.99</v>
      </c>
      <c r="G396" s="81">
        <v>42172</v>
      </c>
      <c r="H396" s="82">
        <v>271.48</v>
      </c>
      <c r="I396" s="236">
        <f t="shared" si="6"/>
        <v>1.2342916806503235E-2</v>
      </c>
      <c r="J396" s="77"/>
      <c r="K396" s="77"/>
    </row>
    <row r="397" spans="1:11" ht="16">
      <c r="A397" s="132">
        <v>42166</v>
      </c>
      <c r="B397" s="79">
        <v>3.97</v>
      </c>
      <c r="G397" s="81">
        <v>42173</v>
      </c>
      <c r="H397" s="82">
        <v>274.57</v>
      </c>
      <c r="I397" s="236">
        <f t="shared" si="6"/>
        <v>1.138205392662428E-2</v>
      </c>
      <c r="J397" s="77"/>
      <c r="K397" s="77"/>
    </row>
    <row r="398" spans="1:11" ht="16">
      <c r="A398" s="132">
        <v>42167</v>
      </c>
      <c r="B398" s="79">
        <v>3.96</v>
      </c>
      <c r="G398" s="81">
        <v>42174</v>
      </c>
      <c r="H398" s="82">
        <v>278.45999999999998</v>
      </c>
      <c r="I398" s="236">
        <f t="shared" si="6"/>
        <v>1.4167607531776927E-2</v>
      </c>
      <c r="J398" s="77"/>
      <c r="K398" s="77"/>
    </row>
    <row r="399" spans="1:11" ht="16">
      <c r="A399" s="132">
        <v>42168</v>
      </c>
      <c r="B399" s="79">
        <v>3.95</v>
      </c>
      <c r="G399" s="81">
        <v>42175</v>
      </c>
      <c r="H399" s="82">
        <v>278.42</v>
      </c>
      <c r="I399" s="236">
        <f t="shared" si="6"/>
        <v>-1.4364720247062035E-4</v>
      </c>
      <c r="J399" s="77"/>
      <c r="K399" s="77"/>
    </row>
    <row r="400" spans="1:11" ht="16">
      <c r="A400" s="132">
        <v>42171</v>
      </c>
      <c r="B400" s="79">
        <v>3.97</v>
      </c>
      <c r="G400" s="81">
        <v>42178</v>
      </c>
      <c r="H400" s="82">
        <v>278.24</v>
      </c>
      <c r="I400" s="236">
        <f t="shared" ref="I400:I463" si="7">H400/H399-1</f>
        <v>-6.4650527979315253E-4</v>
      </c>
      <c r="J400" s="77"/>
      <c r="K400" s="77"/>
    </row>
    <row r="401" spans="1:11" ht="16">
      <c r="A401" s="132">
        <v>42172</v>
      </c>
      <c r="B401" s="79">
        <v>3.92</v>
      </c>
      <c r="G401" s="81">
        <v>42179</v>
      </c>
      <c r="H401" s="82">
        <v>276.14999999999998</v>
      </c>
      <c r="I401" s="236">
        <f t="shared" si="7"/>
        <v>-7.5115008625648017E-3</v>
      </c>
      <c r="J401" s="77"/>
      <c r="K401" s="77"/>
    </row>
    <row r="402" spans="1:11" ht="16">
      <c r="A402" s="132">
        <v>42173</v>
      </c>
      <c r="B402" s="79">
        <v>3.91</v>
      </c>
      <c r="G402" s="81">
        <v>42180</v>
      </c>
      <c r="H402" s="82">
        <v>277.05</v>
      </c>
      <c r="I402" s="236">
        <f t="shared" si="7"/>
        <v>3.2590983161326914E-3</v>
      </c>
      <c r="J402" s="77"/>
      <c r="K402" s="77"/>
    </row>
    <row r="403" spans="1:11" ht="16">
      <c r="A403" s="132">
        <v>42174</v>
      </c>
      <c r="B403" s="79">
        <v>3.82</v>
      </c>
      <c r="G403" s="81">
        <v>42181</v>
      </c>
      <c r="H403" s="82">
        <v>278.94</v>
      </c>
      <c r="I403" s="236">
        <f t="shared" si="7"/>
        <v>6.8218733080671612E-3</v>
      </c>
      <c r="J403" s="77"/>
      <c r="K403" s="77"/>
    </row>
    <row r="404" spans="1:11" ht="16">
      <c r="A404" s="132">
        <v>42175</v>
      </c>
      <c r="B404" s="79">
        <v>3.85</v>
      </c>
      <c r="G404" s="81">
        <v>42182</v>
      </c>
      <c r="H404" s="82">
        <v>278.97000000000003</v>
      </c>
      <c r="I404" s="236">
        <f t="shared" si="7"/>
        <v>1.075500107550198E-4</v>
      </c>
      <c r="J404" s="77"/>
      <c r="K404" s="77"/>
    </row>
    <row r="405" spans="1:11" ht="16">
      <c r="A405" s="132">
        <v>42178</v>
      </c>
      <c r="B405" s="79">
        <v>3.84</v>
      </c>
      <c r="G405" s="81">
        <v>42185</v>
      </c>
      <c r="H405" s="82">
        <v>281.63</v>
      </c>
      <c r="I405" s="236">
        <f t="shared" si="7"/>
        <v>9.5350754561420725E-3</v>
      </c>
      <c r="J405" s="77"/>
      <c r="K405" s="77"/>
    </row>
    <row r="406" spans="1:11" ht="16">
      <c r="A406" s="132">
        <v>42179</v>
      </c>
      <c r="B406" s="79">
        <v>3.84</v>
      </c>
      <c r="G406" s="81">
        <v>42186</v>
      </c>
      <c r="H406" s="82">
        <v>281.95</v>
      </c>
      <c r="I406" s="236">
        <f t="shared" si="7"/>
        <v>1.1362425877925464E-3</v>
      </c>
      <c r="J406" s="77"/>
      <c r="K406" s="77"/>
    </row>
    <row r="407" spans="1:11" ht="16">
      <c r="A407" s="132">
        <v>42180</v>
      </c>
      <c r="B407" s="79">
        <v>3.85</v>
      </c>
      <c r="G407" s="81">
        <v>42187</v>
      </c>
      <c r="H407" s="82">
        <v>281.64</v>
      </c>
      <c r="I407" s="236">
        <f t="shared" si="7"/>
        <v>-1.0994857244192024E-3</v>
      </c>
      <c r="J407" s="77"/>
      <c r="K407" s="77"/>
    </row>
    <row r="408" spans="1:11" ht="16">
      <c r="A408" s="132">
        <v>42181</v>
      </c>
      <c r="B408" s="79">
        <v>3.85</v>
      </c>
      <c r="G408" s="81">
        <v>42188</v>
      </c>
      <c r="H408" s="82">
        <v>282.85000000000002</v>
      </c>
      <c r="I408" s="236">
        <f t="shared" si="7"/>
        <v>4.2962647351230121E-3</v>
      </c>
      <c r="J408" s="77"/>
      <c r="K408" s="77"/>
    </row>
    <row r="409" spans="1:11" ht="16">
      <c r="A409" s="132">
        <v>42182</v>
      </c>
      <c r="B409" s="79">
        <v>3.82</v>
      </c>
      <c r="G409" s="81">
        <v>42189</v>
      </c>
      <c r="H409" s="82">
        <v>281.57</v>
      </c>
      <c r="I409" s="236">
        <f t="shared" si="7"/>
        <v>-4.5253668021920657E-3</v>
      </c>
      <c r="J409" s="77"/>
      <c r="K409" s="77"/>
    </row>
    <row r="410" spans="1:11" ht="16">
      <c r="A410" s="132">
        <v>42184</v>
      </c>
      <c r="B410" s="79">
        <v>3.83</v>
      </c>
      <c r="G410" s="81">
        <v>42192</v>
      </c>
      <c r="H410" s="82">
        <v>278.7</v>
      </c>
      <c r="I410" s="236">
        <f t="shared" si="7"/>
        <v>-1.0192847249351877E-2</v>
      </c>
      <c r="J410" s="77"/>
      <c r="K410" s="77"/>
    </row>
    <row r="411" spans="1:11" ht="16">
      <c r="A411" s="132">
        <v>42185</v>
      </c>
      <c r="B411" s="79">
        <v>3.81</v>
      </c>
      <c r="G411" s="81">
        <v>42193</v>
      </c>
      <c r="H411" s="82">
        <v>277.64</v>
      </c>
      <c r="I411" s="236">
        <f t="shared" si="7"/>
        <v>-3.8033728022963675E-3</v>
      </c>
      <c r="J411" s="77"/>
      <c r="K411" s="77"/>
    </row>
    <row r="412" spans="1:11" ht="16">
      <c r="A412" s="132">
        <v>42186</v>
      </c>
      <c r="B412" s="79">
        <v>3.79</v>
      </c>
      <c r="G412" s="81">
        <v>42194</v>
      </c>
      <c r="H412" s="82">
        <v>279.33</v>
      </c>
      <c r="I412" s="236">
        <f t="shared" si="7"/>
        <v>6.0870191615041147E-3</v>
      </c>
      <c r="J412" s="77"/>
      <c r="K412" s="77"/>
    </row>
    <row r="413" spans="1:11" ht="16">
      <c r="A413" s="132">
        <v>42187</v>
      </c>
      <c r="B413" s="79">
        <v>3.76</v>
      </c>
      <c r="G413" s="81">
        <v>42195</v>
      </c>
      <c r="H413" s="82">
        <v>280.61</v>
      </c>
      <c r="I413" s="236">
        <f t="shared" si="7"/>
        <v>4.5823935846491803E-3</v>
      </c>
      <c r="J413" s="77"/>
      <c r="K413" s="77"/>
    </row>
    <row r="414" spans="1:11" ht="16">
      <c r="A414" s="132">
        <v>42188</v>
      </c>
      <c r="B414" s="79">
        <v>3.76</v>
      </c>
      <c r="G414" s="81">
        <v>42196</v>
      </c>
      <c r="H414" s="82">
        <v>279.48</v>
      </c>
      <c r="I414" s="236">
        <f t="shared" si="7"/>
        <v>-4.0269413064395465E-3</v>
      </c>
      <c r="J414" s="77"/>
      <c r="K414" s="77"/>
    </row>
    <row r="415" spans="1:11" ht="16">
      <c r="A415" s="132">
        <v>42189</v>
      </c>
      <c r="B415" s="79">
        <v>3.77</v>
      </c>
      <c r="G415" s="81">
        <v>42199</v>
      </c>
      <c r="H415" s="82">
        <v>281.27</v>
      </c>
      <c r="I415" s="236">
        <f t="shared" si="7"/>
        <v>6.4047516816945205E-3</v>
      </c>
      <c r="J415" s="77"/>
      <c r="K415" s="77"/>
    </row>
    <row r="416" spans="1:11" ht="16">
      <c r="A416" s="132">
        <v>42192</v>
      </c>
      <c r="B416" s="79">
        <v>3.78</v>
      </c>
      <c r="G416" s="81">
        <v>42200</v>
      </c>
      <c r="H416" s="82">
        <v>281.73</v>
      </c>
      <c r="I416" s="236">
        <f t="shared" si="7"/>
        <v>1.6354392576529708E-3</v>
      </c>
      <c r="J416" s="77"/>
      <c r="K416" s="77"/>
    </row>
    <row r="417" spans="1:11" ht="16">
      <c r="A417" s="132">
        <v>42193</v>
      </c>
      <c r="B417" s="79">
        <v>3.81</v>
      </c>
      <c r="G417" s="81">
        <v>42201</v>
      </c>
      <c r="H417" s="82">
        <v>280.62</v>
      </c>
      <c r="I417" s="236">
        <f t="shared" si="7"/>
        <v>-3.9399424981365616E-3</v>
      </c>
      <c r="J417" s="77"/>
      <c r="K417" s="77"/>
    </row>
    <row r="418" spans="1:11" ht="16">
      <c r="A418" s="132">
        <v>42194</v>
      </c>
      <c r="B418" s="79">
        <v>3.82</v>
      </c>
      <c r="G418" s="81">
        <v>42202</v>
      </c>
      <c r="H418" s="82">
        <v>279.81</v>
      </c>
      <c r="I418" s="236">
        <f t="shared" si="7"/>
        <v>-2.8864656831302238E-3</v>
      </c>
      <c r="J418" s="77"/>
      <c r="K418" s="77"/>
    </row>
    <row r="419" spans="1:11" ht="16">
      <c r="A419" s="132">
        <v>42195</v>
      </c>
      <c r="B419" s="79">
        <v>3.79</v>
      </c>
      <c r="G419" s="81">
        <v>42203</v>
      </c>
      <c r="H419" s="82">
        <v>280.60000000000002</v>
      </c>
      <c r="I419" s="236">
        <f t="shared" si="7"/>
        <v>2.8233444122798268E-3</v>
      </c>
      <c r="J419" s="77"/>
      <c r="K419" s="77"/>
    </row>
    <row r="420" spans="1:11" ht="16">
      <c r="A420" s="132">
        <v>42196</v>
      </c>
      <c r="B420" s="79">
        <v>3.8</v>
      </c>
      <c r="G420" s="81">
        <v>42206</v>
      </c>
      <c r="H420" s="82">
        <v>279.47000000000003</v>
      </c>
      <c r="I420" s="236">
        <f t="shared" si="7"/>
        <v>-4.0270848182466512E-3</v>
      </c>
      <c r="J420" s="77"/>
      <c r="K420" s="77"/>
    </row>
    <row r="421" spans="1:11" ht="16">
      <c r="A421" s="132">
        <v>42199</v>
      </c>
      <c r="B421" s="79">
        <v>3.79</v>
      </c>
      <c r="G421" s="81">
        <v>42207</v>
      </c>
      <c r="H421" s="82">
        <v>279.62</v>
      </c>
      <c r="I421" s="236">
        <f t="shared" si="7"/>
        <v>5.3673023938149989E-4</v>
      </c>
      <c r="J421" s="77"/>
      <c r="K421" s="77"/>
    </row>
    <row r="422" spans="1:11" ht="16">
      <c r="A422" s="132">
        <v>42200</v>
      </c>
      <c r="B422" s="79">
        <v>3.78</v>
      </c>
      <c r="G422" s="81">
        <v>42208</v>
      </c>
      <c r="H422" s="82">
        <v>279.79000000000002</v>
      </c>
      <c r="I422" s="236">
        <f t="shared" si="7"/>
        <v>6.0796795651252289E-4</v>
      </c>
      <c r="J422" s="77"/>
      <c r="K422" s="77"/>
    </row>
    <row r="423" spans="1:11" ht="16">
      <c r="A423" s="132">
        <v>42201</v>
      </c>
      <c r="B423" s="79">
        <v>3.78</v>
      </c>
      <c r="G423" s="81">
        <v>42209</v>
      </c>
      <c r="H423" s="82">
        <v>279.55</v>
      </c>
      <c r="I423" s="236">
        <f t="shared" si="7"/>
        <v>-8.5778619679044432E-4</v>
      </c>
      <c r="J423" s="77"/>
      <c r="K423" s="77"/>
    </row>
    <row r="424" spans="1:11" ht="16">
      <c r="A424" s="132">
        <v>42202</v>
      </c>
      <c r="B424" s="79">
        <v>3.77</v>
      </c>
      <c r="G424" s="81">
        <v>42210</v>
      </c>
      <c r="H424" s="82">
        <v>278.27999999999997</v>
      </c>
      <c r="I424" s="236">
        <f t="shared" si="7"/>
        <v>-4.5430155607226741E-3</v>
      </c>
      <c r="J424" s="77"/>
      <c r="K424" s="77"/>
    </row>
    <row r="425" spans="1:11" ht="16">
      <c r="A425" s="132">
        <v>42203</v>
      </c>
      <c r="B425" s="79">
        <v>3.76</v>
      </c>
      <c r="G425" s="81">
        <v>42213</v>
      </c>
      <c r="H425" s="82">
        <v>277.91000000000003</v>
      </c>
      <c r="I425" s="236">
        <f t="shared" si="7"/>
        <v>-1.3295960902686144E-3</v>
      </c>
      <c r="J425" s="77"/>
      <c r="K425" s="77"/>
    </row>
    <row r="426" spans="1:11" ht="16">
      <c r="A426" s="132">
        <v>42206</v>
      </c>
      <c r="B426" s="79">
        <v>3.76</v>
      </c>
      <c r="G426" s="81">
        <v>42214</v>
      </c>
      <c r="H426" s="82">
        <v>276.75</v>
      </c>
      <c r="I426" s="236">
        <f t="shared" si="7"/>
        <v>-4.1740131697313165E-3</v>
      </c>
      <c r="J426" s="77"/>
      <c r="K426" s="77"/>
    </row>
    <row r="427" spans="1:11" ht="16">
      <c r="A427" s="132">
        <v>42207</v>
      </c>
      <c r="B427" s="79">
        <v>3.77</v>
      </c>
      <c r="G427" s="81">
        <v>42215</v>
      </c>
      <c r="H427" s="82">
        <v>275.61</v>
      </c>
      <c r="I427" s="236">
        <f t="shared" si="7"/>
        <v>-4.1192411924119154E-3</v>
      </c>
      <c r="J427" s="77"/>
      <c r="K427" s="77"/>
    </row>
    <row r="428" spans="1:11" ht="16">
      <c r="A428" s="132">
        <v>42208</v>
      </c>
      <c r="B428" s="79">
        <v>3.75</v>
      </c>
      <c r="G428" s="81">
        <v>42216</v>
      </c>
      <c r="H428" s="82">
        <v>272.25</v>
      </c>
      <c r="I428" s="236">
        <f t="shared" si="7"/>
        <v>-1.2191139653858762E-2</v>
      </c>
      <c r="J428" s="77"/>
      <c r="K428" s="77"/>
    </row>
    <row r="429" spans="1:11" ht="16">
      <c r="A429" s="132">
        <v>42209</v>
      </c>
      <c r="B429" s="79">
        <v>3.74</v>
      </c>
      <c r="G429" s="81">
        <v>42217</v>
      </c>
      <c r="H429" s="82">
        <v>266.95999999999998</v>
      </c>
      <c r="I429" s="236">
        <f t="shared" si="7"/>
        <v>-1.9430670339761313E-2</v>
      </c>
      <c r="J429" s="77"/>
      <c r="K429" s="77"/>
    </row>
    <row r="430" spans="1:11" ht="16">
      <c r="A430" s="132">
        <v>42210</v>
      </c>
      <c r="B430" s="79">
        <v>3.76</v>
      </c>
      <c r="G430" s="81">
        <v>42220</v>
      </c>
      <c r="H430" s="82">
        <v>259.26</v>
      </c>
      <c r="I430" s="236">
        <f t="shared" si="7"/>
        <v>-2.8843272400359554E-2</v>
      </c>
      <c r="J430" s="77"/>
      <c r="K430" s="77"/>
    </row>
    <row r="431" spans="1:11" ht="16">
      <c r="A431" s="132">
        <v>42213</v>
      </c>
      <c r="B431" s="79">
        <v>3.74</v>
      </c>
      <c r="G431" s="81">
        <v>42221</v>
      </c>
      <c r="H431" s="82">
        <v>259.7</v>
      </c>
      <c r="I431" s="236">
        <f t="shared" si="7"/>
        <v>1.6971380081771681E-3</v>
      </c>
      <c r="J431" s="77"/>
      <c r="K431" s="77"/>
    </row>
    <row r="432" spans="1:11" ht="16">
      <c r="A432" s="132">
        <v>42214</v>
      </c>
      <c r="B432" s="79">
        <v>3.73</v>
      </c>
      <c r="G432" s="81">
        <v>42222</v>
      </c>
      <c r="H432" s="82">
        <v>259.92</v>
      </c>
      <c r="I432" s="236">
        <f t="shared" si="7"/>
        <v>8.4713130535241099E-4</v>
      </c>
      <c r="J432" s="77"/>
      <c r="K432" s="77"/>
    </row>
    <row r="433" spans="1:11" ht="16">
      <c r="A433" s="132">
        <v>42215</v>
      </c>
      <c r="B433" s="79">
        <v>3.75</v>
      </c>
      <c r="G433" s="81">
        <v>42223</v>
      </c>
      <c r="H433" s="82">
        <v>263.26</v>
      </c>
      <c r="I433" s="236">
        <f t="shared" si="7"/>
        <v>1.2850107725453919E-2</v>
      </c>
      <c r="J433" s="77"/>
      <c r="K433" s="77"/>
    </row>
    <row r="434" spans="1:11" ht="16">
      <c r="A434" s="132">
        <v>42216</v>
      </c>
      <c r="B434" s="79">
        <v>3.75</v>
      </c>
      <c r="G434" s="81">
        <v>42224</v>
      </c>
      <c r="H434" s="82">
        <v>262.2</v>
      </c>
      <c r="I434" s="236">
        <f t="shared" si="7"/>
        <v>-4.0264377421560527E-3</v>
      </c>
      <c r="J434" s="77"/>
      <c r="K434" s="77"/>
    </row>
    <row r="435" spans="1:11" ht="16">
      <c r="A435" s="132">
        <v>42217</v>
      </c>
      <c r="B435" s="79">
        <v>3.72</v>
      </c>
      <c r="G435" s="81">
        <v>42227</v>
      </c>
      <c r="H435" s="82">
        <v>260.67</v>
      </c>
      <c r="I435" s="236">
        <f t="shared" si="7"/>
        <v>-5.8352402745994736E-3</v>
      </c>
      <c r="J435" s="77"/>
      <c r="K435" s="77"/>
    </row>
    <row r="436" spans="1:11" ht="16">
      <c r="A436" s="132">
        <v>42220</v>
      </c>
      <c r="B436" s="79">
        <v>3.68</v>
      </c>
      <c r="G436" s="81">
        <v>42228</v>
      </c>
      <c r="H436" s="82">
        <v>259.14</v>
      </c>
      <c r="I436" s="236">
        <f t="shared" si="7"/>
        <v>-5.8694901599725124E-3</v>
      </c>
      <c r="J436" s="77"/>
      <c r="K436" s="77"/>
    </row>
    <row r="437" spans="1:11" ht="16">
      <c r="A437" s="132">
        <v>42221</v>
      </c>
      <c r="B437" s="79">
        <v>3.69</v>
      </c>
      <c r="G437" s="81">
        <v>42229</v>
      </c>
      <c r="H437" s="82">
        <v>257.42</v>
      </c>
      <c r="I437" s="236">
        <f t="shared" si="7"/>
        <v>-6.6373388901750374E-3</v>
      </c>
      <c r="J437" s="77"/>
      <c r="K437" s="77"/>
    </row>
    <row r="438" spans="1:11" ht="16">
      <c r="A438" s="132">
        <v>42222</v>
      </c>
      <c r="B438" s="79">
        <v>3.64</v>
      </c>
      <c r="G438" s="81">
        <v>42230</v>
      </c>
      <c r="H438" s="82">
        <v>256.93</v>
      </c>
      <c r="I438" s="236">
        <f t="shared" si="7"/>
        <v>-1.9035040012431725E-3</v>
      </c>
      <c r="J438" s="77"/>
      <c r="K438" s="77"/>
    </row>
    <row r="439" spans="1:11" ht="16">
      <c r="A439" s="132">
        <v>42223</v>
      </c>
      <c r="B439" s="79">
        <v>3.64</v>
      </c>
      <c r="G439" s="81">
        <v>42231</v>
      </c>
      <c r="H439" s="82">
        <v>258.93</v>
      </c>
      <c r="I439" s="236">
        <f t="shared" si="7"/>
        <v>7.7842213832561846E-3</v>
      </c>
      <c r="J439" s="77"/>
      <c r="K439" s="77"/>
    </row>
    <row r="440" spans="1:11" ht="16">
      <c r="A440" s="132">
        <v>42224</v>
      </c>
      <c r="B440" s="79">
        <v>3.63</v>
      </c>
      <c r="G440" s="81">
        <v>42234</v>
      </c>
      <c r="H440" s="82">
        <v>260.91000000000003</v>
      </c>
      <c r="I440" s="236">
        <f t="shared" si="7"/>
        <v>7.64685436218282E-3</v>
      </c>
      <c r="J440" s="77"/>
      <c r="K440" s="77"/>
    </row>
    <row r="441" spans="1:11" ht="16">
      <c r="A441" s="132">
        <v>42227</v>
      </c>
      <c r="B441" s="79">
        <v>3.73</v>
      </c>
      <c r="G441" s="81">
        <v>42235</v>
      </c>
      <c r="H441" s="82">
        <v>260.98</v>
      </c>
      <c r="I441" s="236">
        <f t="shared" si="7"/>
        <v>2.6829174811227041E-4</v>
      </c>
      <c r="J441" s="77"/>
      <c r="K441" s="77"/>
    </row>
    <row r="442" spans="1:11" ht="16">
      <c r="A442" s="132">
        <v>42228</v>
      </c>
      <c r="B442" s="79">
        <v>3.76</v>
      </c>
      <c r="G442" s="81">
        <v>42236</v>
      </c>
      <c r="H442" s="82">
        <v>261.77</v>
      </c>
      <c r="I442" s="236">
        <f t="shared" si="7"/>
        <v>3.0270518813699798E-3</v>
      </c>
      <c r="J442" s="77"/>
      <c r="K442" s="77"/>
    </row>
    <row r="443" spans="1:11" ht="16">
      <c r="A443" s="132">
        <v>42229</v>
      </c>
      <c r="B443" s="79">
        <v>3.78</v>
      </c>
      <c r="G443" s="81">
        <v>42237</v>
      </c>
      <c r="H443" s="82">
        <v>259.97000000000003</v>
      </c>
      <c r="I443" s="236">
        <f t="shared" si="7"/>
        <v>-6.8762654238452292E-3</v>
      </c>
      <c r="J443" s="77"/>
      <c r="K443" s="77"/>
    </row>
    <row r="444" spans="1:11" ht="16">
      <c r="A444" s="132">
        <v>42230</v>
      </c>
      <c r="B444" s="79">
        <v>3.74</v>
      </c>
      <c r="G444" s="81">
        <v>42238</v>
      </c>
      <c r="H444" s="82">
        <v>259.38</v>
      </c>
      <c r="I444" s="236">
        <f t="shared" si="7"/>
        <v>-2.2694926337655241E-3</v>
      </c>
      <c r="J444" s="77"/>
      <c r="K444" s="77"/>
    </row>
    <row r="445" spans="1:11" ht="16">
      <c r="A445" s="132">
        <v>42231</v>
      </c>
      <c r="B445" s="79">
        <v>3.71</v>
      </c>
      <c r="G445" s="81">
        <v>42241</v>
      </c>
      <c r="H445" s="82">
        <v>256.7</v>
      </c>
      <c r="I445" s="236">
        <f t="shared" si="7"/>
        <v>-1.0332330943017998E-2</v>
      </c>
      <c r="J445" s="77"/>
      <c r="K445" s="77"/>
    </row>
    <row r="446" spans="1:11" ht="16">
      <c r="A446" s="132">
        <v>42234</v>
      </c>
      <c r="B446" s="79">
        <v>3.74</v>
      </c>
      <c r="G446" s="81">
        <v>42242</v>
      </c>
      <c r="H446" s="82">
        <v>257.5</v>
      </c>
      <c r="I446" s="236">
        <f t="shared" si="7"/>
        <v>3.1164783794312978E-3</v>
      </c>
      <c r="J446" s="77"/>
      <c r="K446" s="77"/>
    </row>
    <row r="447" spans="1:11" ht="16">
      <c r="A447" s="132">
        <v>42235</v>
      </c>
      <c r="B447" s="79">
        <v>3.72</v>
      </c>
      <c r="G447" s="81">
        <v>42243</v>
      </c>
      <c r="H447" s="82">
        <v>257.56</v>
      </c>
      <c r="I447" s="236">
        <f t="shared" si="7"/>
        <v>2.3300970873796345E-4</v>
      </c>
      <c r="J447" s="77"/>
      <c r="K447" s="77"/>
    </row>
    <row r="448" spans="1:11" ht="16">
      <c r="A448" s="132">
        <v>42236</v>
      </c>
      <c r="B448" s="79">
        <v>3.72</v>
      </c>
      <c r="G448" s="81">
        <v>42244</v>
      </c>
      <c r="H448" s="82">
        <v>259.07</v>
      </c>
      <c r="I448" s="236">
        <f t="shared" si="7"/>
        <v>5.8627116011802372E-3</v>
      </c>
      <c r="J448" s="77"/>
      <c r="K448" s="77"/>
    </row>
    <row r="449" spans="1:11" ht="16">
      <c r="A449" s="132">
        <v>42237</v>
      </c>
      <c r="B449" s="79">
        <v>3.72</v>
      </c>
      <c r="G449" s="81">
        <v>42245</v>
      </c>
      <c r="H449" s="82">
        <v>262.45999999999998</v>
      </c>
      <c r="I449" s="236">
        <f t="shared" si="7"/>
        <v>1.3085266530281414E-2</v>
      </c>
      <c r="J449" s="77"/>
      <c r="K449" s="77"/>
    </row>
    <row r="450" spans="1:11" ht="16">
      <c r="A450" s="132">
        <v>42238</v>
      </c>
      <c r="B450" s="79">
        <v>3.74</v>
      </c>
      <c r="G450" s="81">
        <v>42248</v>
      </c>
      <c r="H450" s="82">
        <v>262.45999999999998</v>
      </c>
      <c r="I450" s="236">
        <f t="shared" si="7"/>
        <v>0</v>
      </c>
      <c r="J450" s="77"/>
      <c r="K450" s="77"/>
    </row>
    <row r="451" spans="1:11" ht="16">
      <c r="A451" s="132">
        <v>42241</v>
      </c>
      <c r="B451" s="79">
        <v>3.69</v>
      </c>
      <c r="G451" s="81">
        <v>42249</v>
      </c>
      <c r="H451" s="82">
        <v>259.61</v>
      </c>
      <c r="I451" s="236">
        <f t="shared" si="7"/>
        <v>-1.0858797531052233E-2</v>
      </c>
      <c r="J451" s="77"/>
      <c r="K451" s="77"/>
    </row>
    <row r="452" spans="1:11" ht="16">
      <c r="A452" s="132">
        <v>42242</v>
      </c>
      <c r="B452" s="79">
        <v>3.7</v>
      </c>
      <c r="G452" s="81">
        <v>42250</v>
      </c>
      <c r="H452" s="82">
        <v>263.95999999999998</v>
      </c>
      <c r="I452" s="236">
        <f t="shared" si="7"/>
        <v>1.6755903085397206E-2</v>
      </c>
      <c r="J452" s="77"/>
      <c r="K452" s="77"/>
    </row>
    <row r="453" spans="1:11" ht="16">
      <c r="A453" s="132">
        <v>42243</v>
      </c>
      <c r="B453" s="79">
        <v>3.7</v>
      </c>
      <c r="G453" s="81">
        <v>42251</v>
      </c>
      <c r="H453" s="82">
        <v>266.69</v>
      </c>
      <c r="I453" s="236">
        <f t="shared" si="7"/>
        <v>1.0342476132747525E-2</v>
      </c>
      <c r="J453" s="77"/>
      <c r="K453" s="77"/>
    </row>
    <row r="454" spans="1:11" ht="16">
      <c r="A454" s="132">
        <v>42244</v>
      </c>
      <c r="B454" s="79">
        <v>3.71</v>
      </c>
      <c r="G454" s="81">
        <v>42252</v>
      </c>
      <c r="H454" s="82">
        <v>267.89999999999998</v>
      </c>
      <c r="I454" s="236">
        <f t="shared" si="7"/>
        <v>4.5371030034870863E-3</v>
      </c>
      <c r="J454" s="77"/>
      <c r="K454" s="77"/>
    </row>
    <row r="455" spans="1:11" ht="16">
      <c r="A455" s="132">
        <v>42245</v>
      </c>
      <c r="B455" s="79">
        <v>3.69</v>
      </c>
      <c r="G455" s="81">
        <v>42255</v>
      </c>
      <c r="H455" s="82">
        <v>268.11</v>
      </c>
      <c r="I455" s="236">
        <f t="shared" si="7"/>
        <v>7.8387458006723421E-4</v>
      </c>
      <c r="J455" s="77"/>
      <c r="K455" s="77"/>
    </row>
    <row r="456" spans="1:11" ht="16">
      <c r="A456" s="132">
        <v>42246</v>
      </c>
      <c r="B456" s="79">
        <v>3.7</v>
      </c>
      <c r="G456" s="81">
        <v>42256</v>
      </c>
      <c r="H456" s="82">
        <v>267.36</v>
      </c>
      <c r="I456" s="236">
        <f t="shared" si="7"/>
        <v>-2.7973592928275393E-3</v>
      </c>
      <c r="J456" s="77"/>
      <c r="K456" s="77"/>
    </row>
    <row r="457" spans="1:11" ht="16">
      <c r="A457" s="132">
        <v>42248</v>
      </c>
      <c r="B457" s="79">
        <v>3.7</v>
      </c>
      <c r="G457" s="81">
        <v>42257</v>
      </c>
      <c r="H457" s="82">
        <v>269.79000000000002</v>
      </c>
      <c r="I457" s="236">
        <f t="shared" si="7"/>
        <v>9.0888689407540024E-3</v>
      </c>
      <c r="J457" s="77"/>
      <c r="K457" s="77"/>
    </row>
    <row r="458" spans="1:11" ht="16">
      <c r="A458" s="132">
        <v>42249</v>
      </c>
      <c r="B458" s="79">
        <v>3.67</v>
      </c>
      <c r="G458" s="81">
        <v>42258</v>
      </c>
      <c r="H458" s="82">
        <v>271.57</v>
      </c>
      <c r="I458" s="236">
        <f t="shared" si="7"/>
        <v>6.5977241558248245E-3</v>
      </c>
      <c r="J458" s="77"/>
      <c r="K458" s="77"/>
    </row>
    <row r="459" spans="1:11" ht="16">
      <c r="A459" s="132">
        <v>42250</v>
      </c>
      <c r="B459" s="79">
        <v>3.64</v>
      </c>
      <c r="G459" s="81">
        <v>42259</v>
      </c>
      <c r="H459" s="82">
        <v>272.89</v>
      </c>
      <c r="I459" s="236">
        <f t="shared" si="7"/>
        <v>4.8606252531575578E-3</v>
      </c>
      <c r="J459" s="77"/>
      <c r="K459" s="77"/>
    </row>
    <row r="460" spans="1:11" ht="16">
      <c r="A460" s="132">
        <v>42251</v>
      </c>
      <c r="B460" s="79">
        <v>3.65</v>
      </c>
      <c r="G460" s="81">
        <v>42262</v>
      </c>
      <c r="H460" s="82">
        <v>272.42</v>
      </c>
      <c r="I460" s="236">
        <f t="shared" si="7"/>
        <v>-1.7223056909376755E-3</v>
      </c>
      <c r="J460" s="77"/>
      <c r="K460" s="77"/>
    </row>
    <row r="461" spans="1:11" ht="16">
      <c r="A461" s="132">
        <v>42252</v>
      </c>
      <c r="B461" s="79">
        <v>3.67</v>
      </c>
      <c r="G461" s="81">
        <v>42263</v>
      </c>
      <c r="H461" s="82">
        <v>270.17</v>
      </c>
      <c r="I461" s="236">
        <f t="shared" si="7"/>
        <v>-8.2593054841788582E-3</v>
      </c>
      <c r="J461" s="77"/>
      <c r="K461" s="77"/>
    </row>
    <row r="462" spans="1:11" ht="16">
      <c r="A462" s="132">
        <v>42255</v>
      </c>
      <c r="B462" s="79">
        <v>3.68</v>
      </c>
      <c r="G462" s="81">
        <v>42264</v>
      </c>
      <c r="H462" s="82">
        <v>270.77999999999997</v>
      </c>
      <c r="I462" s="236">
        <f t="shared" si="7"/>
        <v>2.2578376577708781E-3</v>
      </c>
      <c r="J462" s="77"/>
      <c r="K462" s="77"/>
    </row>
    <row r="463" spans="1:11" ht="16">
      <c r="A463" s="132">
        <v>42256</v>
      </c>
      <c r="B463" s="79">
        <v>3.71</v>
      </c>
      <c r="G463" s="81">
        <v>42265</v>
      </c>
      <c r="H463" s="82">
        <v>269.13</v>
      </c>
      <c r="I463" s="236">
        <f t="shared" si="7"/>
        <v>-6.0935076445822745E-3</v>
      </c>
      <c r="J463" s="77"/>
      <c r="K463" s="77"/>
    </row>
    <row r="464" spans="1:11" ht="16">
      <c r="A464" s="132">
        <v>42257</v>
      </c>
      <c r="B464" s="79">
        <v>3.74</v>
      </c>
      <c r="G464" s="81">
        <v>42266</v>
      </c>
      <c r="H464" s="82">
        <v>270.74</v>
      </c>
      <c r="I464" s="236">
        <f t="shared" ref="I464:I527" si="8">H464/H463-1</f>
        <v>5.9822390666222081E-3</v>
      </c>
      <c r="J464" s="77"/>
      <c r="K464" s="77"/>
    </row>
    <row r="465" spans="1:11" ht="16">
      <c r="A465" s="132">
        <v>42258</v>
      </c>
      <c r="B465" s="79">
        <v>3.73</v>
      </c>
      <c r="G465" s="81">
        <v>42269</v>
      </c>
      <c r="H465" s="82">
        <v>269.63</v>
      </c>
      <c r="I465" s="236">
        <f t="shared" si="8"/>
        <v>-4.0998744182610958E-3</v>
      </c>
      <c r="J465" s="77"/>
      <c r="K465" s="77"/>
    </row>
    <row r="466" spans="1:11" ht="16">
      <c r="A466" s="132">
        <v>42259</v>
      </c>
      <c r="B466" s="79">
        <v>3.77</v>
      </c>
      <c r="G466" s="81">
        <v>42270</v>
      </c>
      <c r="H466" s="82">
        <v>268.47000000000003</v>
      </c>
      <c r="I466" s="236">
        <f t="shared" si="8"/>
        <v>-4.3021918925933988E-3</v>
      </c>
      <c r="J466" s="77"/>
      <c r="K466" s="77"/>
    </row>
    <row r="467" spans="1:11" ht="16">
      <c r="A467" s="132">
        <v>42262</v>
      </c>
      <c r="B467" s="79">
        <v>3.77</v>
      </c>
      <c r="G467" s="81">
        <v>42271</v>
      </c>
      <c r="H467" s="82">
        <v>267.12</v>
      </c>
      <c r="I467" s="236">
        <f t="shared" si="8"/>
        <v>-5.0284948038887833E-3</v>
      </c>
      <c r="J467" s="77"/>
      <c r="K467" s="77"/>
    </row>
    <row r="468" spans="1:11" ht="16">
      <c r="A468" s="132">
        <v>42263</v>
      </c>
      <c r="B468" s="79">
        <v>3.76</v>
      </c>
      <c r="G468" s="81">
        <v>42272</v>
      </c>
      <c r="H468" s="82">
        <v>267.94</v>
      </c>
      <c r="I468" s="236">
        <f t="shared" si="8"/>
        <v>3.0697813716682454E-3</v>
      </c>
      <c r="J468" s="77"/>
      <c r="K468" s="77"/>
    </row>
    <row r="469" spans="1:11" ht="16">
      <c r="A469" s="132">
        <v>42264</v>
      </c>
      <c r="B469" s="79">
        <v>3.74</v>
      </c>
      <c r="G469" s="81">
        <v>42273</v>
      </c>
      <c r="H469" s="82">
        <v>266.29000000000002</v>
      </c>
      <c r="I469" s="236">
        <f t="shared" si="8"/>
        <v>-6.1580950959169156E-3</v>
      </c>
      <c r="J469" s="77"/>
      <c r="K469" s="77"/>
    </row>
    <row r="470" spans="1:11" ht="16">
      <c r="A470" s="132">
        <v>42265</v>
      </c>
      <c r="B470" s="79">
        <v>3.73</v>
      </c>
      <c r="G470" s="81">
        <v>42276</v>
      </c>
      <c r="H470" s="82">
        <v>265.49</v>
      </c>
      <c r="I470" s="236">
        <f t="shared" si="8"/>
        <v>-3.0042434939352436E-3</v>
      </c>
      <c r="J470" s="77"/>
      <c r="K470" s="77"/>
    </row>
    <row r="471" spans="1:11" ht="16">
      <c r="A471" s="132">
        <v>42266</v>
      </c>
      <c r="B471" s="79">
        <v>3.71</v>
      </c>
      <c r="G471" s="81">
        <v>42277</v>
      </c>
      <c r="H471" s="82">
        <v>264.60000000000002</v>
      </c>
      <c r="I471" s="236">
        <f t="shared" si="8"/>
        <v>-3.3522919883987035E-3</v>
      </c>
      <c r="J471" s="77"/>
      <c r="K471" s="77"/>
    </row>
    <row r="472" spans="1:11" ht="16">
      <c r="A472" s="132">
        <v>42269</v>
      </c>
      <c r="B472" s="79">
        <v>3.67</v>
      </c>
      <c r="G472" s="81">
        <v>42278</v>
      </c>
      <c r="H472" s="82">
        <v>263.05</v>
      </c>
      <c r="I472" s="236">
        <f t="shared" si="8"/>
        <v>-5.8578987150416095E-3</v>
      </c>
      <c r="J472" s="77"/>
      <c r="K472" s="77"/>
    </row>
    <row r="473" spans="1:11" ht="16">
      <c r="A473" s="132">
        <v>42270</v>
      </c>
      <c r="B473" s="79">
        <v>3.68</v>
      </c>
      <c r="G473" s="81">
        <v>42279</v>
      </c>
      <c r="H473" s="82">
        <v>263.95</v>
      </c>
      <c r="I473" s="236">
        <f t="shared" si="8"/>
        <v>3.4214027751378051E-3</v>
      </c>
      <c r="J473" s="77"/>
      <c r="K473" s="77"/>
    </row>
    <row r="474" spans="1:11" ht="16">
      <c r="A474" s="132">
        <v>42271</v>
      </c>
      <c r="B474" s="79">
        <v>3.69</v>
      </c>
      <c r="G474" s="81">
        <v>42280</v>
      </c>
      <c r="H474" s="82">
        <v>264.87</v>
      </c>
      <c r="I474" s="236">
        <f t="shared" si="8"/>
        <v>3.4855086190566098E-3</v>
      </c>
      <c r="J474" s="77"/>
      <c r="K474" s="77"/>
    </row>
    <row r="475" spans="1:11" ht="16">
      <c r="A475" s="132">
        <v>42272</v>
      </c>
      <c r="B475" s="79">
        <v>3.69</v>
      </c>
      <c r="G475" s="81">
        <v>42283</v>
      </c>
      <c r="H475" s="82">
        <v>264.13</v>
      </c>
      <c r="I475" s="236">
        <f t="shared" si="8"/>
        <v>-2.7938233850568484E-3</v>
      </c>
      <c r="J475" s="77"/>
      <c r="K475" s="77"/>
    </row>
    <row r="476" spans="1:11" ht="16">
      <c r="A476" s="132">
        <v>42273</v>
      </c>
      <c r="B476" s="79">
        <v>3.69</v>
      </c>
      <c r="G476" s="81">
        <v>42284</v>
      </c>
      <c r="H476" s="82">
        <v>263.49</v>
      </c>
      <c r="I476" s="236">
        <f t="shared" si="8"/>
        <v>-2.4230492560480821E-3</v>
      </c>
      <c r="J476" s="77"/>
      <c r="K476" s="77"/>
    </row>
    <row r="477" spans="1:11" ht="16">
      <c r="A477" s="132">
        <v>42276</v>
      </c>
      <c r="B477" s="79">
        <v>3.73</v>
      </c>
      <c r="G477" s="81">
        <v>42285</v>
      </c>
      <c r="H477" s="82">
        <v>263.48</v>
      </c>
      <c r="I477" s="236">
        <f t="shared" si="8"/>
        <v>-3.7952104444127777E-5</v>
      </c>
      <c r="J477" s="77"/>
      <c r="K477" s="77"/>
    </row>
    <row r="478" spans="1:11" ht="16">
      <c r="A478" s="132">
        <v>42277</v>
      </c>
      <c r="B478" s="79">
        <v>3.73</v>
      </c>
      <c r="G478" s="81">
        <v>42286</v>
      </c>
      <c r="H478" s="82">
        <v>264.77999999999997</v>
      </c>
      <c r="I478" s="236">
        <f t="shared" si="8"/>
        <v>4.9339608319414197E-3</v>
      </c>
      <c r="J478" s="77"/>
      <c r="K478" s="77"/>
    </row>
    <row r="479" spans="1:11" ht="16">
      <c r="A479" s="132">
        <v>42278</v>
      </c>
      <c r="B479" s="79">
        <v>3.7</v>
      </c>
      <c r="G479" s="81">
        <v>42287</v>
      </c>
      <c r="H479" s="82">
        <v>268.27</v>
      </c>
      <c r="I479" s="236">
        <f t="shared" si="8"/>
        <v>1.3180753833371028E-2</v>
      </c>
      <c r="J479" s="77"/>
      <c r="K479" s="77"/>
    </row>
    <row r="480" spans="1:11" ht="16">
      <c r="A480" s="132">
        <v>42279</v>
      </c>
      <c r="B480" s="79">
        <v>3.67</v>
      </c>
      <c r="G480" s="81">
        <v>42290</v>
      </c>
      <c r="H480" s="82">
        <v>269.52</v>
      </c>
      <c r="I480" s="236">
        <f t="shared" si="8"/>
        <v>4.6594848473553441E-3</v>
      </c>
      <c r="J480" s="77"/>
      <c r="K480" s="77"/>
    </row>
    <row r="481" spans="1:11" ht="16">
      <c r="A481" s="132">
        <v>42280</v>
      </c>
      <c r="B481" s="79">
        <v>3.62</v>
      </c>
      <c r="G481" s="81">
        <v>42291</v>
      </c>
      <c r="H481" s="82">
        <v>269.86</v>
      </c>
      <c r="I481" s="236">
        <f t="shared" si="8"/>
        <v>1.2615019293560348E-3</v>
      </c>
      <c r="J481" s="77"/>
      <c r="K481" s="77"/>
    </row>
    <row r="482" spans="1:11" ht="16">
      <c r="A482" s="132">
        <v>42283</v>
      </c>
      <c r="B482" s="79">
        <v>3.62</v>
      </c>
      <c r="G482" s="81">
        <v>42292</v>
      </c>
      <c r="H482" s="82">
        <v>270.82</v>
      </c>
      <c r="I482" s="236">
        <f t="shared" si="8"/>
        <v>3.5574001334024441E-3</v>
      </c>
      <c r="J482" s="77"/>
      <c r="K482" s="77"/>
    </row>
    <row r="483" spans="1:11" ht="16">
      <c r="A483" s="132">
        <v>42284</v>
      </c>
      <c r="B483" s="79">
        <v>3.64</v>
      </c>
      <c r="G483" s="81">
        <v>42293</v>
      </c>
      <c r="H483" s="82">
        <v>272.41000000000003</v>
      </c>
      <c r="I483" s="236">
        <f t="shared" si="8"/>
        <v>5.8710582674841305E-3</v>
      </c>
      <c r="J483" s="77"/>
      <c r="K483" s="77"/>
    </row>
    <row r="484" spans="1:11" ht="16">
      <c r="A484" s="132">
        <v>42285</v>
      </c>
      <c r="B484" s="79">
        <v>3.64</v>
      </c>
      <c r="G484" s="81">
        <v>42294</v>
      </c>
      <c r="H484" s="82">
        <v>271.68</v>
      </c>
      <c r="I484" s="236">
        <f t="shared" si="8"/>
        <v>-2.6797841488932495E-3</v>
      </c>
      <c r="J484" s="77"/>
      <c r="K484" s="77"/>
    </row>
    <row r="485" spans="1:11" ht="16">
      <c r="A485" s="132">
        <v>42286</v>
      </c>
      <c r="B485" s="79">
        <v>3.66</v>
      </c>
      <c r="G485" s="81">
        <v>42297</v>
      </c>
      <c r="H485" s="82">
        <v>272.54000000000002</v>
      </c>
      <c r="I485" s="236">
        <f t="shared" si="8"/>
        <v>3.1654888103651579E-3</v>
      </c>
      <c r="J485" s="77"/>
      <c r="K485" s="77"/>
    </row>
    <row r="486" spans="1:11" ht="16">
      <c r="A486" s="132">
        <v>42287</v>
      </c>
      <c r="B486" s="79">
        <v>3.69</v>
      </c>
      <c r="G486" s="81">
        <v>42298</v>
      </c>
      <c r="H486" s="82">
        <v>273.52999999999997</v>
      </c>
      <c r="I486" s="236">
        <f t="shared" si="8"/>
        <v>3.6324943127612475E-3</v>
      </c>
      <c r="J486" s="77"/>
      <c r="K486" s="77"/>
    </row>
    <row r="487" spans="1:11" ht="16">
      <c r="A487" s="132">
        <v>42290</v>
      </c>
      <c r="B487" s="79">
        <v>3.69</v>
      </c>
      <c r="G487" s="81">
        <v>42299</v>
      </c>
      <c r="H487" s="82">
        <v>272.89</v>
      </c>
      <c r="I487" s="236">
        <f t="shared" si="8"/>
        <v>-2.3397799144517784E-3</v>
      </c>
      <c r="J487" s="77"/>
      <c r="K487" s="77"/>
    </row>
    <row r="488" spans="1:11" ht="16">
      <c r="A488" s="132">
        <v>42291</v>
      </c>
      <c r="B488" s="79">
        <v>3.7</v>
      </c>
      <c r="G488" s="81">
        <v>42300</v>
      </c>
      <c r="H488" s="82">
        <v>274.54000000000002</v>
      </c>
      <c r="I488" s="236">
        <f t="shared" si="8"/>
        <v>6.0463923192497493E-3</v>
      </c>
      <c r="J488" s="77"/>
      <c r="K488" s="77"/>
    </row>
    <row r="489" spans="1:11" ht="16">
      <c r="A489" s="132">
        <v>42292</v>
      </c>
      <c r="B489" s="79">
        <v>3.71</v>
      </c>
      <c r="G489" s="81">
        <v>42301</v>
      </c>
      <c r="H489" s="82">
        <v>274.25</v>
      </c>
      <c r="I489" s="236">
        <f t="shared" si="8"/>
        <v>-1.056312377067159E-3</v>
      </c>
      <c r="J489" s="77"/>
      <c r="K489" s="77"/>
    </row>
    <row r="490" spans="1:11" ht="16">
      <c r="A490" s="132">
        <v>42293</v>
      </c>
      <c r="B490" s="79">
        <v>3.71</v>
      </c>
      <c r="G490" s="81">
        <v>42304</v>
      </c>
      <c r="H490" s="82">
        <v>276.13</v>
      </c>
      <c r="I490" s="236">
        <f t="shared" si="8"/>
        <v>6.8550592525067344E-3</v>
      </c>
      <c r="J490" s="77"/>
      <c r="K490" s="77"/>
    </row>
    <row r="491" spans="1:11" ht="16">
      <c r="A491" s="132">
        <v>42294</v>
      </c>
      <c r="B491" s="79">
        <v>3.7</v>
      </c>
      <c r="G491" s="81">
        <v>42305</v>
      </c>
      <c r="H491" s="82">
        <v>276.02999999999997</v>
      </c>
      <c r="I491" s="236">
        <f t="shared" si="8"/>
        <v>-3.6214826349911799E-4</v>
      </c>
      <c r="J491" s="77"/>
      <c r="K491" s="77"/>
    </row>
    <row r="492" spans="1:11" ht="16">
      <c r="A492" s="132">
        <v>42297</v>
      </c>
      <c r="B492" s="79">
        <v>3.71</v>
      </c>
      <c r="G492" s="81">
        <v>42306</v>
      </c>
      <c r="H492" s="82">
        <v>275.8</v>
      </c>
      <c r="I492" s="236">
        <f t="shared" si="8"/>
        <v>-8.3324276346763426E-4</v>
      </c>
      <c r="J492" s="77"/>
      <c r="K492" s="77"/>
    </row>
    <row r="493" spans="1:11" ht="16">
      <c r="A493" s="132">
        <v>42298</v>
      </c>
      <c r="B493" s="79">
        <v>3.69</v>
      </c>
      <c r="G493" s="81">
        <v>42307</v>
      </c>
      <c r="H493" s="82">
        <v>275.7</v>
      </c>
      <c r="I493" s="236">
        <f t="shared" si="8"/>
        <v>-3.6258158085578085E-4</v>
      </c>
      <c r="J493" s="77"/>
      <c r="K493" s="77"/>
    </row>
    <row r="494" spans="1:11" ht="16">
      <c r="A494" s="132">
        <v>42299</v>
      </c>
      <c r="B494" s="79">
        <v>3.68</v>
      </c>
      <c r="G494" s="81">
        <v>42308</v>
      </c>
      <c r="H494" s="82">
        <v>277.63</v>
      </c>
      <c r="I494" s="236">
        <f t="shared" si="8"/>
        <v>7.0003627130938995E-3</v>
      </c>
      <c r="J494" s="77"/>
      <c r="K494" s="77"/>
    </row>
    <row r="495" spans="1:11" ht="16">
      <c r="A495" s="132">
        <v>42300</v>
      </c>
      <c r="B495" s="79">
        <v>3.68</v>
      </c>
      <c r="G495" s="81">
        <v>42311</v>
      </c>
      <c r="H495" s="82">
        <v>280.93</v>
      </c>
      <c r="I495" s="236">
        <f t="shared" si="8"/>
        <v>1.1886323524114895E-2</v>
      </c>
      <c r="J495" s="77"/>
      <c r="K495" s="77"/>
    </row>
    <row r="496" spans="1:11" ht="16">
      <c r="A496" s="132">
        <v>42301</v>
      </c>
      <c r="B496" s="79">
        <v>3.68</v>
      </c>
      <c r="G496" s="81">
        <v>42312</v>
      </c>
      <c r="H496" s="82">
        <v>282.23</v>
      </c>
      <c r="I496" s="236">
        <f t="shared" si="8"/>
        <v>4.6274872744100914E-3</v>
      </c>
      <c r="J496" s="77"/>
      <c r="K496" s="77"/>
    </row>
    <row r="497" spans="1:11" ht="16">
      <c r="A497" s="132">
        <v>42304</v>
      </c>
      <c r="B497" s="79">
        <v>3.7</v>
      </c>
      <c r="G497" s="81">
        <v>42313</v>
      </c>
      <c r="H497" s="82">
        <v>281.51</v>
      </c>
      <c r="I497" s="236">
        <f t="shared" si="8"/>
        <v>-2.5511107961592172E-3</v>
      </c>
      <c r="J497" s="77"/>
      <c r="K497" s="77"/>
    </row>
    <row r="498" spans="1:11" ht="16">
      <c r="A498" s="132">
        <v>42305</v>
      </c>
      <c r="B498" s="79">
        <v>3.69</v>
      </c>
      <c r="G498" s="81">
        <v>42314</v>
      </c>
      <c r="H498" s="82">
        <v>282.97000000000003</v>
      </c>
      <c r="I498" s="236">
        <f t="shared" si="8"/>
        <v>5.1863166494974244E-3</v>
      </c>
      <c r="J498" s="77"/>
      <c r="K498" s="77"/>
    </row>
    <row r="499" spans="1:11" ht="16">
      <c r="A499" s="132">
        <v>42306</v>
      </c>
      <c r="B499" s="79">
        <v>3.7</v>
      </c>
      <c r="G499" s="81">
        <v>42315</v>
      </c>
      <c r="H499" s="82">
        <v>280.77999999999997</v>
      </c>
      <c r="I499" s="236">
        <f t="shared" si="8"/>
        <v>-7.7393363254056879E-3</v>
      </c>
      <c r="J499" s="77"/>
      <c r="K499" s="77"/>
    </row>
    <row r="500" spans="1:11" ht="16">
      <c r="A500" s="132">
        <v>42307</v>
      </c>
      <c r="B500" s="79">
        <v>3.69</v>
      </c>
      <c r="G500" s="81">
        <v>42318</v>
      </c>
      <c r="H500" s="82">
        <v>277.89</v>
      </c>
      <c r="I500" s="236">
        <f t="shared" si="8"/>
        <v>-1.0292755894294459E-2</v>
      </c>
      <c r="J500" s="77"/>
      <c r="K500" s="77"/>
    </row>
    <row r="501" spans="1:11" ht="16">
      <c r="A501" s="132">
        <v>42308</v>
      </c>
      <c r="B501" s="79">
        <v>3.66</v>
      </c>
      <c r="G501" s="81">
        <v>42319</v>
      </c>
      <c r="H501" s="82">
        <v>278.20999999999998</v>
      </c>
      <c r="I501" s="236">
        <f t="shared" si="8"/>
        <v>1.1515347799488929E-3</v>
      </c>
      <c r="J501" s="77"/>
      <c r="K501" s="77"/>
    </row>
    <row r="502" spans="1:11" ht="16">
      <c r="A502" s="132">
        <v>42311</v>
      </c>
      <c r="B502" s="79">
        <v>3.68</v>
      </c>
      <c r="G502" s="81">
        <v>42320</v>
      </c>
      <c r="H502" s="82">
        <v>275.39999999999998</v>
      </c>
      <c r="I502" s="236">
        <f t="shared" si="8"/>
        <v>-1.0100283958161094E-2</v>
      </c>
      <c r="J502" s="77"/>
      <c r="K502" s="77"/>
    </row>
    <row r="503" spans="1:11" ht="16">
      <c r="A503" s="132">
        <v>42312</v>
      </c>
      <c r="B503" s="79">
        <v>3.71</v>
      </c>
      <c r="G503" s="81">
        <v>42321</v>
      </c>
      <c r="H503" s="82">
        <v>274.89</v>
      </c>
      <c r="I503" s="236">
        <f t="shared" si="8"/>
        <v>-1.8518518518517713E-3</v>
      </c>
      <c r="J503" s="77"/>
      <c r="K503" s="77"/>
    </row>
    <row r="504" spans="1:11" ht="16">
      <c r="A504" s="132">
        <v>42313</v>
      </c>
      <c r="B504" s="79">
        <v>3.71</v>
      </c>
      <c r="G504" s="81">
        <v>42322</v>
      </c>
      <c r="H504" s="82">
        <v>276.23</v>
      </c>
      <c r="I504" s="236">
        <f t="shared" si="8"/>
        <v>4.8746771435848046E-3</v>
      </c>
      <c r="J504" s="77"/>
      <c r="K504" s="77"/>
    </row>
    <row r="505" spans="1:11" ht="16">
      <c r="A505" s="132">
        <v>42314</v>
      </c>
      <c r="B505" s="79">
        <v>3.73</v>
      </c>
      <c r="G505" s="81">
        <v>42325</v>
      </c>
      <c r="H505" s="82">
        <v>277.08999999999997</v>
      </c>
      <c r="I505" s="236">
        <f t="shared" si="8"/>
        <v>3.113347572674785E-3</v>
      </c>
      <c r="J505" s="77"/>
      <c r="K505" s="77"/>
    </row>
    <row r="506" spans="1:11" ht="16">
      <c r="A506" s="132">
        <v>42315</v>
      </c>
      <c r="B506" s="79">
        <v>3.76</v>
      </c>
      <c r="G506" s="81">
        <v>42326</v>
      </c>
      <c r="H506" s="82">
        <v>278.66000000000003</v>
      </c>
      <c r="I506" s="236">
        <f t="shared" si="8"/>
        <v>5.666029088022162E-3</v>
      </c>
      <c r="J506" s="77"/>
      <c r="K506" s="77"/>
    </row>
    <row r="507" spans="1:11" ht="16">
      <c r="A507" s="132">
        <v>42318</v>
      </c>
      <c r="B507" s="79">
        <v>3.75</v>
      </c>
      <c r="G507" s="81">
        <v>42327</v>
      </c>
      <c r="H507" s="82">
        <v>277.68</v>
      </c>
      <c r="I507" s="236">
        <f t="shared" si="8"/>
        <v>-3.5168305461853455E-3</v>
      </c>
      <c r="J507" s="77"/>
      <c r="K507" s="77"/>
    </row>
    <row r="508" spans="1:11" ht="16">
      <c r="A508" s="132">
        <v>42319</v>
      </c>
      <c r="B508" s="79">
        <v>3.76</v>
      </c>
      <c r="G508" s="81">
        <v>42328</v>
      </c>
      <c r="H508" s="82">
        <v>276.3</v>
      </c>
      <c r="I508" s="236">
        <f t="shared" si="8"/>
        <v>-4.9697493517718572E-3</v>
      </c>
      <c r="J508" s="77"/>
      <c r="K508" s="77"/>
    </row>
    <row r="509" spans="1:11" ht="16">
      <c r="A509" s="132">
        <v>42320</v>
      </c>
      <c r="B509" s="79">
        <v>3.75</v>
      </c>
      <c r="G509" s="81">
        <v>42329</v>
      </c>
      <c r="H509" s="82">
        <v>277.19</v>
      </c>
      <c r="I509" s="236">
        <f t="shared" si="8"/>
        <v>3.2211364458920588E-3</v>
      </c>
      <c r="J509" s="77"/>
      <c r="K509" s="77"/>
    </row>
    <row r="510" spans="1:11" ht="16">
      <c r="A510" s="132">
        <v>42321</v>
      </c>
      <c r="B510" s="79">
        <v>3.72</v>
      </c>
      <c r="G510" s="81">
        <v>42332</v>
      </c>
      <c r="H510" s="82">
        <v>278.32</v>
      </c>
      <c r="I510" s="236">
        <f t="shared" si="8"/>
        <v>4.0766261409141968E-3</v>
      </c>
      <c r="J510" s="77"/>
      <c r="K510" s="77"/>
    </row>
    <row r="511" spans="1:11" ht="16">
      <c r="A511" s="132">
        <v>42322</v>
      </c>
      <c r="B511" s="79">
        <v>3.71</v>
      </c>
      <c r="G511" s="81">
        <v>42333</v>
      </c>
      <c r="H511" s="82">
        <v>277.04000000000002</v>
      </c>
      <c r="I511" s="236">
        <f t="shared" si="8"/>
        <v>-4.5990227076745382E-3</v>
      </c>
      <c r="J511" s="77"/>
      <c r="K511" s="77"/>
    </row>
    <row r="512" spans="1:11" ht="16">
      <c r="A512" s="132">
        <v>42325</v>
      </c>
      <c r="B512" s="79">
        <v>3.72</v>
      </c>
      <c r="G512" s="81">
        <v>42334</v>
      </c>
      <c r="H512" s="82">
        <v>278.33</v>
      </c>
      <c r="I512" s="236">
        <f t="shared" si="8"/>
        <v>4.656367311579368E-3</v>
      </c>
      <c r="J512" s="77"/>
      <c r="K512" s="77"/>
    </row>
    <row r="513" spans="1:11" ht="16">
      <c r="A513" s="132">
        <v>42326</v>
      </c>
      <c r="B513" s="79">
        <v>3.72</v>
      </c>
      <c r="G513" s="81">
        <v>42335</v>
      </c>
      <c r="H513" s="82">
        <v>277.95</v>
      </c>
      <c r="I513" s="236">
        <f t="shared" si="8"/>
        <v>-1.3652858118060607E-3</v>
      </c>
      <c r="J513" s="77"/>
      <c r="K513" s="77"/>
    </row>
    <row r="514" spans="1:11" ht="16">
      <c r="A514" s="132">
        <v>42327</v>
      </c>
      <c r="B514" s="79">
        <v>3.69</v>
      </c>
      <c r="G514" s="81">
        <v>42336</v>
      </c>
      <c r="H514" s="82">
        <v>275.92</v>
      </c>
      <c r="I514" s="236">
        <f t="shared" si="8"/>
        <v>-7.3034718474545013E-3</v>
      </c>
      <c r="J514" s="77"/>
      <c r="K514" s="77"/>
    </row>
    <row r="515" spans="1:11" ht="16">
      <c r="A515" s="132">
        <v>42328</v>
      </c>
      <c r="B515" s="79">
        <v>3.69</v>
      </c>
      <c r="G515" s="81">
        <v>42339</v>
      </c>
      <c r="H515" s="82">
        <v>275.92</v>
      </c>
      <c r="I515" s="236">
        <f t="shared" si="8"/>
        <v>0</v>
      </c>
      <c r="J515" s="77"/>
      <c r="K515" s="77"/>
    </row>
    <row r="516" spans="1:11" ht="16">
      <c r="A516" s="132">
        <v>42329</v>
      </c>
      <c r="B516" s="79">
        <v>3.7</v>
      </c>
      <c r="G516" s="81">
        <v>42340</v>
      </c>
      <c r="H516" s="82">
        <v>275.33</v>
      </c>
      <c r="I516" s="236">
        <f t="shared" si="8"/>
        <v>-2.1383009567992328E-3</v>
      </c>
      <c r="J516" s="77"/>
      <c r="K516" s="77"/>
    </row>
    <row r="517" spans="1:11" ht="16">
      <c r="A517" s="132">
        <v>42332</v>
      </c>
      <c r="B517" s="79">
        <v>3.69</v>
      </c>
      <c r="G517" s="81">
        <v>42341</v>
      </c>
      <c r="H517" s="82">
        <v>275.61</v>
      </c>
      <c r="I517" s="236">
        <f t="shared" si="8"/>
        <v>1.0169614644246483E-3</v>
      </c>
      <c r="J517" s="77"/>
      <c r="K517" s="77"/>
    </row>
    <row r="518" spans="1:11" ht="16">
      <c r="A518" s="132">
        <v>42333</v>
      </c>
      <c r="B518" s="79">
        <v>3.68</v>
      </c>
      <c r="G518" s="81">
        <v>42342</v>
      </c>
      <c r="H518" s="82">
        <v>277.2</v>
      </c>
      <c r="I518" s="236">
        <f t="shared" si="8"/>
        <v>5.7690214433436804E-3</v>
      </c>
      <c r="J518" s="77"/>
      <c r="K518" s="77"/>
    </row>
    <row r="519" spans="1:11" ht="16">
      <c r="A519" s="132">
        <v>42334</v>
      </c>
      <c r="B519" s="79">
        <v>3.69</v>
      </c>
      <c r="G519" s="81">
        <v>42343</v>
      </c>
      <c r="H519" s="82">
        <v>278.57</v>
      </c>
      <c r="I519" s="236">
        <f t="shared" si="8"/>
        <v>4.9422799422800257E-3</v>
      </c>
      <c r="J519" s="77"/>
      <c r="K519" s="77"/>
    </row>
    <row r="520" spans="1:11" ht="16">
      <c r="A520" s="132">
        <v>42335</v>
      </c>
      <c r="B520" s="209">
        <v>3.69</v>
      </c>
      <c r="G520" s="81">
        <v>42346</v>
      </c>
      <c r="H520" s="82">
        <v>278.99</v>
      </c>
      <c r="I520" s="236">
        <f t="shared" si="8"/>
        <v>1.507700039487414E-3</v>
      </c>
      <c r="J520" s="77"/>
      <c r="K520" s="77"/>
    </row>
    <row r="521" spans="1:11" ht="16">
      <c r="A521" s="132">
        <v>42336</v>
      </c>
      <c r="B521" s="79">
        <v>3.69</v>
      </c>
      <c r="G521" s="81">
        <v>42347</v>
      </c>
      <c r="H521" s="82">
        <v>278.39999999999998</v>
      </c>
      <c r="I521" s="236">
        <f t="shared" si="8"/>
        <v>-2.1147711387505819E-3</v>
      </c>
      <c r="J521" s="77"/>
      <c r="K521" s="77"/>
    </row>
    <row r="522" spans="1:11" ht="16">
      <c r="A522" s="132">
        <v>42337</v>
      </c>
      <c r="B522" s="79">
        <v>3.72</v>
      </c>
      <c r="G522" s="81">
        <v>42348</v>
      </c>
      <c r="H522" s="82">
        <v>280.7</v>
      </c>
      <c r="I522" s="236">
        <f t="shared" si="8"/>
        <v>8.2614942528735913E-3</v>
      </c>
      <c r="J522" s="77"/>
      <c r="K522" s="77"/>
    </row>
    <row r="523" spans="1:11" ht="16">
      <c r="A523" s="132">
        <v>42339</v>
      </c>
      <c r="B523" s="79">
        <v>3.75</v>
      </c>
      <c r="G523" s="81">
        <v>42349</v>
      </c>
      <c r="H523" s="82">
        <v>283.26</v>
      </c>
      <c r="I523" s="236">
        <f t="shared" si="8"/>
        <v>9.1200570003562298E-3</v>
      </c>
      <c r="J523" s="77"/>
      <c r="K523" s="77"/>
    </row>
    <row r="524" spans="1:11" ht="16">
      <c r="A524" s="132">
        <v>42340</v>
      </c>
      <c r="B524" s="79">
        <v>3.73</v>
      </c>
      <c r="G524" s="81">
        <v>42350</v>
      </c>
      <c r="H524" s="82">
        <v>286.54000000000002</v>
      </c>
      <c r="I524" s="236">
        <f t="shared" si="8"/>
        <v>1.1579467626915196E-2</v>
      </c>
      <c r="J524" s="77"/>
      <c r="K524" s="77"/>
    </row>
    <row r="525" spans="1:11" ht="16">
      <c r="A525" s="132">
        <v>42341</v>
      </c>
      <c r="B525" s="79">
        <v>3.7</v>
      </c>
      <c r="G525" s="81">
        <v>42353</v>
      </c>
      <c r="H525" s="82">
        <v>287.16000000000003</v>
      </c>
      <c r="I525" s="236">
        <f t="shared" si="8"/>
        <v>2.1637467718294001E-3</v>
      </c>
      <c r="J525" s="77"/>
      <c r="K525" s="77"/>
    </row>
    <row r="526" spans="1:11" ht="16">
      <c r="A526" s="132">
        <v>42342</v>
      </c>
      <c r="B526" s="79">
        <v>3.72</v>
      </c>
      <c r="G526" s="81">
        <v>42354</v>
      </c>
      <c r="H526" s="82">
        <v>290.24</v>
      </c>
      <c r="I526" s="236">
        <f t="shared" si="8"/>
        <v>1.072572781724479E-2</v>
      </c>
      <c r="J526" s="77"/>
      <c r="K526" s="77"/>
    </row>
    <row r="527" spans="1:11" ht="16">
      <c r="A527" s="132">
        <v>42343</v>
      </c>
      <c r="B527" s="79">
        <v>3.73</v>
      </c>
      <c r="G527" s="81">
        <v>42355</v>
      </c>
      <c r="H527" s="82">
        <v>292.02</v>
      </c>
      <c r="I527" s="236">
        <f t="shared" si="8"/>
        <v>6.1328555678059615E-3</v>
      </c>
      <c r="J527" s="77"/>
      <c r="K527" s="77"/>
    </row>
    <row r="528" spans="1:11" ht="16">
      <c r="A528" s="132">
        <v>42346</v>
      </c>
      <c r="B528" s="79">
        <v>3.73</v>
      </c>
      <c r="G528" s="81">
        <v>42356</v>
      </c>
      <c r="H528" s="82">
        <v>291.45999999999998</v>
      </c>
      <c r="I528" s="236">
        <f t="shared" ref="I528:I591" si="9">H528/H527-1</f>
        <v>-1.9176768714471715E-3</v>
      </c>
      <c r="J528" s="77"/>
      <c r="K528" s="77"/>
    </row>
    <row r="529" spans="1:11" ht="16">
      <c r="A529" s="132">
        <v>42347</v>
      </c>
      <c r="B529" s="79">
        <v>3.73</v>
      </c>
      <c r="G529" s="81">
        <v>42357</v>
      </c>
      <c r="H529" s="82">
        <v>291.39999999999998</v>
      </c>
      <c r="I529" s="236">
        <f t="shared" si="9"/>
        <v>-2.0586015233647892E-4</v>
      </c>
      <c r="J529" s="77"/>
      <c r="K529" s="77"/>
    </row>
    <row r="530" spans="1:11" ht="16">
      <c r="A530" s="132">
        <v>42348</v>
      </c>
      <c r="B530" s="79">
        <v>3.72</v>
      </c>
      <c r="G530" s="81">
        <v>42360</v>
      </c>
      <c r="H530" s="82">
        <v>292.49</v>
      </c>
      <c r="I530" s="236">
        <f t="shared" si="9"/>
        <v>3.7405628002746827E-3</v>
      </c>
      <c r="J530" s="77"/>
      <c r="K530" s="77"/>
    </row>
    <row r="531" spans="1:11" ht="16">
      <c r="A531" s="132">
        <v>42349</v>
      </c>
      <c r="B531" s="79">
        <v>3.71</v>
      </c>
      <c r="G531" s="81">
        <v>42361</v>
      </c>
      <c r="H531" s="82">
        <v>292.07</v>
      </c>
      <c r="I531" s="236">
        <f t="shared" si="9"/>
        <v>-1.4359465280864292E-3</v>
      </c>
      <c r="J531" s="77"/>
      <c r="K531" s="77"/>
    </row>
    <row r="532" spans="1:11" ht="16">
      <c r="A532" s="132">
        <v>42350</v>
      </c>
      <c r="B532" s="79">
        <v>3.7</v>
      </c>
      <c r="G532" s="81">
        <v>42362</v>
      </c>
      <c r="H532" s="82">
        <v>292.12</v>
      </c>
      <c r="I532" s="236">
        <f t="shared" si="9"/>
        <v>1.7119183757330347E-4</v>
      </c>
      <c r="J532" s="77"/>
      <c r="K532" s="77"/>
    </row>
    <row r="533" spans="1:11" ht="16">
      <c r="A533" s="132">
        <v>42353</v>
      </c>
      <c r="B533" s="79">
        <v>3.67</v>
      </c>
      <c r="G533" s="81">
        <v>42363</v>
      </c>
      <c r="H533" s="82">
        <v>292.58999999999997</v>
      </c>
      <c r="I533" s="236">
        <f t="shared" si="9"/>
        <v>1.6089278378748073E-3</v>
      </c>
      <c r="J533" s="77"/>
      <c r="K533" s="77"/>
    </row>
    <row r="534" spans="1:11" ht="16">
      <c r="A534" s="132">
        <v>42354</v>
      </c>
      <c r="B534" s="79">
        <v>3.66</v>
      </c>
      <c r="G534" s="81">
        <v>42364</v>
      </c>
      <c r="H534" s="82">
        <v>294.52</v>
      </c>
      <c r="I534" s="236">
        <f t="shared" si="9"/>
        <v>6.5962609795275906E-3</v>
      </c>
      <c r="J534" s="77"/>
      <c r="K534" s="77"/>
    </row>
    <row r="535" spans="1:11" ht="16">
      <c r="A535" s="132">
        <v>42355</v>
      </c>
      <c r="B535" s="79">
        <v>3.65</v>
      </c>
      <c r="G535" s="81">
        <v>42367</v>
      </c>
      <c r="H535" s="82">
        <v>294.86</v>
      </c>
      <c r="I535" s="236">
        <f t="shared" si="9"/>
        <v>1.1544207524107897E-3</v>
      </c>
      <c r="J535" s="77"/>
      <c r="K535" s="77"/>
    </row>
    <row r="536" spans="1:11" ht="16">
      <c r="A536" s="132">
        <v>42356</v>
      </c>
      <c r="B536" s="79">
        <v>3.67</v>
      </c>
      <c r="G536" s="81">
        <v>42368</v>
      </c>
      <c r="H536" s="82">
        <v>294.06</v>
      </c>
      <c r="I536" s="236">
        <f t="shared" si="9"/>
        <v>-2.7131520043410795E-3</v>
      </c>
      <c r="J536" s="77"/>
      <c r="K536" s="77"/>
    </row>
    <row r="537" spans="1:11" ht="16">
      <c r="A537" s="132">
        <v>42357</v>
      </c>
      <c r="B537" s="79">
        <v>3.67</v>
      </c>
      <c r="G537" s="81">
        <v>42369</v>
      </c>
      <c r="H537" s="82">
        <v>294.10000000000002</v>
      </c>
      <c r="I537" s="236">
        <f t="shared" si="9"/>
        <v>1.360266612255856E-4</v>
      </c>
    </row>
    <row r="538" spans="1:11" ht="16">
      <c r="A538" s="132">
        <v>42360</v>
      </c>
      <c r="B538" s="79">
        <v>3.66</v>
      </c>
      <c r="G538" s="81">
        <v>42370</v>
      </c>
      <c r="H538" s="82">
        <v>298.23</v>
      </c>
      <c r="I538" s="236">
        <f t="shared" si="9"/>
        <v>1.4042842570554326E-2</v>
      </c>
    </row>
    <row r="539" spans="1:11" ht="16">
      <c r="A539" s="132">
        <v>42361</v>
      </c>
      <c r="B539" s="79">
        <v>3.66</v>
      </c>
      <c r="G539" s="81">
        <v>42371</v>
      </c>
      <c r="H539" s="82">
        <v>297.17</v>
      </c>
      <c r="I539" s="236">
        <f t="shared" si="9"/>
        <v>-3.5543037253127352E-3</v>
      </c>
    </row>
    <row r="540" spans="1:11" ht="16">
      <c r="A540" s="132">
        <v>42362</v>
      </c>
      <c r="B540" s="209">
        <v>3.66</v>
      </c>
      <c r="G540" s="81">
        <v>42374</v>
      </c>
      <c r="H540" s="82">
        <v>294.22000000000003</v>
      </c>
      <c r="I540" s="236">
        <f t="shared" si="9"/>
        <v>-9.9269778241409812E-3</v>
      </c>
    </row>
    <row r="541" spans="1:11" ht="16">
      <c r="A541" s="132">
        <v>42363</v>
      </c>
      <c r="B541" s="79">
        <v>3.65</v>
      </c>
      <c r="G541" s="81">
        <v>42375</v>
      </c>
      <c r="H541" s="82">
        <v>294.75</v>
      </c>
      <c r="I541" s="236">
        <f t="shared" si="9"/>
        <v>1.801373122153338E-3</v>
      </c>
    </row>
    <row r="542" spans="1:11" ht="16">
      <c r="A542" s="132">
        <v>42364</v>
      </c>
      <c r="B542" s="79">
        <v>3.64</v>
      </c>
      <c r="G542" s="81">
        <v>42376</v>
      </c>
      <c r="H542" s="82">
        <v>293.61</v>
      </c>
      <c r="I542" s="236">
        <f t="shared" si="9"/>
        <v>-3.8676844783714914E-3</v>
      </c>
    </row>
    <row r="543" spans="1:11" ht="16">
      <c r="A543" s="132">
        <v>42367</v>
      </c>
      <c r="B543" s="79">
        <v>3.64</v>
      </c>
      <c r="E543" s="81"/>
      <c r="F543" s="82"/>
      <c r="G543" s="81">
        <v>42377</v>
      </c>
      <c r="H543" s="82">
        <v>297.82</v>
      </c>
      <c r="I543" s="236">
        <f t="shared" si="9"/>
        <v>1.4338748680222002E-2</v>
      </c>
    </row>
    <row r="544" spans="1:11" ht="16">
      <c r="A544" s="132">
        <v>42368</v>
      </c>
      <c r="B544" s="79">
        <v>3.65</v>
      </c>
      <c r="E544" s="81"/>
      <c r="F544" s="82"/>
      <c r="G544" s="81">
        <v>42378</v>
      </c>
      <c r="H544" s="82">
        <v>298.82</v>
      </c>
      <c r="I544" s="236">
        <f t="shared" si="9"/>
        <v>3.357732858773721E-3</v>
      </c>
    </row>
    <row r="545" spans="1:9" ht="16">
      <c r="A545" s="132">
        <v>42369</v>
      </c>
      <c r="B545" s="209">
        <v>3.65</v>
      </c>
      <c r="E545" s="81"/>
      <c r="F545" s="82"/>
      <c r="G545" s="81">
        <v>42381</v>
      </c>
      <c r="H545" s="82">
        <v>301.32</v>
      </c>
      <c r="I545" s="236">
        <f t="shared" si="9"/>
        <v>8.366240546148207E-3</v>
      </c>
    </row>
    <row r="546" spans="1:9" ht="16">
      <c r="A546" s="132">
        <v>42370</v>
      </c>
      <c r="B546" s="79">
        <v>3.66</v>
      </c>
      <c r="E546" s="81"/>
      <c r="F546" s="82"/>
      <c r="G546" s="81">
        <v>42382</v>
      </c>
      <c r="H546" s="82">
        <v>301.23</v>
      </c>
      <c r="I546" s="236">
        <f t="shared" si="9"/>
        <v>-2.9868578255665135E-4</v>
      </c>
    </row>
    <row r="547" spans="1:9" ht="16">
      <c r="A547" s="132">
        <v>42371</v>
      </c>
      <c r="B547" s="79">
        <v>3.62</v>
      </c>
      <c r="E547" s="81"/>
      <c r="F547" s="82"/>
      <c r="G547" s="81">
        <v>42383</v>
      </c>
      <c r="H547" s="82">
        <v>300.07</v>
      </c>
      <c r="I547" s="236">
        <f t="shared" si="9"/>
        <v>-3.850878066593677E-3</v>
      </c>
    </row>
    <row r="548" spans="1:9" ht="16">
      <c r="A548" s="132">
        <v>42374</v>
      </c>
      <c r="B548" s="79">
        <v>3.6</v>
      </c>
      <c r="E548" s="81"/>
      <c r="F548" s="82"/>
      <c r="G548" s="81">
        <v>42384</v>
      </c>
      <c r="H548" s="82">
        <v>300.60000000000002</v>
      </c>
      <c r="I548" s="236">
        <f t="shared" si="9"/>
        <v>1.7662545406071928E-3</v>
      </c>
    </row>
    <row r="549" spans="1:9" ht="16">
      <c r="A549" s="132">
        <v>42375</v>
      </c>
      <c r="B549" s="79">
        <v>3.61</v>
      </c>
      <c r="E549" s="81"/>
      <c r="F549" s="82"/>
      <c r="G549" s="81">
        <v>42385</v>
      </c>
      <c r="H549" s="82">
        <v>302.11</v>
      </c>
      <c r="I549" s="236">
        <f t="shared" si="9"/>
        <v>5.0232867598136721E-3</v>
      </c>
    </row>
    <row r="550" spans="1:9" ht="16">
      <c r="A550" s="132">
        <v>42376</v>
      </c>
      <c r="B550" s="79">
        <v>3.61</v>
      </c>
      <c r="E550" s="81"/>
      <c r="F550" s="82"/>
      <c r="G550" s="81">
        <v>42388</v>
      </c>
      <c r="H550" s="82">
        <v>301.43</v>
      </c>
      <c r="I550" s="236">
        <f t="shared" si="9"/>
        <v>-2.2508357882891072E-3</v>
      </c>
    </row>
    <row r="551" spans="1:9" ht="16">
      <c r="A551" s="132">
        <v>42377</v>
      </c>
      <c r="B551" s="79">
        <v>3.61</v>
      </c>
      <c r="E551" s="81"/>
      <c r="F551" s="82"/>
      <c r="G551" s="81">
        <v>42389</v>
      </c>
      <c r="H551" s="82">
        <v>296.95</v>
      </c>
      <c r="I551" s="236">
        <f t="shared" si="9"/>
        <v>-1.486248880337071E-2</v>
      </c>
    </row>
    <row r="552" spans="1:9" ht="16">
      <c r="A552" s="132">
        <v>42378</v>
      </c>
      <c r="B552" s="79">
        <v>3.6</v>
      </c>
      <c r="E552" s="81"/>
      <c r="F552" s="82"/>
      <c r="G552" s="81">
        <v>42390</v>
      </c>
      <c r="H552" s="82">
        <v>298.18</v>
      </c>
      <c r="I552" s="236">
        <f t="shared" si="9"/>
        <v>4.1421114665769476E-3</v>
      </c>
    </row>
    <row r="553" spans="1:9" ht="16">
      <c r="A553" s="132">
        <v>42381</v>
      </c>
      <c r="B553" s="79">
        <v>3.59</v>
      </c>
      <c r="E553" s="81"/>
      <c r="F553" s="82"/>
      <c r="G553" s="81">
        <v>42391</v>
      </c>
      <c r="H553" s="82">
        <v>295.55</v>
      </c>
      <c r="I553" s="236">
        <f t="shared" si="9"/>
        <v>-8.8201757327788233E-3</v>
      </c>
    </row>
    <row r="554" spans="1:9" ht="16">
      <c r="A554" s="132">
        <v>42382</v>
      </c>
      <c r="B554" s="79">
        <v>3.58</v>
      </c>
      <c r="E554" s="81"/>
      <c r="F554" s="82"/>
      <c r="G554" s="81">
        <v>42392</v>
      </c>
      <c r="H554" s="82">
        <v>294.83999999999997</v>
      </c>
      <c r="I554" s="236">
        <f t="shared" si="9"/>
        <v>-2.4023007951278208E-3</v>
      </c>
    </row>
    <row r="555" spans="1:9" ht="16">
      <c r="A555" s="132">
        <v>42383</v>
      </c>
      <c r="B555" s="79">
        <v>3.55</v>
      </c>
      <c r="E555" s="81"/>
      <c r="F555" s="82"/>
      <c r="G555" s="81">
        <v>42395</v>
      </c>
      <c r="H555" s="82">
        <v>290.14</v>
      </c>
      <c r="I555" s="236">
        <f t="shared" si="9"/>
        <v>-1.59408492741826E-2</v>
      </c>
    </row>
    <row r="556" spans="1:9" ht="16">
      <c r="A556" s="132">
        <v>42384</v>
      </c>
      <c r="B556" s="79">
        <v>3.54</v>
      </c>
      <c r="E556" s="81"/>
      <c r="F556" s="82"/>
      <c r="G556" s="81">
        <v>42396</v>
      </c>
      <c r="H556" s="82">
        <v>291.14999999999998</v>
      </c>
      <c r="I556" s="236">
        <f t="shared" si="9"/>
        <v>3.4810781002274638E-3</v>
      </c>
    </row>
    <row r="557" spans="1:9" ht="16">
      <c r="A557" s="132">
        <v>42385</v>
      </c>
      <c r="B557" s="79">
        <v>3.54</v>
      </c>
      <c r="E557" s="81"/>
      <c r="F557" s="82"/>
      <c r="G557" s="81">
        <v>42397</v>
      </c>
      <c r="H557" s="82">
        <v>289.81</v>
      </c>
      <c r="I557" s="236">
        <f t="shared" si="9"/>
        <v>-4.6024386055296684E-3</v>
      </c>
    </row>
    <row r="558" spans="1:9" ht="16">
      <c r="A558" s="132">
        <v>42388</v>
      </c>
      <c r="B558" s="79">
        <v>3.53</v>
      </c>
      <c r="E558" s="81"/>
      <c r="F558" s="82"/>
      <c r="G558" s="81">
        <v>42398</v>
      </c>
      <c r="H558" s="82">
        <v>283.39999999999998</v>
      </c>
      <c r="I558" s="236">
        <f t="shared" si="9"/>
        <v>-2.2117939339567405E-2</v>
      </c>
    </row>
    <row r="559" spans="1:9" ht="16">
      <c r="A559" s="132">
        <v>42389</v>
      </c>
      <c r="B559" s="79">
        <v>3.51</v>
      </c>
      <c r="E559" s="81"/>
      <c r="F559" s="82"/>
      <c r="G559" s="81">
        <v>42399</v>
      </c>
      <c r="H559" s="82">
        <v>281.29000000000002</v>
      </c>
      <c r="I559" s="236">
        <f t="shared" si="9"/>
        <v>-7.4453069865912935E-3</v>
      </c>
    </row>
    <row r="560" spans="1:9" ht="16">
      <c r="A560" s="132">
        <v>42390</v>
      </c>
      <c r="B560" s="79">
        <v>3.49</v>
      </c>
      <c r="E560" s="81"/>
      <c r="F560" s="82"/>
      <c r="G560" s="81">
        <v>42402</v>
      </c>
      <c r="H560" s="82">
        <v>279.89999999999998</v>
      </c>
      <c r="I560" s="236">
        <f t="shared" si="9"/>
        <v>-4.9415194283480846E-3</v>
      </c>
    </row>
    <row r="561" spans="1:9" ht="16">
      <c r="A561" s="132">
        <v>42391</v>
      </c>
      <c r="B561" s="79">
        <v>3.48</v>
      </c>
      <c r="E561" s="81"/>
      <c r="F561" s="82"/>
      <c r="G561" s="81">
        <v>42403</v>
      </c>
      <c r="H561" s="82">
        <v>285.89</v>
      </c>
      <c r="I561" s="236">
        <f t="shared" si="9"/>
        <v>2.1400500178635262E-2</v>
      </c>
    </row>
    <row r="562" spans="1:9" ht="16">
      <c r="A562" s="132">
        <v>42392</v>
      </c>
      <c r="B562" s="79">
        <v>3.48</v>
      </c>
      <c r="E562" s="81"/>
      <c r="F562" s="82"/>
      <c r="G562" s="81">
        <v>42404</v>
      </c>
      <c r="H562" s="82">
        <v>287.12</v>
      </c>
      <c r="I562" s="236">
        <f t="shared" si="9"/>
        <v>4.302354052257984E-3</v>
      </c>
    </row>
    <row r="563" spans="1:9" ht="16">
      <c r="A563" s="132">
        <v>42395</v>
      </c>
      <c r="B563" s="79">
        <v>3.45</v>
      </c>
      <c r="E563" s="81"/>
      <c r="F563" s="82"/>
      <c r="G563" s="81">
        <v>42405</v>
      </c>
      <c r="H563" s="82">
        <v>289.37</v>
      </c>
      <c r="I563" s="236">
        <f t="shared" si="9"/>
        <v>7.8364446921148634E-3</v>
      </c>
    </row>
    <row r="564" spans="1:9" ht="16">
      <c r="A564" s="132">
        <v>42396</v>
      </c>
      <c r="B564" s="79">
        <v>3.43</v>
      </c>
      <c r="E564" s="81"/>
      <c r="F564" s="82"/>
      <c r="G564" s="81">
        <v>42406</v>
      </c>
      <c r="H564" s="82">
        <v>286.83999999999997</v>
      </c>
      <c r="I564" s="236">
        <f t="shared" si="9"/>
        <v>-8.7431316307842177E-3</v>
      </c>
    </row>
    <row r="565" spans="1:9" ht="16">
      <c r="A565" s="132">
        <v>42397</v>
      </c>
      <c r="B565" s="79">
        <v>3.42</v>
      </c>
      <c r="E565" s="81"/>
      <c r="F565" s="82"/>
      <c r="G565" s="81">
        <v>42409</v>
      </c>
      <c r="H565" s="82">
        <v>285.51</v>
      </c>
      <c r="I565" s="236">
        <f t="shared" si="9"/>
        <v>-4.6367312787616299E-3</v>
      </c>
    </row>
    <row r="566" spans="1:9" ht="16">
      <c r="A566" s="132">
        <v>42398</v>
      </c>
      <c r="B566" s="79">
        <v>3.4</v>
      </c>
      <c r="E566" s="81"/>
      <c r="F566" s="82"/>
      <c r="G566" s="81">
        <v>42410</v>
      </c>
      <c r="H566" s="82">
        <v>288.64</v>
      </c>
      <c r="I566" s="236">
        <f t="shared" si="9"/>
        <v>1.0962838429477095E-2</v>
      </c>
    </row>
    <row r="567" spans="1:9" ht="16">
      <c r="A567" s="132">
        <v>42399</v>
      </c>
      <c r="B567" s="79">
        <v>3.43</v>
      </c>
      <c r="E567" s="81"/>
      <c r="F567" s="82"/>
      <c r="G567" s="81">
        <v>42411</v>
      </c>
      <c r="H567" s="82">
        <v>291.18</v>
      </c>
      <c r="I567" s="236">
        <f t="shared" si="9"/>
        <v>8.7998891352549791E-3</v>
      </c>
    </row>
    <row r="568" spans="1:9" ht="16">
      <c r="A568" s="132">
        <v>42402</v>
      </c>
      <c r="B568" s="79">
        <v>3.41</v>
      </c>
      <c r="E568" s="81"/>
      <c r="F568" s="82"/>
      <c r="G568" s="81">
        <v>42412</v>
      </c>
      <c r="H568" s="82">
        <v>290.33</v>
      </c>
      <c r="I568" s="236">
        <f t="shared" si="9"/>
        <v>-2.9191565354763638E-3</v>
      </c>
    </row>
    <row r="569" spans="1:9" ht="16">
      <c r="A569" s="132">
        <v>42403</v>
      </c>
      <c r="B569" s="79">
        <v>3.44</v>
      </c>
      <c r="E569" s="81"/>
      <c r="F569" s="82"/>
      <c r="G569" s="81">
        <v>42413</v>
      </c>
      <c r="H569" s="82">
        <v>290.05</v>
      </c>
      <c r="I569" s="236">
        <f t="shared" si="9"/>
        <v>-9.6441979816064283E-4</v>
      </c>
    </row>
    <row r="570" spans="1:9" ht="16">
      <c r="A570" s="132">
        <v>42404</v>
      </c>
      <c r="B570" s="79">
        <v>3.44</v>
      </c>
      <c r="E570" s="81"/>
      <c r="F570" s="82"/>
      <c r="G570" s="81">
        <v>42416</v>
      </c>
      <c r="H570" s="82">
        <v>290.75</v>
      </c>
      <c r="I570" s="236">
        <f t="shared" si="9"/>
        <v>2.4133770039647118E-3</v>
      </c>
    </row>
    <row r="571" spans="1:9" ht="16">
      <c r="A571" s="132">
        <v>42405</v>
      </c>
      <c r="B571" s="79">
        <v>3.44</v>
      </c>
      <c r="E571" s="81"/>
      <c r="F571" s="82"/>
      <c r="G571" s="81">
        <v>42417</v>
      </c>
      <c r="H571" s="82">
        <v>288.17</v>
      </c>
      <c r="I571" s="236">
        <f t="shared" si="9"/>
        <v>-8.8736027515047278E-3</v>
      </c>
    </row>
    <row r="572" spans="1:9" ht="16">
      <c r="A572" s="132">
        <v>42406</v>
      </c>
      <c r="B572" s="79">
        <v>3.42</v>
      </c>
      <c r="E572" s="81"/>
      <c r="F572" s="82"/>
      <c r="G572" s="81">
        <v>42418</v>
      </c>
      <c r="H572" s="82">
        <v>290.33</v>
      </c>
      <c r="I572" s="236">
        <f t="shared" si="9"/>
        <v>7.4955755283339087E-3</v>
      </c>
    </row>
    <row r="573" spans="1:9" ht="16">
      <c r="A573" s="132">
        <v>42409</v>
      </c>
      <c r="B573" s="79">
        <v>3.4</v>
      </c>
      <c r="E573" s="81"/>
      <c r="F573" s="82"/>
      <c r="G573" s="81">
        <v>42419</v>
      </c>
      <c r="H573" s="82">
        <v>288.73</v>
      </c>
      <c r="I573" s="236">
        <f t="shared" si="9"/>
        <v>-5.5109702752039746E-3</v>
      </c>
    </row>
    <row r="574" spans="1:9" ht="16">
      <c r="A574" s="132">
        <v>42410</v>
      </c>
      <c r="B574" s="79">
        <v>3.4</v>
      </c>
      <c r="E574" s="81"/>
      <c r="F574" s="82"/>
      <c r="G574" s="81">
        <v>42420</v>
      </c>
      <c r="H574" s="82">
        <v>286.58999999999997</v>
      </c>
      <c r="I574" s="236">
        <f t="shared" si="9"/>
        <v>-7.4117687805217436E-3</v>
      </c>
    </row>
    <row r="575" spans="1:9" ht="16">
      <c r="A575" s="132">
        <v>42411</v>
      </c>
      <c r="B575" s="79">
        <v>3.4</v>
      </c>
      <c r="E575" s="81"/>
      <c r="F575" s="82"/>
      <c r="G575" s="81">
        <v>42423</v>
      </c>
      <c r="H575" s="82">
        <v>280.14</v>
      </c>
      <c r="I575" s="236">
        <f t="shared" si="9"/>
        <v>-2.2506019051606763E-2</v>
      </c>
    </row>
    <row r="576" spans="1:9" ht="16">
      <c r="A576" s="132">
        <v>42412</v>
      </c>
      <c r="B576" s="79">
        <v>3.39</v>
      </c>
      <c r="E576" s="81"/>
      <c r="F576" s="82"/>
      <c r="G576" s="81">
        <v>42424</v>
      </c>
      <c r="H576" s="82">
        <v>279.68</v>
      </c>
      <c r="I576" s="236">
        <f t="shared" si="9"/>
        <v>-1.6420361247946325E-3</v>
      </c>
    </row>
    <row r="577" spans="1:9" ht="16">
      <c r="A577" s="132">
        <v>42413</v>
      </c>
      <c r="B577" s="79">
        <v>3.38</v>
      </c>
      <c r="E577" s="81"/>
      <c r="F577" s="82"/>
      <c r="G577" s="81">
        <v>42425</v>
      </c>
      <c r="H577" s="82">
        <v>276.60000000000002</v>
      </c>
      <c r="I577" s="236">
        <f t="shared" si="9"/>
        <v>-1.1012585812356868E-2</v>
      </c>
    </row>
    <row r="578" spans="1:9" ht="16">
      <c r="A578" s="132">
        <v>42416</v>
      </c>
      <c r="B578" s="79">
        <v>3.38</v>
      </c>
      <c r="E578" s="81"/>
      <c r="F578" s="82"/>
      <c r="G578" s="81">
        <v>42426</v>
      </c>
      <c r="H578" s="82">
        <v>273.07</v>
      </c>
      <c r="I578" s="236">
        <f t="shared" si="9"/>
        <v>-1.2762111352133121E-2</v>
      </c>
    </row>
    <row r="579" spans="1:9" ht="16">
      <c r="A579" s="132">
        <v>42417</v>
      </c>
      <c r="B579" s="79">
        <v>3.36</v>
      </c>
      <c r="E579" s="81"/>
      <c r="F579" s="82"/>
      <c r="G579" s="81">
        <v>42427</v>
      </c>
      <c r="H579" s="82">
        <v>266.58999999999997</v>
      </c>
      <c r="I579" s="236">
        <f t="shared" si="9"/>
        <v>-2.3730179074962554E-2</v>
      </c>
    </row>
    <row r="580" spans="1:9" ht="16">
      <c r="A580" s="132">
        <v>42418</v>
      </c>
      <c r="B580" s="79">
        <v>3.36</v>
      </c>
      <c r="E580" s="81"/>
      <c r="F580" s="82"/>
      <c r="G580" s="81">
        <v>42430</v>
      </c>
      <c r="H580" s="82">
        <v>268.94</v>
      </c>
      <c r="I580" s="236">
        <f t="shared" si="9"/>
        <v>8.815034322367854E-3</v>
      </c>
    </row>
    <row r="581" spans="1:9" ht="16">
      <c r="A581" s="132">
        <v>42419</v>
      </c>
      <c r="B581" s="79">
        <v>3.34</v>
      </c>
      <c r="E581" s="81"/>
      <c r="F581" s="82"/>
      <c r="G581" s="81">
        <v>42431</v>
      </c>
      <c r="H581" s="82">
        <v>272.01</v>
      </c>
      <c r="I581" s="236">
        <f t="shared" si="9"/>
        <v>1.1415185543243833E-2</v>
      </c>
    </row>
    <row r="582" spans="1:9" ht="16">
      <c r="A582" s="132">
        <v>42420</v>
      </c>
      <c r="B582" s="79">
        <v>3.32</v>
      </c>
      <c r="E582" s="81"/>
      <c r="F582" s="82"/>
      <c r="G582" s="81">
        <v>42432</v>
      </c>
      <c r="H582" s="82">
        <v>273.49</v>
      </c>
      <c r="I582" s="236">
        <f t="shared" si="9"/>
        <v>5.4409764346898815E-3</v>
      </c>
    </row>
    <row r="583" spans="1:9" ht="16">
      <c r="A583" s="132">
        <v>42423</v>
      </c>
      <c r="B583" s="79">
        <v>3.29</v>
      </c>
      <c r="E583" s="81"/>
      <c r="F583" s="82"/>
      <c r="G583" s="81">
        <v>42433</v>
      </c>
      <c r="H583" s="82">
        <v>273.31</v>
      </c>
      <c r="I583" s="236">
        <f t="shared" si="9"/>
        <v>-6.5815934769097861E-4</v>
      </c>
    </row>
    <row r="584" spans="1:9" ht="16">
      <c r="A584" s="132">
        <v>42424</v>
      </c>
      <c r="B584" s="79">
        <v>3.3</v>
      </c>
      <c r="E584" s="81"/>
      <c r="F584" s="82"/>
      <c r="G584" s="81">
        <v>42434</v>
      </c>
      <c r="H584" s="82">
        <v>266.81</v>
      </c>
      <c r="I584" s="236">
        <f t="shared" si="9"/>
        <v>-2.3782518019831E-2</v>
      </c>
    </row>
    <row r="585" spans="1:9" ht="16">
      <c r="A585" s="132">
        <v>42425</v>
      </c>
      <c r="B585" s="79">
        <v>3.31</v>
      </c>
      <c r="E585" s="81"/>
      <c r="F585" s="82"/>
      <c r="G585" s="81">
        <v>42437</v>
      </c>
      <c r="H585" s="82">
        <v>249.58</v>
      </c>
      <c r="I585" s="236">
        <f t="shared" si="9"/>
        <v>-6.4577789438176936E-2</v>
      </c>
    </row>
    <row r="586" spans="1:9" ht="16">
      <c r="A586" s="132">
        <v>42426</v>
      </c>
      <c r="B586" s="79">
        <v>3.35</v>
      </c>
      <c r="E586" s="81"/>
      <c r="F586" s="82"/>
      <c r="G586" s="81">
        <v>42438</v>
      </c>
      <c r="H586" s="82">
        <v>253.81</v>
      </c>
      <c r="I586" s="236">
        <f t="shared" si="9"/>
        <v>1.6948473435371314E-2</v>
      </c>
    </row>
    <row r="587" spans="1:9" ht="16">
      <c r="A587" s="132">
        <v>42427</v>
      </c>
      <c r="B587" s="79">
        <v>3.37</v>
      </c>
      <c r="E587" s="81"/>
      <c r="F587" s="82"/>
      <c r="G587" s="81">
        <v>42439</v>
      </c>
      <c r="H587" s="82">
        <v>249.68</v>
      </c>
      <c r="I587" s="236">
        <f t="shared" si="9"/>
        <v>-1.6272014499034704E-2</v>
      </c>
    </row>
    <row r="588" spans="1:9" ht="16">
      <c r="A588" s="132">
        <v>42428</v>
      </c>
      <c r="B588" s="79">
        <v>3.35</v>
      </c>
      <c r="E588" s="81"/>
      <c r="F588" s="82"/>
      <c r="G588" s="81">
        <v>42440</v>
      </c>
      <c r="H588" s="82">
        <v>232.06</v>
      </c>
      <c r="I588" s="236">
        <f t="shared" si="9"/>
        <v>-7.057033002242874E-2</v>
      </c>
    </row>
    <row r="589" spans="1:9" ht="16">
      <c r="A589" s="132">
        <v>42430</v>
      </c>
      <c r="B589" s="79">
        <v>3.3</v>
      </c>
      <c r="E589" s="81"/>
      <c r="F589" s="82"/>
      <c r="G589" s="81">
        <v>42441</v>
      </c>
      <c r="H589" s="82">
        <v>234.96</v>
      </c>
      <c r="I589" s="236">
        <f t="shared" si="9"/>
        <v>1.2496768077221443E-2</v>
      </c>
    </row>
    <row r="590" spans="1:9" ht="16">
      <c r="A590" s="132">
        <v>42431</v>
      </c>
      <c r="B590" s="79">
        <v>3.26</v>
      </c>
      <c r="E590" s="81"/>
      <c r="F590" s="82"/>
      <c r="G590" s="81">
        <v>42444</v>
      </c>
      <c r="H590" s="82">
        <v>218.98</v>
      </c>
      <c r="I590" s="236">
        <f t="shared" si="9"/>
        <v>-6.8011576438542831E-2</v>
      </c>
    </row>
    <row r="591" spans="1:9" ht="16">
      <c r="A591" s="132">
        <v>42432</v>
      </c>
      <c r="B591" s="79">
        <v>3.15</v>
      </c>
      <c r="E591" s="81"/>
      <c r="F591" s="82"/>
      <c r="G591" s="81">
        <v>42445</v>
      </c>
      <c r="H591" s="82">
        <v>217.76</v>
      </c>
      <c r="I591" s="236">
        <f t="shared" si="9"/>
        <v>-5.5712850488629506E-3</v>
      </c>
    </row>
    <row r="592" spans="1:9" ht="16">
      <c r="A592" s="132">
        <v>42433</v>
      </c>
      <c r="B592" s="79">
        <v>3.18</v>
      </c>
      <c r="E592" s="81"/>
      <c r="F592" s="82"/>
      <c r="G592" s="81">
        <v>42446</v>
      </c>
      <c r="H592" s="82">
        <v>207.3</v>
      </c>
      <c r="I592" s="236">
        <f t="shared" ref="I592:I655" si="10">H592/H591-1</f>
        <v>-4.8034533431300375E-2</v>
      </c>
    </row>
    <row r="593" spans="1:9" ht="16">
      <c r="A593" s="132">
        <v>42434</v>
      </c>
      <c r="B593" s="79">
        <v>3.15</v>
      </c>
      <c r="E593" s="81"/>
      <c r="F593" s="82"/>
      <c r="G593" s="81">
        <v>42447</v>
      </c>
      <c r="H593" s="82">
        <v>203.35</v>
      </c>
      <c r="I593" s="236">
        <f t="shared" si="10"/>
        <v>-1.9054510371442457E-2</v>
      </c>
    </row>
    <row r="594" spans="1:9" ht="16">
      <c r="A594" s="132">
        <v>42437</v>
      </c>
      <c r="B594" s="79">
        <v>3.39</v>
      </c>
      <c r="E594" s="81"/>
      <c r="F594" s="82"/>
      <c r="G594" s="81">
        <v>42448</v>
      </c>
      <c r="H594" s="82">
        <v>211.43</v>
      </c>
      <c r="I594" s="236">
        <f t="shared" si="10"/>
        <v>3.9734447996065958E-2</v>
      </c>
    </row>
    <row r="595" spans="1:9" ht="16">
      <c r="A595" s="132">
        <v>42438</v>
      </c>
      <c r="B595" s="79">
        <v>3.53</v>
      </c>
      <c r="E595" s="81"/>
      <c r="F595" s="82"/>
      <c r="G595" s="81">
        <v>42451</v>
      </c>
      <c r="H595" s="82">
        <v>199.71</v>
      </c>
      <c r="I595" s="236">
        <f t="shared" si="10"/>
        <v>-5.5432057891500741E-2</v>
      </c>
    </row>
    <row r="596" spans="1:9" ht="16">
      <c r="A596" s="132">
        <v>42439</v>
      </c>
      <c r="B596" s="79">
        <v>3.64</v>
      </c>
      <c r="E596" s="81"/>
      <c r="F596" s="82"/>
      <c r="G596" s="81">
        <v>42452</v>
      </c>
      <c r="H596" s="82">
        <v>209.4</v>
      </c>
      <c r="I596" s="236">
        <f t="shared" si="10"/>
        <v>4.852035451404535E-2</v>
      </c>
    </row>
    <row r="597" spans="1:9" ht="16">
      <c r="A597" s="132">
        <v>42440</v>
      </c>
      <c r="B597" s="79">
        <v>3.9</v>
      </c>
      <c r="E597" s="81"/>
      <c r="F597" s="82"/>
      <c r="G597" s="81">
        <v>42453</v>
      </c>
      <c r="H597" s="82">
        <v>217.72</v>
      </c>
      <c r="I597" s="236">
        <f t="shared" si="10"/>
        <v>3.973256924546309E-2</v>
      </c>
    </row>
    <row r="598" spans="1:9" ht="16">
      <c r="A598" s="132">
        <v>42441</v>
      </c>
      <c r="B598" s="79">
        <v>4.03</v>
      </c>
      <c r="E598" s="81"/>
      <c r="F598" s="82"/>
      <c r="G598" s="81">
        <v>42454</v>
      </c>
      <c r="H598" s="82">
        <v>222.85</v>
      </c>
      <c r="I598" s="236">
        <f t="shared" si="10"/>
        <v>2.3562373690979133E-2</v>
      </c>
    </row>
    <row r="599" spans="1:9" ht="16">
      <c r="A599" s="132">
        <v>42444</v>
      </c>
      <c r="B599" s="79">
        <v>4.1900000000000004</v>
      </c>
      <c r="E599" s="81"/>
      <c r="F599" s="82"/>
      <c r="G599" s="81">
        <v>42455</v>
      </c>
      <c r="H599" s="82">
        <v>219.58</v>
      </c>
      <c r="I599" s="236">
        <f t="shared" si="10"/>
        <v>-1.4673547229077766E-2</v>
      </c>
    </row>
    <row r="600" spans="1:9" ht="16">
      <c r="A600" s="132">
        <v>42445</v>
      </c>
      <c r="B600" s="79">
        <v>4.3499999999999996</v>
      </c>
      <c r="E600" s="81"/>
      <c r="F600" s="82"/>
      <c r="G600" s="81">
        <v>42458</v>
      </c>
      <c r="H600" s="82">
        <v>216.78</v>
      </c>
      <c r="I600" s="236">
        <f t="shared" si="10"/>
        <v>-1.2751616722834536E-2</v>
      </c>
    </row>
    <row r="601" spans="1:9" ht="16">
      <c r="A601" s="132">
        <v>42446</v>
      </c>
      <c r="B601" s="79">
        <v>4.84</v>
      </c>
      <c r="E601" s="81"/>
      <c r="F601" s="82"/>
      <c r="G601" s="81">
        <v>42459</v>
      </c>
      <c r="H601" s="82">
        <v>220.78</v>
      </c>
      <c r="I601" s="236">
        <f t="shared" si="10"/>
        <v>1.8451886705415532E-2</v>
      </c>
    </row>
    <row r="602" spans="1:9" ht="16">
      <c r="A602" s="132">
        <v>42447</v>
      </c>
      <c r="B602" s="79">
        <v>5.09</v>
      </c>
      <c r="E602" s="81"/>
      <c r="F602" s="82"/>
      <c r="G602" s="81">
        <v>42460</v>
      </c>
      <c r="H602" s="82">
        <v>216.35</v>
      </c>
      <c r="I602" s="236">
        <f t="shared" si="10"/>
        <v>-2.0065223299211898E-2</v>
      </c>
    </row>
    <row r="603" spans="1:9" ht="16">
      <c r="A603" s="132">
        <v>42448</v>
      </c>
      <c r="B603" s="79">
        <v>5.09</v>
      </c>
      <c r="E603" s="81"/>
      <c r="F603" s="82"/>
      <c r="G603" s="81">
        <v>42461</v>
      </c>
      <c r="H603" s="82">
        <v>218.73</v>
      </c>
      <c r="I603" s="236">
        <f t="shared" si="10"/>
        <v>1.1000693321007615E-2</v>
      </c>
    </row>
    <row r="604" spans="1:9" ht="16">
      <c r="A604" s="132">
        <v>42451</v>
      </c>
      <c r="B604" s="79">
        <v>5.2</v>
      </c>
      <c r="E604" s="81"/>
      <c r="F604" s="82"/>
      <c r="G604" s="81">
        <v>42462</v>
      </c>
      <c r="H604" s="82">
        <v>216.77</v>
      </c>
      <c r="I604" s="236">
        <f t="shared" si="10"/>
        <v>-8.9608192749049964E-3</v>
      </c>
    </row>
    <row r="605" spans="1:9" ht="16">
      <c r="A605" s="132">
        <v>42452</v>
      </c>
      <c r="B605" s="79">
        <v>5.23</v>
      </c>
      <c r="E605" s="81"/>
      <c r="F605" s="82"/>
      <c r="G605" s="81">
        <v>42465</v>
      </c>
      <c r="H605" s="82">
        <v>221.78</v>
      </c>
      <c r="I605" s="236">
        <f t="shared" si="10"/>
        <v>2.3112054251049452E-2</v>
      </c>
    </row>
    <row r="606" spans="1:9" ht="16">
      <c r="A606" s="132">
        <v>42453</v>
      </c>
      <c r="B606" s="79">
        <v>5.16</v>
      </c>
      <c r="E606" s="81"/>
      <c r="F606" s="82"/>
      <c r="G606" s="81">
        <v>42466</v>
      </c>
      <c r="H606" s="82">
        <v>228.48</v>
      </c>
      <c r="I606" s="236">
        <f t="shared" si="10"/>
        <v>3.021011813508867E-2</v>
      </c>
    </row>
    <row r="607" spans="1:9" ht="16">
      <c r="A607" s="132">
        <v>42454</v>
      </c>
      <c r="B607" s="79">
        <v>4.93</v>
      </c>
      <c r="E607" s="81"/>
      <c r="F607" s="82"/>
      <c r="G607" s="81">
        <v>42467</v>
      </c>
      <c r="H607" s="82">
        <v>227.95</v>
      </c>
      <c r="I607" s="236">
        <f t="shared" si="10"/>
        <v>-2.3196778711485067E-3</v>
      </c>
    </row>
    <row r="608" spans="1:9" ht="16">
      <c r="A608" s="132">
        <v>42455</v>
      </c>
      <c r="B608" s="79">
        <v>4.92</v>
      </c>
      <c r="E608" s="81"/>
      <c r="F608" s="82"/>
      <c r="G608" s="81">
        <v>42468</v>
      </c>
      <c r="H608" s="82">
        <v>231.52</v>
      </c>
      <c r="I608" s="236">
        <f t="shared" si="10"/>
        <v>1.5661329238868316E-2</v>
      </c>
    </row>
    <row r="609" spans="1:9" ht="16">
      <c r="A609" s="132">
        <v>42458</v>
      </c>
      <c r="B609" s="79">
        <v>4.93</v>
      </c>
      <c r="E609" s="81"/>
      <c r="F609" s="82"/>
      <c r="G609" s="81">
        <v>42469</v>
      </c>
      <c r="H609" s="82">
        <v>231.6</v>
      </c>
      <c r="I609" s="236">
        <f t="shared" si="10"/>
        <v>3.4554250172758039E-4</v>
      </c>
    </row>
    <row r="610" spans="1:9" ht="16">
      <c r="A610" s="132">
        <v>42459</v>
      </c>
      <c r="B610" s="79">
        <v>4.93</v>
      </c>
      <c r="E610" s="81"/>
      <c r="F610" s="82"/>
      <c r="G610" s="81">
        <v>42472</v>
      </c>
      <c r="H610" s="82">
        <v>230.69</v>
      </c>
      <c r="I610" s="236">
        <f t="shared" si="10"/>
        <v>-3.9291882556130586E-3</v>
      </c>
    </row>
    <row r="611" spans="1:9" ht="16">
      <c r="A611" s="132">
        <v>42460</v>
      </c>
      <c r="B611" s="79">
        <v>4.97</v>
      </c>
      <c r="E611" s="81"/>
      <c r="F611" s="82"/>
      <c r="G611" s="81">
        <v>42473</v>
      </c>
      <c r="H611" s="82">
        <v>233.98</v>
      </c>
      <c r="I611" s="236">
        <f t="shared" si="10"/>
        <v>1.4261563136676925E-2</v>
      </c>
    </row>
    <row r="612" spans="1:9" ht="16">
      <c r="A612" s="132">
        <v>42461</v>
      </c>
      <c r="B612" s="79">
        <v>4.96</v>
      </c>
      <c r="E612" s="81"/>
      <c r="F612" s="82"/>
      <c r="G612" s="81">
        <v>42474</v>
      </c>
      <c r="H612" s="82">
        <v>231.54</v>
      </c>
      <c r="I612" s="236">
        <f t="shared" si="10"/>
        <v>-1.0428241730062404E-2</v>
      </c>
    </row>
    <row r="613" spans="1:9" ht="16">
      <c r="A613" s="132">
        <v>42462</v>
      </c>
      <c r="B613" s="79">
        <v>4.92</v>
      </c>
      <c r="E613" s="81"/>
      <c r="F613" s="82"/>
      <c r="G613" s="81">
        <v>42475</v>
      </c>
      <c r="H613" s="82">
        <v>230.99</v>
      </c>
      <c r="I613" s="236">
        <f t="shared" si="10"/>
        <v>-2.3753994990065586E-3</v>
      </c>
    </row>
    <row r="614" spans="1:9" ht="16">
      <c r="A614" s="132">
        <v>42465</v>
      </c>
      <c r="B614" s="79">
        <v>4.97</v>
      </c>
      <c r="E614" s="81"/>
      <c r="F614" s="82"/>
      <c r="G614" s="81">
        <v>42476</v>
      </c>
      <c r="H614" s="82">
        <v>234.23</v>
      </c>
      <c r="I614" s="236">
        <f t="shared" si="10"/>
        <v>1.4026581237282842E-2</v>
      </c>
    </row>
    <row r="615" spans="1:9" ht="16">
      <c r="A615" s="132">
        <v>42466</v>
      </c>
      <c r="B615" s="79">
        <v>4.96</v>
      </c>
      <c r="E615" s="81"/>
      <c r="F615" s="82"/>
      <c r="G615" s="81">
        <v>42479</v>
      </c>
      <c r="H615" s="82">
        <v>234.47</v>
      </c>
      <c r="I615" s="236">
        <f t="shared" si="10"/>
        <v>1.0246339068438193E-3</v>
      </c>
    </row>
    <row r="616" spans="1:9" ht="16">
      <c r="A616" s="132">
        <v>42467</v>
      </c>
      <c r="B616" s="79">
        <v>4.9400000000000004</v>
      </c>
      <c r="E616" s="81"/>
      <c r="F616" s="82"/>
      <c r="G616" s="81">
        <v>42480</v>
      </c>
      <c r="H616" s="82">
        <v>228.79</v>
      </c>
      <c r="I616" s="236">
        <f t="shared" si="10"/>
        <v>-2.4224847528468541E-2</v>
      </c>
    </row>
    <row r="617" spans="1:9" ht="16">
      <c r="A617" s="132">
        <v>42468</v>
      </c>
      <c r="B617" s="79">
        <v>4.84</v>
      </c>
      <c r="E617" s="81"/>
      <c r="F617" s="82"/>
      <c r="G617" s="81">
        <v>42481</v>
      </c>
      <c r="H617" s="82">
        <v>231.59</v>
      </c>
      <c r="I617" s="236">
        <f t="shared" si="10"/>
        <v>1.223829712837099E-2</v>
      </c>
    </row>
    <row r="618" spans="1:9" ht="16">
      <c r="A618" s="132">
        <v>42469</v>
      </c>
      <c r="B618" s="209">
        <v>4.84</v>
      </c>
      <c r="E618" s="81"/>
      <c r="F618" s="82"/>
      <c r="G618" s="81">
        <v>42482</v>
      </c>
      <c r="H618" s="82">
        <v>232.52</v>
      </c>
      <c r="I618" s="236">
        <f t="shared" si="10"/>
        <v>4.0157174316679534E-3</v>
      </c>
    </row>
    <row r="619" spans="1:9" ht="16">
      <c r="A619" s="132">
        <v>42472</v>
      </c>
      <c r="B619" s="79">
        <v>4.78</v>
      </c>
      <c r="E619" s="81"/>
      <c r="F619" s="82"/>
      <c r="G619" s="81">
        <v>42483</v>
      </c>
      <c r="H619" s="82">
        <v>229.45</v>
      </c>
      <c r="I619" s="236">
        <f t="shared" si="10"/>
        <v>-1.3203165319112475E-2</v>
      </c>
    </row>
    <row r="620" spans="1:9" ht="16">
      <c r="A620" s="132">
        <v>42473</v>
      </c>
      <c r="B620" s="79">
        <v>4.7</v>
      </c>
      <c r="E620" s="81"/>
      <c r="F620" s="82"/>
      <c r="G620" s="81">
        <v>42486</v>
      </c>
      <c r="H620" s="82">
        <v>233.3</v>
      </c>
      <c r="I620" s="236">
        <f t="shared" si="10"/>
        <v>1.6779254739594851E-2</v>
      </c>
    </row>
    <row r="621" spans="1:9" ht="16">
      <c r="A621" s="132">
        <v>42474</v>
      </c>
      <c r="B621" s="79">
        <v>4.6900000000000004</v>
      </c>
      <c r="E621" s="81"/>
      <c r="F621" s="82"/>
      <c r="G621" s="81">
        <v>42487</v>
      </c>
      <c r="H621" s="82">
        <v>235.31</v>
      </c>
      <c r="I621" s="236">
        <f t="shared" si="10"/>
        <v>8.6155165023573677E-3</v>
      </c>
    </row>
    <row r="622" spans="1:9" ht="16">
      <c r="A622" s="132">
        <v>42475</v>
      </c>
      <c r="B622" s="79">
        <v>4.67</v>
      </c>
      <c r="E622" s="81"/>
      <c r="F622" s="82"/>
      <c r="G622" s="81">
        <v>42488</v>
      </c>
      <c r="H622" s="82">
        <v>239.9</v>
      </c>
      <c r="I622" s="236">
        <f t="shared" si="10"/>
        <v>1.9506183332625104E-2</v>
      </c>
    </row>
    <row r="623" spans="1:9" ht="16">
      <c r="A623" s="132">
        <v>42476</v>
      </c>
      <c r="B623" s="79">
        <v>4.63</v>
      </c>
      <c r="E623" s="81"/>
      <c r="F623" s="82"/>
      <c r="G623" s="81">
        <v>42489</v>
      </c>
      <c r="H623" s="82">
        <v>241.39</v>
      </c>
      <c r="I623" s="236">
        <f t="shared" si="10"/>
        <v>6.2109212171737038E-3</v>
      </c>
    </row>
    <row r="624" spans="1:9" ht="16">
      <c r="A624" s="132">
        <v>42479</v>
      </c>
      <c r="B624" s="79">
        <v>4.6500000000000004</v>
      </c>
      <c r="E624" s="81"/>
      <c r="F624" s="82"/>
      <c r="G624" s="81">
        <v>42490</v>
      </c>
      <c r="H624" s="82">
        <v>239.2</v>
      </c>
      <c r="I624" s="236">
        <f t="shared" si="10"/>
        <v>-9.0724553626910787E-3</v>
      </c>
    </row>
    <row r="625" spans="1:9" ht="16">
      <c r="A625" s="132">
        <v>42480</v>
      </c>
      <c r="B625" s="79">
        <v>4.68</v>
      </c>
      <c r="E625" s="81"/>
      <c r="F625" s="82"/>
      <c r="G625" s="81">
        <v>42493</v>
      </c>
      <c r="H625" s="82">
        <v>232.15</v>
      </c>
      <c r="I625" s="236">
        <f t="shared" si="10"/>
        <v>-2.9473244147157129E-2</v>
      </c>
    </row>
    <row r="626" spans="1:9" ht="16">
      <c r="A626" s="132">
        <v>42481</v>
      </c>
      <c r="B626" s="79">
        <v>4.6900000000000004</v>
      </c>
      <c r="E626" s="81"/>
      <c r="F626" s="82"/>
      <c r="G626" s="81">
        <v>42494</v>
      </c>
      <c r="H626" s="82">
        <v>234.39</v>
      </c>
      <c r="I626" s="236">
        <f t="shared" si="10"/>
        <v>9.6489338789573775E-3</v>
      </c>
    </row>
    <row r="627" spans="1:9" ht="16">
      <c r="A627" s="132">
        <v>42482</v>
      </c>
      <c r="B627" s="79">
        <v>4.6900000000000004</v>
      </c>
      <c r="E627" s="81"/>
      <c r="F627" s="82"/>
      <c r="G627" s="81">
        <v>42495</v>
      </c>
      <c r="H627" s="82">
        <v>234.83</v>
      </c>
      <c r="I627" s="236">
        <f t="shared" si="10"/>
        <v>1.8772131916890977E-3</v>
      </c>
    </row>
    <row r="628" spans="1:9" ht="16">
      <c r="A628" s="132">
        <v>42483</v>
      </c>
      <c r="B628" s="79">
        <v>4.7</v>
      </c>
      <c r="E628" s="81"/>
      <c r="F628" s="82"/>
      <c r="G628" s="81">
        <v>42496</v>
      </c>
      <c r="H628" s="82">
        <v>234.54</v>
      </c>
      <c r="I628" s="236">
        <f t="shared" si="10"/>
        <v>-1.2349359110847002E-3</v>
      </c>
    </row>
    <row r="629" spans="1:9" ht="16">
      <c r="A629" s="132">
        <v>42486</v>
      </c>
      <c r="B629" s="79">
        <v>4.72</v>
      </c>
      <c r="E629" s="81"/>
      <c r="F629" s="82"/>
      <c r="G629" s="81">
        <v>42497</v>
      </c>
      <c r="H629" s="82">
        <v>238.3</v>
      </c>
      <c r="I629" s="236">
        <f t="shared" si="10"/>
        <v>1.6031380574742071E-2</v>
      </c>
    </row>
    <row r="630" spans="1:9" ht="16">
      <c r="A630" s="132">
        <v>42487</v>
      </c>
      <c r="B630" s="79">
        <v>4.6900000000000004</v>
      </c>
      <c r="E630" s="81"/>
      <c r="F630" s="82"/>
      <c r="G630" s="81">
        <v>42500</v>
      </c>
      <c r="H630" s="82">
        <v>239.36</v>
      </c>
      <c r="I630" s="236">
        <f t="shared" si="10"/>
        <v>4.4481745698699005E-3</v>
      </c>
    </row>
    <row r="631" spans="1:9" ht="16">
      <c r="A631" s="132">
        <v>42488</v>
      </c>
      <c r="B631" s="79">
        <v>4.6100000000000003</v>
      </c>
      <c r="E631" s="81"/>
      <c r="F631" s="82"/>
      <c r="G631" s="81">
        <v>42501</v>
      </c>
      <c r="H631" s="82">
        <v>237.97</v>
      </c>
      <c r="I631" s="236">
        <f t="shared" si="10"/>
        <v>-5.8071524064171598E-3</v>
      </c>
    </row>
    <row r="632" spans="1:9" ht="16">
      <c r="A632" s="132">
        <v>42489</v>
      </c>
      <c r="B632" s="79">
        <v>4.51</v>
      </c>
      <c r="E632" s="81"/>
      <c r="F632" s="82"/>
      <c r="G632" s="81">
        <v>42502</v>
      </c>
      <c r="H632" s="82">
        <v>237.79</v>
      </c>
      <c r="I632" s="236">
        <f t="shared" si="10"/>
        <v>-7.5639786527714747E-4</v>
      </c>
    </row>
    <row r="633" spans="1:9" ht="16">
      <c r="A633" s="132">
        <v>42490</v>
      </c>
      <c r="B633" s="79">
        <v>4.5</v>
      </c>
      <c r="E633" s="81"/>
      <c r="F633" s="82"/>
      <c r="G633" s="81">
        <v>42503</v>
      </c>
      <c r="H633" s="82">
        <v>235.7</v>
      </c>
      <c r="I633" s="236">
        <f t="shared" si="10"/>
        <v>-8.7892678413726832E-3</v>
      </c>
    </row>
    <row r="634" spans="1:9" ht="16">
      <c r="A634" s="132">
        <v>42493</v>
      </c>
      <c r="B634" s="79">
        <v>4.5</v>
      </c>
      <c r="E634" s="81"/>
      <c r="F634" s="82"/>
      <c r="G634" s="81">
        <v>42504</v>
      </c>
      <c r="H634" s="82">
        <v>235.82</v>
      </c>
      <c r="I634" s="236">
        <f t="shared" si="10"/>
        <v>5.0912176495554462E-4</v>
      </c>
    </row>
    <row r="635" spans="1:9" ht="16">
      <c r="A635" s="132">
        <v>42494</v>
      </c>
      <c r="B635" s="79">
        <v>4.47</v>
      </c>
      <c r="E635" s="81"/>
      <c r="F635" s="82"/>
      <c r="G635" s="81">
        <v>42507</v>
      </c>
      <c r="H635" s="82">
        <v>238.72</v>
      </c>
      <c r="I635" s="236">
        <f t="shared" si="10"/>
        <v>1.229751505385468E-2</v>
      </c>
    </row>
    <row r="636" spans="1:9" ht="16">
      <c r="A636" s="132">
        <v>42495</v>
      </c>
      <c r="B636" s="79">
        <v>4.4800000000000004</v>
      </c>
      <c r="E636" s="81"/>
      <c r="F636" s="82"/>
      <c r="G636" s="81">
        <v>42508</v>
      </c>
      <c r="H636" s="82">
        <v>241.44</v>
      </c>
      <c r="I636" s="236">
        <f t="shared" si="10"/>
        <v>1.1394101876675666E-2</v>
      </c>
    </row>
    <row r="637" spans="1:9" ht="16">
      <c r="A637" s="132">
        <v>42496</v>
      </c>
      <c r="B637" s="79">
        <v>4.45</v>
      </c>
      <c r="E637" s="81"/>
      <c r="F637" s="82"/>
      <c r="G637" s="81">
        <v>42509</v>
      </c>
      <c r="H637" s="82">
        <v>243.25</v>
      </c>
      <c r="I637" s="236">
        <f t="shared" si="10"/>
        <v>7.4966865473824473E-3</v>
      </c>
    </row>
    <row r="638" spans="1:9" ht="16">
      <c r="A638" s="132">
        <v>42497</v>
      </c>
      <c r="B638" s="79">
        <v>4.4000000000000004</v>
      </c>
      <c r="E638" s="81"/>
      <c r="F638" s="82"/>
      <c r="G638" s="81">
        <v>42510</v>
      </c>
      <c r="H638" s="82">
        <v>242.92</v>
      </c>
      <c r="I638" s="236">
        <f t="shared" si="10"/>
        <v>-1.3566289825283073E-3</v>
      </c>
    </row>
    <row r="639" spans="1:9" ht="16">
      <c r="A639" s="132">
        <v>42500</v>
      </c>
      <c r="B639" s="79">
        <v>4.3899999999999997</v>
      </c>
      <c r="E639" s="81"/>
      <c r="F639" s="82"/>
      <c r="G639" s="81">
        <v>42511</v>
      </c>
      <c r="H639" s="82">
        <v>236.81</v>
      </c>
      <c r="I639" s="236">
        <f t="shared" si="10"/>
        <v>-2.515231351885383E-2</v>
      </c>
    </row>
    <row r="640" spans="1:9" ht="16">
      <c r="A640" s="132">
        <v>42501</v>
      </c>
      <c r="B640" s="79">
        <v>4.3499999999999996</v>
      </c>
      <c r="E640" s="81"/>
      <c r="F640" s="82"/>
      <c r="G640" s="81">
        <v>42514</v>
      </c>
      <c r="H640" s="82">
        <v>238.6</v>
      </c>
      <c r="I640" s="236">
        <f t="shared" si="10"/>
        <v>7.5588024154384925E-3</v>
      </c>
    </row>
    <row r="641" spans="1:9" ht="16">
      <c r="A641" s="132">
        <v>42502</v>
      </c>
      <c r="B641" s="79">
        <v>4.3499999999999996</v>
      </c>
      <c r="E641" s="81"/>
      <c r="F641" s="82"/>
      <c r="G641" s="81">
        <v>42515</v>
      </c>
      <c r="H641" s="82">
        <v>242.35</v>
      </c>
      <c r="I641" s="236">
        <f t="shared" si="10"/>
        <v>1.5716680637049452E-2</v>
      </c>
    </row>
    <row r="642" spans="1:9" ht="16">
      <c r="A642" s="132">
        <v>42503</v>
      </c>
      <c r="B642" s="79">
        <v>4.3600000000000003</v>
      </c>
      <c r="E642" s="81"/>
      <c r="F642" s="82"/>
      <c r="G642" s="81">
        <v>42516</v>
      </c>
      <c r="H642" s="82">
        <v>242.7</v>
      </c>
      <c r="I642" s="236">
        <f t="shared" si="10"/>
        <v>1.4441922838868138E-3</v>
      </c>
    </row>
    <row r="643" spans="1:9" ht="16">
      <c r="A643" s="132">
        <v>42504</v>
      </c>
      <c r="B643" s="79">
        <v>4.3099999999999996</v>
      </c>
      <c r="E643" s="81"/>
      <c r="F643" s="82"/>
      <c r="G643" s="81">
        <v>42517</v>
      </c>
      <c r="H643" s="82">
        <v>242.42</v>
      </c>
      <c r="I643" s="236">
        <f t="shared" si="10"/>
        <v>-1.1536876802636931E-3</v>
      </c>
    </row>
    <row r="644" spans="1:9" ht="16">
      <c r="A644" s="132">
        <v>42507</v>
      </c>
      <c r="B644" s="79">
        <v>4.25</v>
      </c>
      <c r="E644" s="81"/>
      <c r="F644" s="82"/>
      <c r="G644" s="81">
        <v>42518</v>
      </c>
      <c r="H644" s="82">
        <v>243.9</v>
      </c>
      <c r="I644" s="236">
        <f t="shared" si="10"/>
        <v>6.1051068393698227E-3</v>
      </c>
    </row>
    <row r="645" spans="1:9" ht="16">
      <c r="A645" s="132">
        <v>42508</v>
      </c>
      <c r="B645" s="79">
        <v>4.22</v>
      </c>
      <c r="E645" s="81"/>
      <c r="F645" s="82"/>
      <c r="G645" s="81">
        <v>42521</v>
      </c>
      <c r="H645" s="82">
        <v>249.33</v>
      </c>
      <c r="I645" s="236">
        <f t="shared" si="10"/>
        <v>2.2263222632226354E-2</v>
      </c>
    </row>
    <row r="646" spans="1:9" ht="16">
      <c r="A646" s="132">
        <v>42509</v>
      </c>
      <c r="B646" s="79">
        <v>4.1399999999999997</v>
      </c>
      <c r="E646" s="81"/>
      <c r="F646" s="82"/>
      <c r="G646" s="81">
        <v>42522</v>
      </c>
      <c r="H646" s="82">
        <v>253.66</v>
      </c>
      <c r="I646" s="236">
        <f t="shared" si="10"/>
        <v>1.7366542333453694E-2</v>
      </c>
    </row>
    <row r="647" spans="1:9" ht="16">
      <c r="A647" s="132">
        <v>42510</v>
      </c>
      <c r="B647" s="79">
        <v>4.05</v>
      </c>
      <c r="E647" s="81"/>
      <c r="F647" s="82"/>
      <c r="G647" s="81">
        <v>42523</v>
      </c>
      <c r="H647" s="82">
        <v>258.20999999999998</v>
      </c>
      <c r="I647" s="236">
        <f t="shared" si="10"/>
        <v>1.7937396515020021E-2</v>
      </c>
    </row>
    <row r="648" spans="1:9" ht="16">
      <c r="A648" s="132">
        <v>42511</v>
      </c>
      <c r="B648" s="79">
        <v>4.0599999999999996</v>
      </c>
      <c r="E648" s="81"/>
      <c r="F648" s="82"/>
      <c r="G648" s="81">
        <v>42524</v>
      </c>
      <c r="H648" s="82">
        <v>258.38</v>
      </c>
      <c r="I648" s="236">
        <f t="shared" si="10"/>
        <v>6.5837883892960747E-4</v>
      </c>
    </row>
    <row r="649" spans="1:9" ht="16">
      <c r="A649" s="132">
        <v>42514</v>
      </c>
      <c r="B649" s="79">
        <v>4.05</v>
      </c>
      <c r="E649" s="81"/>
      <c r="F649" s="82"/>
      <c r="G649" s="81">
        <v>42525</v>
      </c>
      <c r="H649" s="82">
        <v>261.85000000000002</v>
      </c>
      <c r="I649" s="236">
        <f t="shared" si="10"/>
        <v>1.3429832030342981E-2</v>
      </c>
    </row>
    <row r="650" spans="1:9" ht="16">
      <c r="A650" s="132">
        <v>42515</v>
      </c>
      <c r="B650" s="79">
        <v>4.01</v>
      </c>
      <c r="E650" s="81"/>
      <c r="F650" s="82"/>
      <c r="G650" s="81">
        <v>42528</v>
      </c>
      <c r="H650" s="82">
        <v>263.39</v>
      </c>
      <c r="I650" s="236">
        <f t="shared" si="10"/>
        <v>5.8812297116668244E-3</v>
      </c>
    </row>
    <row r="651" spans="1:9" ht="16">
      <c r="A651" s="132">
        <v>42516</v>
      </c>
      <c r="B651" s="79">
        <v>3.99</v>
      </c>
      <c r="E651" s="81"/>
      <c r="F651" s="82"/>
      <c r="G651" s="81">
        <v>42529</v>
      </c>
      <c r="H651" s="82">
        <v>263.62</v>
      </c>
      <c r="I651" s="236">
        <f t="shared" si="10"/>
        <v>8.7322981130655286E-4</v>
      </c>
    </row>
    <row r="652" spans="1:9" ht="16">
      <c r="A652" s="132">
        <v>42517</v>
      </c>
      <c r="B652" s="79">
        <v>3.98</v>
      </c>
      <c r="E652" s="81"/>
      <c r="F652" s="82"/>
      <c r="G652" s="81">
        <v>42530</v>
      </c>
      <c r="H652" s="82">
        <v>264.12</v>
      </c>
      <c r="I652" s="236">
        <f t="shared" si="10"/>
        <v>1.8966694484485735E-3</v>
      </c>
    </row>
    <row r="653" spans="1:9" ht="16">
      <c r="A653" s="132">
        <v>42518</v>
      </c>
      <c r="B653" s="79">
        <v>3.98</v>
      </c>
      <c r="E653" s="81"/>
      <c r="F653" s="82"/>
      <c r="G653" s="81">
        <v>42531</v>
      </c>
      <c r="H653" s="82">
        <v>259.01</v>
      </c>
      <c r="I653" s="236">
        <f t="shared" si="10"/>
        <v>-1.9347266394063367E-2</v>
      </c>
    </row>
    <row r="654" spans="1:9" ht="16">
      <c r="A654" s="132">
        <v>42520</v>
      </c>
      <c r="B654" s="79">
        <v>3.99</v>
      </c>
      <c r="E654" s="81"/>
      <c r="F654" s="82"/>
      <c r="G654" s="81">
        <v>42532</v>
      </c>
      <c r="H654" s="82">
        <v>258.13</v>
      </c>
      <c r="I654" s="236">
        <f t="shared" si="10"/>
        <v>-3.3975522180610396E-3</v>
      </c>
    </row>
    <row r="655" spans="1:9" ht="16">
      <c r="A655" s="132">
        <v>42521</v>
      </c>
      <c r="B655" s="79">
        <v>3.96</v>
      </c>
      <c r="E655" s="81"/>
      <c r="F655" s="82"/>
      <c r="G655" s="81">
        <v>42535</v>
      </c>
      <c r="H655" s="82">
        <v>254.1</v>
      </c>
      <c r="I655" s="236">
        <f t="shared" si="10"/>
        <v>-1.5612288381823158E-2</v>
      </c>
    </row>
    <row r="656" spans="1:9" ht="16">
      <c r="A656" s="132">
        <v>42522</v>
      </c>
      <c r="B656" s="79">
        <v>3.93</v>
      </c>
      <c r="E656" s="81"/>
      <c r="F656" s="82"/>
      <c r="G656" s="81">
        <v>42536</v>
      </c>
      <c r="H656" s="82">
        <v>259.01</v>
      </c>
      <c r="I656" s="236">
        <f t="shared" ref="I656:I719" si="11">H656/H655-1</f>
        <v>1.9323101141282883E-2</v>
      </c>
    </row>
    <row r="657" spans="1:9" ht="16">
      <c r="A657" s="132">
        <v>42523</v>
      </c>
      <c r="B657" s="79">
        <v>3.88</v>
      </c>
      <c r="E657" s="81"/>
      <c r="F657" s="82"/>
      <c r="G657" s="81">
        <v>42537</v>
      </c>
      <c r="H657" s="82">
        <v>260.51</v>
      </c>
      <c r="I657" s="236">
        <f t="shared" si="11"/>
        <v>5.7912821898769007E-3</v>
      </c>
    </row>
    <row r="658" spans="1:9" ht="16">
      <c r="A658" s="132">
        <v>42524</v>
      </c>
      <c r="B658" s="79">
        <v>3.87</v>
      </c>
      <c r="E658" s="81"/>
      <c r="F658" s="82"/>
      <c r="G658" s="81">
        <v>42538</v>
      </c>
      <c r="H658" s="82">
        <v>260.85000000000002</v>
      </c>
      <c r="I658" s="236">
        <f t="shared" si="11"/>
        <v>1.3051322406050225E-3</v>
      </c>
    </row>
    <row r="659" spans="1:9" ht="16">
      <c r="A659" s="132">
        <v>42525</v>
      </c>
      <c r="B659" s="79">
        <v>3.82</v>
      </c>
      <c r="E659" s="81"/>
      <c r="F659" s="82"/>
      <c r="G659" s="81">
        <v>42539</v>
      </c>
      <c r="H659" s="82">
        <v>262.5</v>
      </c>
      <c r="I659" s="236">
        <f t="shared" si="11"/>
        <v>6.3254744105807337E-3</v>
      </c>
    </row>
    <row r="660" spans="1:9" ht="16">
      <c r="A660" s="132">
        <v>42528</v>
      </c>
      <c r="B660" s="79">
        <v>3.76</v>
      </c>
      <c r="E660" s="81"/>
      <c r="F660" s="82"/>
      <c r="G660" s="81">
        <v>42542</v>
      </c>
      <c r="H660" s="82">
        <v>262.77</v>
      </c>
      <c r="I660" s="236">
        <f t="shared" si="11"/>
        <v>1.0285714285713787E-3</v>
      </c>
    </row>
    <row r="661" spans="1:9" ht="16">
      <c r="A661" s="132">
        <v>42529</v>
      </c>
      <c r="B661" s="79">
        <v>3.74</v>
      </c>
      <c r="E661" s="81"/>
      <c r="F661" s="82"/>
      <c r="G661" s="81">
        <v>42543</v>
      </c>
      <c r="H661" s="82">
        <v>266.39999999999998</v>
      </c>
      <c r="I661" s="236">
        <f t="shared" si="11"/>
        <v>1.381436237013367E-2</v>
      </c>
    </row>
    <row r="662" spans="1:9" ht="16">
      <c r="A662" s="132">
        <v>42530</v>
      </c>
      <c r="B662" s="79">
        <v>3.73</v>
      </c>
      <c r="E662" s="81"/>
      <c r="F662" s="82"/>
      <c r="G662" s="81">
        <v>42544</v>
      </c>
      <c r="H662" s="82">
        <v>264.45999999999998</v>
      </c>
      <c r="I662" s="236">
        <f t="shared" si="11"/>
        <v>-7.2822822822822264E-3</v>
      </c>
    </row>
    <row r="663" spans="1:9" ht="16">
      <c r="A663" s="132">
        <v>42531</v>
      </c>
      <c r="B663" s="79">
        <v>3.75</v>
      </c>
      <c r="E663" s="81"/>
      <c r="F663" s="82"/>
      <c r="G663" s="81">
        <v>42545</v>
      </c>
      <c r="H663" s="82">
        <v>263.75</v>
      </c>
      <c r="I663" s="236">
        <f t="shared" si="11"/>
        <v>-2.6847160251076696E-3</v>
      </c>
    </row>
    <row r="664" spans="1:9" ht="16">
      <c r="A664" s="132">
        <v>42532</v>
      </c>
      <c r="B664" s="79">
        <v>3.76</v>
      </c>
      <c r="E664" s="81"/>
      <c r="F664" s="82"/>
      <c r="G664" s="81">
        <v>42546</v>
      </c>
      <c r="H664" s="82">
        <v>261.81</v>
      </c>
      <c r="I664" s="236">
        <f t="shared" si="11"/>
        <v>-7.3554502369668207E-3</v>
      </c>
    </row>
    <row r="665" spans="1:9" ht="16">
      <c r="A665" s="132">
        <v>42535</v>
      </c>
      <c r="B665" s="79">
        <v>3.79</v>
      </c>
      <c r="E665" s="81"/>
      <c r="F665" s="82"/>
      <c r="G665" s="81">
        <v>42549</v>
      </c>
      <c r="H665" s="82">
        <v>261.11</v>
      </c>
      <c r="I665" s="236">
        <f t="shared" si="11"/>
        <v>-2.6736946640693038E-3</v>
      </c>
    </row>
    <row r="666" spans="1:9" ht="16">
      <c r="A666" s="132">
        <v>42536</v>
      </c>
      <c r="B666" s="79">
        <v>3.74</v>
      </c>
      <c r="E666" s="81"/>
      <c r="F666" s="82"/>
      <c r="G666" s="81">
        <v>42550</v>
      </c>
      <c r="H666" s="82">
        <v>261.23</v>
      </c>
      <c r="I666" s="236">
        <f t="shared" si="11"/>
        <v>4.5957642372940199E-4</v>
      </c>
    </row>
    <row r="667" spans="1:9" ht="16">
      <c r="A667" s="132">
        <v>42537</v>
      </c>
      <c r="B667" s="79">
        <v>3.75</v>
      </c>
      <c r="E667" s="81"/>
      <c r="F667" s="82"/>
      <c r="G667" s="81">
        <v>42551</v>
      </c>
      <c r="H667" s="82">
        <v>262.85000000000002</v>
      </c>
      <c r="I667" s="236">
        <f t="shared" si="11"/>
        <v>6.2014316885503629E-3</v>
      </c>
    </row>
    <row r="668" spans="1:9" ht="16">
      <c r="A668" s="132">
        <v>42538</v>
      </c>
      <c r="B668" s="79">
        <v>3.74</v>
      </c>
      <c r="E668" s="81"/>
      <c r="F668" s="82"/>
      <c r="G668" s="81">
        <v>42552</v>
      </c>
      <c r="H668" s="82">
        <v>269.22000000000003</v>
      </c>
      <c r="I668" s="236">
        <f t="shared" si="11"/>
        <v>2.4234354194407448E-2</v>
      </c>
    </row>
    <row r="669" spans="1:9" ht="16">
      <c r="A669" s="132">
        <v>42539</v>
      </c>
      <c r="B669" s="79">
        <v>3.72</v>
      </c>
      <c r="E669" s="81"/>
      <c r="F669" s="82"/>
      <c r="G669" s="81">
        <v>42553</v>
      </c>
      <c r="H669" s="82">
        <v>271.7</v>
      </c>
      <c r="I669" s="236">
        <f t="shared" si="11"/>
        <v>9.2117970433100993E-3</v>
      </c>
    </row>
    <row r="670" spans="1:9" ht="16">
      <c r="A670" s="132">
        <v>42542</v>
      </c>
      <c r="B670" s="79">
        <v>3.72</v>
      </c>
      <c r="E670" s="81"/>
      <c r="F670" s="82"/>
      <c r="G670" s="81">
        <v>42556</v>
      </c>
      <c r="H670" s="82">
        <v>278.94</v>
      </c>
      <c r="I670" s="236">
        <f t="shared" si="11"/>
        <v>2.6647037173352928E-2</v>
      </c>
    </row>
    <row r="671" spans="1:9" ht="16">
      <c r="A671" s="132">
        <v>42543</v>
      </c>
      <c r="B671" s="79">
        <v>3.71</v>
      </c>
      <c r="E671" s="81"/>
      <c r="F671" s="82"/>
      <c r="G671" s="81">
        <v>42557</v>
      </c>
      <c r="H671" s="82">
        <v>277.2</v>
      </c>
      <c r="I671" s="236">
        <f t="shared" si="11"/>
        <v>-6.2379006237901491E-3</v>
      </c>
    </row>
    <row r="672" spans="1:9" ht="16">
      <c r="A672" s="132">
        <v>42544</v>
      </c>
      <c r="B672" s="79">
        <v>3.72</v>
      </c>
      <c r="E672" s="81"/>
      <c r="F672" s="82"/>
      <c r="G672" s="81">
        <v>42558</v>
      </c>
      <c r="H672" s="82">
        <v>281.73</v>
      </c>
      <c r="I672" s="236">
        <f t="shared" si="11"/>
        <v>1.6341991341991546E-2</v>
      </c>
    </row>
    <row r="673" spans="1:9" ht="16">
      <c r="A673" s="132">
        <v>42545</v>
      </c>
      <c r="B673" s="79">
        <v>3.72</v>
      </c>
      <c r="E673" s="81"/>
      <c r="F673" s="82"/>
      <c r="G673" s="81">
        <v>42559</v>
      </c>
      <c r="H673" s="82">
        <v>284.11</v>
      </c>
      <c r="I673" s="236">
        <f t="shared" si="11"/>
        <v>8.4478046356439851E-3</v>
      </c>
    </row>
    <row r="674" spans="1:9" ht="16">
      <c r="A674" s="132">
        <v>42546</v>
      </c>
      <c r="B674" s="79">
        <v>3.71</v>
      </c>
      <c r="E674" s="81"/>
      <c r="F674" s="82"/>
      <c r="G674" s="81">
        <v>42560</v>
      </c>
      <c r="H674" s="82">
        <v>281.41000000000003</v>
      </c>
      <c r="I674" s="236">
        <f t="shared" si="11"/>
        <v>-9.5033613741156708E-3</v>
      </c>
    </row>
    <row r="675" spans="1:9" ht="16">
      <c r="A675" s="132">
        <v>42549</v>
      </c>
      <c r="B675" s="79">
        <v>3.71</v>
      </c>
      <c r="E675" s="81"/>
      <c r="F675" s="82"/>
      <c r="G675" s="81">
        <v>42563</v>
      </c>
      <c r="H675" s="82">
        <v>281.77</v>
      </c>
      <c r="I675" s="236">
        <f t="shared" si="11"/>
        <v>1.2792722362386932E-3</v>
      </c>
    </row>
    <row r="676" spans="1:9" ht="16">
      <c r="A676" s="132">
        <v>42550</v>
      </c>
      <c r="B676" s="79">
        <v>3.62</v>
      </c>
      <c r="E676" s="81"/>
      <c r="F676" s="82"/>
      <c r="G676" s="81">
        <v>42564</v>
      </c>
      <c r="H676" s="82">
        <v>278.27</v>
      </c>
      <c r="I676" s="236">
        <f t="shared" si="11"/>
        <v>-1.2421478510842188E-2</v>
      </c>
    </row>
    <row r="677" spans="1:9" ht="16">
      <c r="A677" s="132">
        <v>42551</v>
      </c>
      <c r="B677" s="79">
        <v>3.62</v>
      </c>
      <c r="E677" s="81"/>
      <c r="F677" s="82"/>
      <c r="G677" s="81">
        <v>42565</v>
      </c>
      <c r="H677" s="82">
        <v>279.57</v>
      </c>
      <c r="I677" s="236">
        <f t="shared" si="11"/>
        <v>4.6717217091314378E-3</v>
      </c>
    </row>
    <row r="678" spans="1:9" ht="16">
      <c r="A678" s="132">
        <v>42552</v>
      </c>
      <c r="B678" s="79">
        <v>3.6</v>
      </c>
      <c r="E678" s="81"/>
      <c r="F678" s="82"/>
      <c r="G678" s="81">
        <v>42566</v>
      </c>
      <c r="H678" s="82">
        <v>274.64</v>
      </c>
      <c r="I678" s="236">
        <f t="shared" si="11"/>
        <v>-1.7634223986837005E-2</v>
      </c>
    </row>
    <row r="679" spans="1:9" ht="16">
      <c r="A679" s="132">
        <v>42553</v>
      </c>
      <c r="B679" s="79">
        <v>3.59</v>
      </c>
      <c r="E679" s="81"/>
      <c r="F679" s="82"/>
      <c r="G679" s="81">
        <v>42567</v>
      </c>
      <c r="H679" s="82">
        <v>276.79000000000002</v>
      </c>
      <c r="I679" s="236">
        <f t="shared" si="11"/>
        <v>7.8284299446549355E-3</v>
      </c>
    </row>
    <row r="680" spans="1:9" ht="16">
      <c r="A680" s="132">
        <v>42556</v>
      </c>
      <c r="B680" s="79">
        <v>3.55</v>
      </c>
      <c r="E680" s="81"/>
      <c r="F680" s="82"/>
      <c r="G680" s="81">
        <v>42570</v>
      </c>
      <c r="H680" s="82">
        <v>279.70999999999998</v>
      </c>
      <c r="I680" s="236">
        <f t="shared" si="11"/>
        <v>1.0549514072039967E-2</v>
      </c>
    </row>
    <row r="681" spans="1:9" ht="16">
      <c r="A681" s="132">
        <v>42557</v>
      </c>
      <c r="B681" s="79">
        <v>3.55</v>
      </c>
      <c r="E681" s="81"/>
      <c r="F681" s="82"/>
      <c r="G681" s="81">
        <v>42571</v>
      </c>
      <c r="H681" s="82">
        <v>284.60000000000002</v>
      </c>
      <c r="I681" s="236">
        <f t="shared" si="11"/>
        <v>1.7482392477923714E-2</v>
      </c>
    </row>
    <row r="682" spans="1:9" ht="16">
      <c r="A682" s="132">
        <v>42558</v>
      </c>
      <c r="B682" s="79">
        <v>3.53</v>
      </c>
      <c r="E682" s="81"/>
      <c r="F682" s="82"/>
      <c r="G682" s="81">
        <v>42572</v>
      </c>
      <c r="H682" s="82">
        <v>282.72000000000003</v>
      </c>
      <c r="I682" s="236">
        <f t="shared" si="11"/>
        <v>-6.605762473647192E-3</v>
      </c>
    </row>
    <row r="683" spans="1:9" ht="16">
      <c r="A683" s="132">
        <v>42559</v>
      </c>
      <c r="B683" s="79">
        <v>3.53</v>
      </c>
      <c r="E683" s="81"/>
      <c r="F683" s="82"/>
      <c r="G683" s="81">
        <v>42573</v>
      </c>
      <c r="H683" s="82">
        <v>282.89999999999998</v>
      </c>
      <c r="I683" s="236">
        <f t="shared" si="11"/>
        <v>6.3667232597608425E-4</v>
      </c>
    </row>
    <row r="684" spans="1:9" ht="16">
      <c r="A684" s="132">
        <v>42560</v>
      </c>
      <c r="B684" s="79">
        <v>3.53</v>
      </c>
      <c r="E684" s="81"/>
      <c r="F684" s="82"/>
      <c r="G684" s="81">
        <v>42574</v>
      </c>
      <c r="H684" s="82">
        <v>278.11</v>
      </c>
      <c r="I684" s="236">
        <f t="shared" si="11"/>
        <v>-1.6931778013432153E-2</v>
      </c>
    </row>
    <row r="685" spans="1:9" ht="16">
      <c r="A685" s="132">
        <v>42563</v>
      </c>
      <c r="B685" s="79">
        <v>3.52</v>
      </c>
      <c r="E685" s="81"/>
      <c r="F685" s="82"/>
      <c r="G685" s="81">
        <v>42577</v>
      </c>
      <c r="H685" s="82">
        <v>280.45999999999998</v>
      </c>
      <c r="I685" s="236">
        <f t="shared" si="11"/>
        <v>8.4498939268633499E-3</v>
      </c>
    </row>
    <row r="686" spans="1:9" ht="16">
      <c r="A686" s="132">
        <v>42564</v>
      </c>
      <c r="B686" s="79">
        <v>3.52</v>
      </c>
      <c r="E686" s="81"/>
      <c r="F686" s="82"/>
      <c r="G686" s="81">
        <v>42578</v>
      </c>
      <c r="H686" s="82">
        <v>282</v>
      </c>
      <c r="I686" s="236">
        <f t="shared" si="11"/>
        <v>5.4909791057549118E-3</v>
      </c>
    </row>
    <row r="687" spans="1:9" ht="16">
      <c r="A687" s="132">
        <v>42565</v>
      </c>
      <c r="B687" s="79">
        <v>3.51</v>
      </c>
      <c r="E687" s="81"/>
      <c r="F687" s="82"/>
      <c r="G687" s="81">
        <v>42579</v>
      </c>
      <c r="H687" s="82">
        <v>283.33</v>
      </c>
      <c r="I687" s="236">
        <f t="shared" si="11"/>
        <v>4.7163120567375039E-3</v>
      </c>
    </row>
    <row r="688" spans="1:9" ht="16">
      <c r="A688" s="132">
        <v>42566</v>
      </c>
      <c r="B688" s="79">
        <v>3.5</v>
      </c>
      <c r="E688" s="81"/>
      <c r="F688" s="82"/>
      <c r="G688" s="81">
        <v>42580</v>
      </c>
      <c r="H688" s="82">
        <v>281.89</v>
      </c>
      <c r="I688" s="236">
        <f t="shared" si="11"/>
        <v>-5.0824127342674608E-3</v>
      </c>
    </row>
    <row r="689" spans="1:9" ht="16">
      <c r="A689" s="132">
        <v>42567</v>
      </c>
      <c r="B689" s="79">
        <v>3.47</v>
      </c>
      <c r="E689" s="81"/>
      <c r="F689" s="82"/>
      <c r="G689" s="81">
        <v>42581</v>
      </c>
      <c r="H689" s="82">
        <v>281.56</v>
      </c>
      <c r="I689" s="236">
        <f t="shared" si="11"/>
        <v>-1.1706694100535042E-3</v>
      </c>
    </row>
    <row r="690" spans="1:9" ht="16">
      <c r="A690" s="132">
        <v>42570</v>
      </c>
      <c r="B690" s="79">
        <v>3.45</v>
      </c>
      <c r="E690" s="81"/>
      <c r="F690" s="82"/>
      <c r="G690" s="81">
        <v>42584</v>
      </c>
      <c r="H690" s="82">
        <v>281.20999999999998</v>
      </c>
      <c r="I690" s="236">
        <f t="shared" si="11"/>
        <v>-1.2430743003268852E-3</v>
      </c>
    </row>
    <row r="691" spans="1:9" ht="16">
      <c r="A691" s="132">
        <v>42571</v>
      </c>
      <c r="B691" s="79">
        <v>3.4</v>
      </c>
      <c r="E691" s="81"/>
      <c r="F691" s="82"/>
      <c r="G691" s="81">
        <v>42585</v>
      </c>
      <c r="H691" s="82">
        <v>284</v>
      </c>
      <c r="I691" s="236">
        <f t="shared" si="11"/>
        <v>9.9214110451264492E-3</v>
      </c>
    </row>
    <row r="692" spans="1:9" ht="16">
      <c r="A692" s="132">
        <v>42572</v>
      </c>
      <c r="B692" s="79">
        <v>3.35</v>
      </c>
      <c r="E692" s="81"/>
      <c r="F692" s="82"/>
      <c r="G692" s="81">
        <v>42586</v>
      </c>
      <c r="H692" s="82">
        <v>287.33999999999997</v>
      </c>
      <c r="I692" s="236">
        <f t="shared" si="11"/>
        <v>1.176056338028153E-2</v>
      </c>
    </row>
    <row r="693" spans="1:9" ht="16">
      <c r="A693" s="132">
        <v>42573</v>
      </c>
      <c r="B693" s="79">
        <v>3.34</v>
      </c>
      <c r="E693" s="81"/>
      <c r="F693" s="82"/>
      <c r="G693" s="81">
        <v>42587</v>
      </c>
      <c r="H693" s="82">
        <v>287.58999999999997</v>
      </c>
      <c r="I693" s="236">
        <f t="shared" si="11"/>
        <v>8.7004941880697295E-4</v>
      </c>
    </row>
    <row r="694" spans="1:9" ht="16">
      <c r="A694" s="132">
        <v>42574</v>
      </c>
      <c r="B694" s="79">
        <v>3.35</v>
      </c>
      <c r="E694" s="81"/>
      <c r="F694" s="82"/>
      <c r="G694" s="81">
        <v>42588</v>
      </c>
      <c r="H694" s="82">
        <v>283.29000000000002</v>
      </c>
      <c r="I694" s="236">
        <f t="shared" si="11"/>
        <v>-1.4951841162766266E-2</v>
      </c>
    </row>
    <row r="695" spans="1:9" ht="16">
      <c r="A695" s="132">
        <v>42577</v>
      </c>
      <c r="B695" s="79">
        <v>3.33</v>
      </c>
      <c r="E695" s="81"/>
      <c r="F695" s="82"/>
      <c r="G695" s="81">
        <v>42591</v>
      </c>
      <c r="H695" s="82">
        <v>282.39999999999998</v>
      </c>
      <c r="I695" s="236">
        <f t="shared" si="11"/>
        <v>-3.1416569592997989E-3</v>
      </c>
    </row>
    <row r="696" spans="1:9" ht="16">
      <c r="A696" s="132">
        <v>42578</v>
      </c>
      <c r="B696" s="79">
        <v>3.32</v>
      </c>
      <c r="E696" s="81"/>
      <c r="F696" s="82"/>
      <c r="G696" s="81">
        <v>42592</v>
      </c>
      <c r="H696" s="82">
        <v>283.31</v>
      </c>
      <c r="I696" s="236">
        <f t="shared" si="11"/>
        <v>3.222379603399439E-3</v>
      </c>
    </row>
    <row r="697" spans="1:9" ht="16">
      <c r="A697" s="132">
        <v>42579</v>
      </c>
      <c r="B697" s="79">
        <v>3.3</v>
      </c>
      <c r="E697" s="81"/>
      <c r="F697" s="82"/>
      <c r="G697" s="81">
        <v>42593</v>
      </c>
      <c r="H697" s="82">
        <v>283.63</v>
      </c>
      <c r="I697" s="236">
        <f t="shared" si="11"/>
        <v>1.1295047827468707E-3</v>
      </c>
    </row>
    <row r="698" spans="1:9" ht="16">
      <c r="A698" s="132">
        <v>42580</v>
      </c>
      <c r="B698" s="79">
        <v>3.28</v>
      </c>
      <c r="E698" s="81"/>
      <c r="F698" s="82"/>
      <c r="G698" s="81">
        <v>42594</v>
      </c>
      <c r="H698" s="82">
        <v>284.13</v>
      </c>
      <c r="I698" s="236">
        <f t="shared" si="11"/>
        <v>1.762860064168148E-3</v>
      </c>
    </row>
    <row r="699" spans="1:9" ht="16">
      <c r="A699" s="132">
        <v>42581</v>
      </c>
      <c r="B699" s="79">
        <v>3.25</v>
      </c>
      <c r="E699" s="81"/>
      <c r="F699" s="82"/>
      <c r="G699" s="81">
        <v>42595</v>
      </c>
      <c r="H699" s="82">
        <v>283.91000000000003</v>
      </c>
      <c r="I699" s="236">
        <f t="shared" si="11"/>
        <v>-7.742934572201321E-4</v>
      </c>
    </row>
    <row r="700" spans="1:9" ht="16">
      <c r="A700" s="132">
        <v>42584</v>
      </c>
      <c r="B700" s="79">
        <v>3.24</v>
      </c>
      <c r="E700" s="81"/>
      <c r="F700" s="82"/>
      <c r="G700" s="81">
        <v>42598</v>
      </c>
      <c r="H700" s="82">
        <v>285.83</v>
      </c>
      <c r="I700" s="236">
        <f t="shared" si="11"/>
        <v>6.7627064914936863E-3</v>
      </c>
    </row>
    <row r="701" spans="1:9" ht="16">
      <c r="A701" s="132">
        <v>42585</v>
      </c>
      <c r="B701" s="79">
        <v>3.2</v>
      </c>
      <c r="E701" s="81"/>
      <c r="F701" s="82"/>
      <c r="G701" s="81">
        <v>42599</v>
      </c>
      <c r="H701" s="82">
        <v>288.17</v>
      </c>
      <c r="I701" s="236">
        <f t="shared" si="11"/>
        <v>8.1866843928211086E-3</v>
      </c>
    </row>
    <row r="702" spans="1:9" ht="16">
      <c r="A702" s="132">
        <v>42586</v>
      </c>
      <c r="B702" s="79">
        <v>3.17</v>
      </c>
      <c r="E702" s="81"/>
      <c r="F702" s="82"/>
      <c r="G702" s="81">
        <v>42600</v>
      </c>
      <c r="H702" s="82">
        <v>286.83</v>
      </c>
      <c r="I702" s="236">
        <f t="shared" si="11"/>
        <v>-4.6500329666517848E-3</v>
      </c>
    </row>
    <row r="703" spans="1:9" ht="16">
      <c r="A703" s="132">
        <v>42587</v>
      </c>
      <c r="B703" s="79">
        <v>3.14</v>
      </c>
      <c r="E703" s="81"/>
      <c r="F703" s="82"/>
      <c r="G703" s="81">
        <v>42601</v>
      </c>
      <c r="H703" s="82">
        <v>282.97000000000003</v>
      </c>
      <c r="I703" s="236">
        <f t="shared" si="11"/>
        <v>-1.3457448662970939E-2</v>
      </c>
    </row>
    <row r="704" spans="1:9" ht="16">
      <c r="A704" s="132">
        <v>42588</v>
      </c>
      <c r="B704" s="79">
        <v>3.13</v>
      </c>
      <c r="E704" s="81"/>
      <c r="F704" s="82"/>
      <c r="G704" s="81">
        <v>42602</v>
      </c>
      <c r="H704" s="82">
        <v>285.62</v>
      </c>
      <c r="I704" s="236">
        <f t="shared" si="11"/>
        <v>9.3649503480932594E-3</v>
      </c>
    </row>
    <row r="705" spans="1:9" ht="16">
      <c r="A705" s="132">
        <v>42591</v>
      </c>
      <c r="B705" s="79">
        <v>3.13</v>
      </c>
      <c r="E705" s="81"/>
      <c r="F705" s="82"/>
      <c r="G705" s="81">
        <v>42605</v>
      </c>
      <c r="H705" s="82">
        <v>289.79000000000002</v>
      </c>
      <c r="I705" s="236">
        <f t="shared" si="11"/>
        <v>1.4599817939920268E-2</v>
      </c>
    </row>
    <row r="706" spans="1:9" ht="16">
      <c r="A706" s="132">
        <v>42592</v>
      </c>
      <c r="B706" s="79">
        <v>3.12</v>
      </c>
      <c r="E706" s="81"/>
      <c r="F706" s="82"/>
      <c r="G706" s="81">
        <v>42606</v>
      </c>
      <c r="H706" s="82">
        <v>290.89</v>
      </c>
      <c r="I706" s="236">
        <f t="shared" si="11"/>
        <v>3.7958521688117308E-3</v>
      </c>
    </row>
    <row r="707" spans="1:9" ht="16">
      <c r="A707" s="132">
        <v>42593</v>
      </c>
      <c r="B707" s="79">
        <v>3.13</v>
      </c>
      <c r="E707" s="81"/>
      <c r="F707" s="82"/>
      <c r="G707" s="81">
        <v>42607</v>
      </c>
      <c r="H707" s="82">
        <v>291.85000000000002</v>
      </c>
      <c r="I707" s="236">
        <f t="shared" si="11"/>
        <v>3.3002165767128666E-3</v>
      </c>
    </row>
    <row r="708" spans="1:9" ht="16">
      <c r="A708" s="132">
        <v>42594</v>
      </c>
      <c r="B708" s="79">
        <v>3.14</v>
      </c>
      <c r="E708" s="81"/>
      <c r="F708" s="82"/>
      <c r="G708" s="81">
        <v>42608</v>
      </c>
      <c r="H708" s="82">
        <v>291.77</v>
      </c>
      <c r="I708" s="236">
        <f t="shared" si="11"/>
        <v>-2.7411341442540316E-4</v>
      </c>
    </row>
    <row r="709" spans="1:9" ht="16">
      <c r="A709" s="132">
        <v>42595</v>
      </c>
      <c r="B709" s="79">
        <v>3.16</v>
      </c>
      <c r="E709" s="81"/>
      <c r="F709" s="82"/>
      <c r="G709" s="81">
        <v>42609</v>
      </c>
      <c r="H709" s="82">
        <v>293.3</v>
      </c>
      <c r="I709" s="236">
        <f t="shared" si="11"/>
        <v>5.2438564622820927E-3</v>
      </c>
    </row>
    <row r="710" spans="1:9" ht="16">
      <c r="A710" s="132">
        <v>42598</v>
      </c>
      <c r="B710" s="79">
        <v>3.16</v>
      </c>
      <c r="E710" s="81"/>
      <c r="F710" s="82"/>
      <c r="G710" s="81">
        <v>42612</v>
      </c>
      <c r="H710" s="82">
        <v>288.68</v>
      </c>
      <c r="I710" s="236">
        <f t="shared" si="11"/>
        <v>-1.575178997613369E-2</v>
      </c>
    </row>
    <row r="711" spans="1:9" ht="16">
      <c r="A711" s="132">
        <v>42599</v>
      </c>
      <c r="B711" s="79">
        <v>3.16</v>
      </c>
      <c r="E711" s="81"/>
      <c r="F711" s="82"/>
      <c r="G711" s="81">
        <v>42613</v>
      </c>
      <c r="H711" s="82">
        <v>293.31</v>
      </c>
      <c r="I711" s="236">
        <f t="shared" si="11"/>
        <v>1.6038520160731595E-2</v>
      </c>
    </row>
    <row r="712" spans="1:9" ht="16">
      <c r="A712" s="132">
        <v>42600</v>
      </c>
      <c r="B712" s="79">
        <v>3.15</v>
      </c>
      <c r="E712" s="81"/>
      <c r="F712" s="82"/>
      <c r="G712" s="81">
        <v>42614</v>
      </c>
      <c r="H712" s="82">
        <v>293.01</v>
      </c>
      <c r="I712" s="236">
        <f t="shared" si="11"/>
        <v>-1.0228086325049235E-3</v>
      </c>
    </row>
    <row r="713" spans="1:9" ht="16">
      <c r="A713" s="132">
        <v>42601</v>
      </c>
      <c r="B713" s="79">
        <v>3.16</v>
      </c>
      <c r="E713" s="81"/>
      <c r="F713" s="82"/>
      <c r="G713" s="81">
        <v>42615</v>
      </c>
      <c r="H713" s="82">
        <v>289.95</v>
      </c>
      <c r="I713" s="236">
        <f t="shared" si="11"/>
        <v>-1.0443329579195249E-2</v>
      </c>
    </row>
    <row r="714" spans="1:9" ht="16">
      <c r="A714" s="132">
        <v>42602</v>
      </c>
      <c r="B714" s="79">
        <v>3.15</v>
      </c>
      <c r="E714" s="81"/>
      <c r="F714" s="82"/>
      <c r="G714" s="81">
        <v>42616</v>
      </c>
      <c r="H714" s="82">
        <v>287.88</v>
      </c>
      <c r="I714" s="236">
        <f t="shared" si="11"/>
        <v>-7.139161924469728E-3</v>
      </c>
    </row>
    <row r="715" spans="1:9" ht="16">
      <c r="A715" s="132">
        <v>42605</v>
      </c>
      <c r="B715" s="79">
        <v>3.14</v>
      </c>
      <c r="E715" s="81"/>
      <c r="F715" s="82"/>
      <c r="G715" s="81">
        <v>42619</v>
      </c>
      <c r="H715" s="82">
        <v>286.14</v>
      </c>
      <c r="I715" s="236">
        <f t="shared" si="11"/>
        <v>-6.0441850771154604E-3</v>
      </c>
    </row>
    <row r="716" spans="1:9" ht="16">
      <c r="A716" s="132">
        <v>42606</v>
      </c>
      <c r="B716" s="79">
        <v>3.16</v>
      </c>
      <c r="E716" s="81"/>
      <c r="F716" s="82"/>
      <c r="G716" s="81">
        <v>42620</v>
      </c>
      <c r="H716" s="82">
        <v>283.75</v>
      </c>
      <c r="I716" s="236">
        <f t="shared" si="11"/>
        <v>-8.3525546935065975E-3</v>
      </c>
    </row>
    <row r="717" spans="1:9" ht="16">
      <c r="A717" s="132">
        <v>42607</v>
      </c>
      <c r="B717" s="79">
        <v>3.16</v>
      </c>
      <c r="E717" s="81"/>
      <c r="F717" s="82"/>
      <c r="G717" s="81">
        <v>42621</v>
      </c>
      <c r="H717" s="82">
        <v>283.7</v>
      </c>
      <c r="I717" s="236">
        <f t="shared" si="11"/>
        <v>-1.7621145374457914E-4</v>
      </c>
    </row>
    <row r="718" spans="1:9" ht="16">
      <c r="A718" s="132">
        <v>42608</v>
      </c>
      <c r="B718" s="79">
        <v>3.16</v>
      </c>
      <c r="E718" s="81"/>
      <c r="F718" s="82"/>
      <c r="G718" s="81">
        <v>42622</v>
      </c>
      <c r="H718" s="82">
        <v>283.08</v>
      </c>
      <c r="I718" s="236">
        <f t="shared" si="11"/>
        <v>-2.1854071201974357E-3</v>
      </c>
    </row>
    <row r="719" spans="1:9" ht="16">
      <c r="A719" s="132">
        <v>42609</v>
      </c>
      <c r="B719" s="79">
        <v>3.17</v>
      </c>
      <c r="E719" s="81"/>
      <c r="F719" s="82"/>
      <c r="G719" s="81">
        <v>42623</v>
      </c>
      <c r="H719" s="82">
        <v>284.64999999999998</v>
      </c>
      <c r="I719" s="236">
        <f t="shared" si="11"/>
        <v>5.5461353680938963E-3</v>
      </c>
    </row>
    <row r="720" spans="1:9" ht="16">
      <c r="A720" s="132">
        <v>42612</v>
      </c>
      <c r="B720" s="79">
        <v>3.13</v>
      </c>
      <c r="E720" s="81"/>
      <c r="F720" s="82"/>
      <c r="G720" s="81">
        <v>42626</v>
      </c>
      <c r="H720" s="82">
        <v>287.67</v>
      </c>
      <c r="I720" s="236">
        <f t="shared" ref="I720:I783" si="12">H720/H719-1</f>
        <v>1.060952046372754E-2</v>
      </c>
    </row>
    <row r="721" spans="1:9" ht="16">
      <c r="A721" s="132">
        <v>42613</v>
      </c>
      <c r="B721" s="79">
        <v>3.11</v>
      </c>
      <c r="E721" s="81"/>
      <c r="F721" s="82"/>
      <c r="G721" s="81">
        <v>42627</v>
      </c>
      <c r="H721" s="82">
        <v>289.66000000000003</v>
      </c>
      <c r="I721" s="236">
        <f t="shared" si="12"/>
        <v>6.9176486946849192E-3</v>
      </c>
    </row>
    <row r="722" spans="1:9" ht="16">
      <c r="A722" s="132">
        <v>42614</v>
      </c>
      <c r="B722" s="79">
        <v>3.07</v>
      </c>
      <c r="E722" s="81"/>
      <c r="F722" s="82"/>
      <c r="G722" s="81">
        <v>42628</v>
      </c>
      <c r="H722" s="82">
        <v>290.88</v>
      </c>
      <c r="I722" s="236">
        <f t="shared" si="12"/>
        <v>4.2118345646620092E-3</v>
      </c>
    </row>
    <row r="723" spans="1:9" ht="16">
      <c r="A723" s="132">
        <v>42615</v>
      </c>
      <c r="B723" s="79">
        <v>3.07</v>
      </c>
      <c r="E723" s="81"/>
      <c r="F723" s="82"/>
      <c r="G723" s="81">
        <v>42629</v>
      </c>
      <c r="H723" s="82">
        <v>288.68</v>
      </c>
      <c r="I723" s="236">
        <f t="shared" si="12"/>
        <v>-7.5632563256324836E-3</v>
      </c>
    </row>
    <row r="724" spans="1:9" ht="16">
      <c r="A724" s="132">
        <v>42616</v>
      </c>
      <c r="B724" s="79">
        <v>3.09</v>
      </c>
      <c r="E724" s="81"/>
      <c r="F724" s="82"/>
      <c r="G724" s="81">
        <v>42630</v>
      </c>
      <c r="H724" s="82">
        <v>288.88</v>
      </c>
      <c r="I724" s="236">
        <f t="shared" si="12"/>
        <v>6.9280864625187455E-4</v>
      </c>
    </row>
    <row r="725" spans="1:9" ht="16">
      <c r="A725" s="132">
        <v>42619</v>
      </c>
      <c r="B725" s="79">
        <v>3.09</v>
      </c>
      <c r="E725" s="81"/>
      <c r="F725" s="82"/>
      <c r="G725" s="81">
        <v>42633</v>
      </c>
      <c r="H725" s="82">
        <v>283.63</v>
      </c>
      <c r="I725" s="236">
        <f t="shared" si="12"/>
        <v>-1.8173636111880387E-2</v>
      </c>
    </row>
    <row r="726" spans="1:9" ht="16">
      <c r="A726" s="132">
        <v>42620</v>
      </c>
      <c r="B726" s="79">
        <v>3.11</v>
      </c>
      <c r="E726" s="81"/>
      <c r="F726" s="82"/>
      <c r="G726" s="81">
        <v>42634</v>
      </c>
      <c r="H726" s="82">
        <v>282.42</v>
      </c>
      <c r="I726" s="236">
        <f t="shared" si="12"/>
        <v>-4.2661213552867006E-3</v>
      </c>
    </row>
    <row r="727" spans="1:9" ht="16">
      <c r="A727" s="132">
        <v>42621</v>
      </c>
      <c r="B727" s="79">
        <v>3.1</v>
      </c>
      <c r="E727" s="81"/>
      <c r="F727" s="82"/>
      <c r="G727" s="81">
        <v>42635</v>
      </c>
      <c r="H727" s="82">
        <v>280.77999999999997</v>
      </c>
      <c r="I727" s="236">
        <f t="shared" si="12"/>
        <v>-5.8069541817152848E-3</v>
      </c>
    </row>
    <row r="728" spans="1:9" ht="16">
      <c r="A728" s="132">
        <v>42622</v>
      </c>
      <c r="B728" s="79">
        <v>3.09</v>
      </c>
      <c r="E728" s="81"/>
      <c r="F728" s="82"/>
      <c r="G728" s="81">
        <v>42636</v>
      </c>
      <c r="H728" s="82">
        <v>275.86</v>
      </c>
      <c r="I728" s="236">
        <f t="shared" si="12"/>
        <v>-1.7522615570909506E-2</v>
      </c>
    </row>
    <row r="729" spans="1:9" ht="16">
      <c r="A729" s="132">
        <v>42623</v>
      </c>
      <c r="B729" s="79">
        <v>3.1</v>
      </c>
      <c r="E729" s="81"/>
      <c r="F729" s="82"/>
      <c r="G729" s="81">
        <v>42637</v>
      </c>
      <c r="H729" s="82">
        <v>276.19</v>
      </c>
      <c r="I729" s="236">
        <f t="shared" si="12"/>
        <v>1.19625897194231E-3</v>
      </c>
    </row>
    <row r="730" spans="1:9" ht="16">
      <c r="A730" s="132">
        <v>42626</v>
      </c>
      <c r="B730" s="79">
        <v>3.09</v>
      </c>
      <c r="E730" s="81"/>
      <c r="F730" s="82"/>
      <c r="G730" s="81">
        <v>42640</v>
      </c>
      <c r="H730" s="82">
        <v>278.95999999999998</v>
      </c>
      <c r="I730" s="236">
        <f t="shared" si="12"/>
        <v>1.0029327636771779E-2</v>
      </c>
    </row>
    <row r="731" spans="1:9" ht="16">
      <c r="A731" s="132">
        <v>42627</v>
      </c>
      <c r="B731" s="79">
        <v>3.09</v>
      </c>
      <c r="E731" s="81"/>
      <c r="F731" s="82"/>
      <c r="G731" s="81">
        <v>42641</v>
      </c>
      <c r="H731" s="82">
        <v>278.41000000000003</v>
      </c>
      <c r="I731" s="236">
        <f t="shared" si="12"/>
        <v>-1.9716088328074477E-3</v>
      </c>
    </row>
    <row r="732" spans="1:9" ht="16">
      <c r="A732" s="132">
        <v>42628</v>
      </c>
      <c r="B732" s="79">
        <v>3.11</v>
      </c>
      <c r="E732" s="81"/>
      <c r="F732" s="82"/>
      <c r="G732" s="81">
        <v>42642</v>
      </c>
      <c r="H732" s="82">
        <v>281.88</v>
      </c>
      <c r="I732" s="236">
        <f t="shared" si="12"/>
        <v>1.2463632771811284E-2</v>
      </c>
    </row>
    <row r="733" spans="1:9" ht="16">
      <c r="A733" s="132">
        <v>42629</v>
      </c>
      <c r="B733" s="79">
        <v>3.13</v>
      </c>
      <c r="E733" s="81"/>
      <c r="F733" s="82"/>
      <c r="G733" s="81">
        <v>42643</v>
      </c>
      <c r="H733" s="82">
        <v>283.05</v>
      </c>
      <c r="I733" s="236">
        <f t="shared" si="12"/>
        <v>4.1507024265645676E-3</v>
      </c>
    </row>
    <row r="734" spans="1:9" ht="16">
      <c r="A734" s="132">
        <v>42630</v>
      </c>
      <c r="B734" s="79">
        <v>3.13</v>
      </c>
      <c r="E734" s="81"/>
      <c r="F734" s="82"/>
      <c r="G734" s="81">
        <v>42644</v>
      </c>
      <c r="H734" s="82">
        <v>282.19</v>
      </c>
      <c r="I734" s="236">
        <f t="shared" si="12"/>
        <v>-3.0383324500972142E-3</v>
      </c>
    </row>
    <row r="735" spans="1:9" ht="16">
      <c r="A735" s="132">
        <v>42633</v>
      </c>
      <c r="B735" s="79">
        <v>3.18</v>
      </c>
      <c r="E735" s="81"/>
      <c r="F735" s="82"/>
      <c r="G735" s="81">
        <v>42647</v>
      </c>
      <c r="H735" s="82">
        <v>284.37</v>
      </c>
      <c r="I735" s="236">
        <f t="shared" si="12"/>
        <v>7.7252914702861109E-3</v>
      </c>
    </row>
    <row r="736" spans="1:9" ht="16">
      <c r="A736" s="132">
        <v>42634</v>
      </c>
      <c r="B736" s="79">
        <v>3.19</v>
      </c>
      <c r="E736" s="81"/>
      <c r="F736" s="82"/>
      <c r="G736" s="81">
        <v>42648</v>
      </c>
      <c r="H736" s="82">
        <v>287.22000000000003</v>
      </c>
      <c r="I736" s="236">
        <f t="shared" si="12"/>
        <v>1.0022154235678871E-2</v>
      </c>
    </row>
    <row r="737" spans="1:9" ht="16">
      <c r="A737" s="132">
        <v>42635</v>
      </c>
      <c r="B737" s="79">
        <v>3.23</v>
      </c>
      <c r="E737" s="81"/>
      <c r="F737" s="82"/>
      <c r="G737" s="81">
        <v>42649</v>
      </c>
      <c r="H737" s="82">
        <v>288.2</v>
      </c>
      <c r="I737" s="236">
        <f t="shared" si="12"/>
        <v>3.4120186616528603E-3</v>
      </c>
    </row>
    <row r="738" spans="1:9" ht="16">
      <c r="A738" s="132">
        <v>42636</v>
      </c>
      <c r="B738" s="79">
        <v>3.25</v>
      </c>
      <c r="E738" s="81"/>
      <c r="F738" s="82"/>
      <c r="G738" s="81">
        <v>42650</v>
      </c>
      <c r="H738" s="82">
        <v>290.51</v>
      </c>
      <c r="I738" s="236">
        <f t="shared" si="12"/>
        <v>8.0152671755724381E-3</v>
      </c>
    </row>
    <row r="739" spans="1:9" ht="16">
      <c r="A739" s="132">
        <v>42637</v>
      </c>
      <c r="B739" s="79">
        <v>3.25</v>
      </c>
      <c r="E739" s="81"/>
      <c r="F739" s="82"/>
      <c r="G739" s="81">
        <v>42651</v>
      </c>
      <c r="H739" s="82">
        <v>292.33</v>
      </c>
      <c r="I739" s="236">
        <f t="shared" si="12"/>
        <v>6.264844583663276E-3</v>
      </c>
    </row>
    <row r="740" spans="1:9" ht="16">
      <c r="A740" s="132">
        <v>42640</v>
      </c>
      <c r="B740" s="79">
        <v>3.25</v>
      </c>
      <c r="E740" s="81"/>
      <c r="F740" s="82"/>
      <c r="G740" s="81">
        <v>42654</v>
      </c>
      <c r="H740" s="82">
        <v>295.73</v>
      </c>
      <c r="I740" s="236">
        <f t="shared" si="12"/>
        <v>1.1630691341976584E-2</v>
      </c>
    </row>
    <row r="741" spans="1:9" ht="16">
      <c r="A741" s="132">
        <v>42641</v>
      </c>
      <c r="B741" s="79">
        <v>3.26</v>
      </c>
      <c r="E741" s="81"/>
      <c r="F741" s="82"/>
      <c r="G741" s="81">
        <v>42655</v>
      </c>
      <c r="H741" s="82">
        <v>295.32</v>
      </c>
      <c r="I741" s="236">
        <f t="shared" si="12"/>
        <v>-1.3863997565347619E-3</v>
      </c>
    </row>
    <row r="742" spans="1:9" ht="16">
      <c r="A742" s="132">
        <v>42642</v>
      </c>
      <c r="B742" s="79">
        <v>3.19</v>
      </c>
      <c r="E742" s="81"/>
      <c r="F742" s="82"/>
      <c r="G742" s="81">
        <v>42656</v>
      </c>
      <c r="H742" s="82">
        <v>295.60000000000002</v>
      </c>
      <c r="I742" s="236">
        <f t="shared" si="12"/>
        <v>9.4812406880673272E-4</v>
      </c>
    </row>
    <row r="743" spans="1:9" ht="16">
      <c r="A743" s="132">
        <v>42643</v>
      </c>
      <c r="B743" s="79">
        <v>3.2</v>
      </c>
      <c r="E743" s="81"/>
      <c r="F743" s="82"/>
      <c r="G743" s="81">
        <v>42657</v>
      </c>
      <c r="H743" s="82">
        <v>291.56</v>
      </c>
      <c r="I743" s="236">
        <f t="shared" si="12"/>
        <v>-1.366711772665774E-2</v>
      </c>
    </row>
    <row r="744" spans="1:9" ht="16">
      <c r="A744" s="132">
        <v>42644</v>
      </c>
      <c r="B744" s="79">
        <v>3.2</v>
      </c>
      <c r="E744" s="81"/>
      <c r="F744" s="82"/>
      <c r="G744" s="81">
        <v>42658</v>
      </c>
      <c r="H744" s="82">
        <v>292.97000000000003</v>
      </c>
      <c r="I744" s="236">
        <f t="shared" si="12"/>
        <v>4.8360543284402535E-3</v>
      </c>
    </row>
    <row r="745" spans="1:9" ht="16">
      <c r="A745" s="132">
        <v>42647</v>
      </c>
      <c r="B745" s="79">
        <v>3.19</v>
      </c>
      <c r="E745" s="81"/>
      <c r="F745" s="82"/>
      <c r="G745" s="81">
        <v>42661</v>
      </c>
      <c r="H745" s="82">
        <v>293.43</v>
      </c>
      <c r="I745" s="236">
        <f t="shared" si="12"/>
        <v>1.5701266341263675E-3</v>
      </c>
    </row>
    <row r="746" spans="1:9" ht="16">
      <c r="A746" s="132">
        <v>42648</v>
      </c>
      <c r="B746" s="79">
        <v>3.17</v>
      </c>
      <c r="E746" s="81"/>
      <c r="F746" s="82"/>
      <c r="G746" s="81">
        <v>42662</v>
      </c>
      <c r="H746" s="82">
        <v>295.18</v>
      </c>
      <c r="I746" s="236">
        <f t="shared" si="12"/>
        <v>5.9639437003715656E-3</v>
      </c>
    </row>
    <row r="747" spans="1:9" ht="16">
      <c r="A747" s="132">
        <v>42649</v>
      </c>
      <c r="B747" s="79">
        <v>3.16</v>
      </c>
      <c r="E747" s="81"/>
      <c r="F747" s="82"/>
      <c r="G747" s="81">
        <v>42663</v>
      </c>
      <c r="H747" s="82">
        <v>295.88</v>
      </c>
      <c r="I747" s="236">
        <f t="shared" si="12"/>
        <v>2.3714343790228742E-3</v>
      </c>
    </row>
    <row r="748" spans="1:9" ht="16">
      <c r="A748" s="132">
        <v>42650</v>
      </c>
      <c r="B748" s="79">
        <v>3.14</v>
      </c>
      <c r="E748" s="81"/>
      <c r="F748" s="82"/>
      <c r="G748" s="81">
        <v>42664</v>
      </c>
      <c r="H748" s="82">
        <v>295.66000000000003</v>
      </c>
      <c r="I748" s="236">
        <f t="shared" si="12"/>
        <v>-7.4354468027570952E-4</v>
      </c>
    </row>
    <row r="749" spans="1:9" ht="16">
      <c r="A749" s="132">
        <v>42651</v>
      </c>
      <c r="B749" s="79">
        <v>3.11</v>
      </c>
      <c r="E749" s="81"/>
      <c r="F749" s="82"/>
      <c r="G749" s="81">
        <v>42665</v>
      </c>
      <c r="H749" s="82">
        <v>295.77</v>
      </c>
      <c r="I749" s="236">
        <f t="shared" si="12"/>
        <v>3.720489751739553E-4</v>
      </c>
    </row>
    <row r="750" spans="1:9" ht="16">
      <c r="A750" s="132">
        <v>42654</v>
      </c>
      <c r="B750" s="79">
        <v>3.11</v>
      </c>
      <c r="E750" s="81"/>
      <c r="F750" s="82"/>
      <c r="G750" s="81">
        <v>42668</v>
      </c>
      <c r="H750" s="82">
        <v>293.83</v>
      </c>
      <c r="I750" s="236">
        <f t="shared" si="12"/>
        <v>-6.5591506914156605E-3</v>
      </c>
    </row>
    <row r="751" spans="1:9" ht="16">
      <c r="A751" s="132">
        <v>42655</v>
      </c>
      <c r="B751" s="79">
        <v>3.09</v>
      </c>
      <c r="E751" s="81"/>
      <c r="F751" s="82"/>
      <c r="G751" s="81">
        <v>42669</v>
      </c>
      <c r="H751" s="82">
        <v>294.45</v>
      </c>
      <c r="I751" s="236">
        <f t="shared" si="12"/>
        <v>2.1100636422421992E-3</v>
      </c>
    </row>
    <row r="752" spans="1:9" ht="16">
      <c r="A752" s="132">
        <v>42656</v>
      </c>
      <c r="B752" s="79">
        <v>3.09</v>
      </c>
      <c r="E752" s="81"/>
      <c r="F752" s="82"/>
      <c r="G752" s="81">
        <v>42670</v>
      </c>
      <c r="H752" s="82">
        <v>290.74</v>
      </c>
      <c r="I752" s="236">
        <f t="shared" si="12"/>
        <v>-1.259976226863635E-2</v>
      </c>
    </row>
    <row r="753" spans="1:9" ht="16">
      <c r="A753" s="132">
        <v>42657</v>
      </c>
      <c r="B753" s="79">
        <v>3.1</v>
      </c>
      <c r="E753" s="81"/>
      <c r="F753" s="82"/>
      <c r="G753" s="81">
        <v>42671</v>
      </c>
      <c r="H753" s="82">
        <v>290.89999999999998</v>
      </c>
      <c r="I753" s="236">
        <f t="shared" si="12"/>
        <v>5.5031987342624156E-4</v>
      </c>
    </row>
    <row r="754" spans="1:9" ht="16">
      <c r="A754" s="132">
        <v>42658</v>
      </c>
      <c r="B754" s="79">
        <v>3.09</v>
      </c>
      <c r="E754" s="81"/>
      <c r="F754" s="82"/>
      <c r="G754" s="81">
        <v>42672</v>
      </c>
      <c r="H754" s="82">
        <v>287.35000000000002</v>
      </c>
      <c r="I754" s="236">
        <f t="shared" si="12"/>
        <v>-1.2203506359573568E-2</v>
      </c>
    </row>
    <row r="755" spans="1:9" ht="16">
      <c r="A755" s="132">
        <v>42661</v>
      </c>
      <c r="B755" s="79">
        <v>3.1</v>
      </c>
      <c r="E755" s="81"/>
      <c r="F755" s="82"/>
      <c r="G755" s="81">
        <v>42675</v>
      </c>
      <c r="H755" s="82">
        <v>289.58999999999997</v>
      </c>
      <c r="I755" s="236">
        <f t="shared" si="12"/>
        <v>7.7953714981728872E-3</v>
      </c>
    </row>
    <row r="756" spans="1:9" ht="16">
      <c r="A756" s="132">
        <v>42662</v>
      </c>
      <c r="B756" s="79">
        <v>3.11</v>
      </c>
      <c r="E756" s="81"/>
      <c r="F756" s="82"/>
      <c r="G756" s="81">
        <v>42676</v>
      </c>
      <c r="H756" s="82">
        <v>291.27</v>
      </c>
      <c r="I756" s="236">
        <f t="shared" si="12"/>
        <v>5.8013052936911613E-3</v>
      </c>
    </row>
    <row r="757" spans="1:9" ht="16">
      <c r="A757" s="132">
        <v>42663</v>
      </c>
      <c r="B757" s="79">
        <v>3.13</v>
      </c>
      <c r="E757" s="81"/>
      <c r="F757" s="82"/>
      <c r="G757" s="81">
        <v>42677</v>
      </c>
      <c r="H757" s="82">
        <v>295.14999999999998</v>
      </c>
      <c r="I757" s="236">
        <f t="shared" si="12"/>
        <v>1.3320973667044322E-2</v>
      </c>
    </row>
    <row r="758" spans="1:9" ht="16">
      <c r="A758" s="132">
        <v>42664</v>
      </c>
      <c r="B758" s="79">
        <v>3.14</v>
      </c>
      <c r="E758" s="81"/>
      <c r="F758" s="82"/>
      <c r="G758" s="81">
        <v>42678</v>
      </c>
      <c r="H758" s="82">
        <v>302.67</v>
      </c>
      <c r="I758" s="236">
        <f t="shared" si="12"/>
        <v>2.547857021853317E-2</v>
      </c>
    </row>
    <row r="759" spans="1:9" ht="16">
      <c r="A759" s="132">
        <v>42665</v>
      </c>
      <c r="B759" s="79">
        <v>3.14</v>
      </c>
      <c r="E759" s="81"/>
      <c r="F759" s="82"/>
      <c r="G759" s="81">
        <v>42679</v>
      </c>
      <c r="H759" s="82">
        <v>305.08999999999997</v>
      </c>
      <c r="I759" s="236">
        <f t="shared" si="12"/>
        <v>7.995506657415552E-3</v>
      </c>
    </row>
    <row r="760" spans="1:9" ht="16">
      <c r="A760" s="132">
        <v>42668</v>
      </c>
      <c r="B760" s="79">
        <v>3.13</v>
      </c>
      <c r="E760" s="81"/>
      <c r="F760" s="82"/>
      <c r="G760" s="81">
        <v>42682</v>
      </c>
      <c r="H760" s="82">
        <v>309.39</v>
      </c>
      <c r="I760" s="236">
        <f t="shared" si="12"/>
        <v>1.4094201710970644E-2</v>
      </c>
    </row>
    <row r="761" spans="1:9" ht="16">
      <c r="A761" s="132">
        <v>42669</v>
      </c>
      <c r="B761" s="79">
        <v>3.12</v>
      </c>
      <c r="E761" s="81"/>
      <c r="F761" s="82"/>
      <c r="G761" s="81">
        <v>42683</v>
      </c>
      <c r="H761" s="82">
        <v>306.37</v>
      </c>
      <c r="I761" s="236">
        <f t="shared" si="12"/>
        <v>-9.761142894081809E-3</v>
      </c>
    </row>
    <row r="762" spans="1:9" ht="16">
      <c r="A762" s="132">
        <v>42670</v>
      </c>
      <c r="B762" s="79">
        <v>3.13</v>
      </c>
      <c r="E762" s="81"/>
      <c r="F762" s="82"/>
      <c r="G762" s="81">
        <v>42684</v>
      </c>
      <c r="H762" s="82">
        <v>305.26</v>
      </c>
      <c r="I762" s="236">
        <f t="shared" si="12"/>
        <v>-3.6230701439436963E-3</v>
      </c>
    </row>
    <row r="763" spans="1:9" ht="16">
      <c r="A763" s="132">
        <v>42671</v>
      </c>
      <c r="B763" s="79">
        <v>3.16</v>
      </c>
      <c r="E763" s="81"/>
      <c r="F763" s="82"/>
      <c r="G763" s="81">
        <v>42685</v>
      </c>
      <c r="H763" s="82">
        <v>306.38</v>
      </c>
      <c r="I763" s="236">
        <f t="shared" si="12"/>
        <v>3.6690034724498055E-3</v>
      </c>
    </row>
    <row r="764" spans="1:9" ht="16">
      <c r="A764" s="132">
        <v>42672</v>
      </c>
      <c r="B764" s="79">
        <v>3.19</v>
      </c>
      <c r="E764" s="81"/>
      <c r="F764" s="82"/>
      <c r="G764" s="81">
        <v>42686</v>
      </c>
      <c r="H764" s="82">
        <v>307.75</v>
      </c>
      <c r="I764" s="236">
        <f t="shared" si="12"/>
        <v>4.4715712513871964E-3</v>
      </c>
    </row>
    <row r="765" spans="1:9" ht="16">
      <c r="A765" s="132">
        <v>42673</v>
      </c>
      <c r="B765" s="79">
        <v>3.2</v>
      </c>
      <c r="E765" s="81"/>
      <c r="F765" s="82"/>
      <c r="G765" s="81">
        <v>42689</v>
      </c>
      <c r="H765" s="82">
        <v>310.62</v>
      </c>
      <c r="I765" s="236">
        <f t="shared" si="12"/>
        <v>9.3257514216085191E-3</v>
      </c>
    </row>
    <row r="766" spans="1:9" ht="16">
      <c r="A766" s="132">
        <v>42675</v>
      </c>
      <c r="B766" s="79">
        <v>3.2</v>
      </c>
      <c r="E766" s="81"/>
      <c r="F766" s="82"/>
      <c r="G766" s="81">
        <v>42690</v>
      </c>
      <c r="H766" s="82">
        <v>310.72000000000003</v>
      </c>
      <c r="I766" s="236">
        <f t="shared" si="12"/>
        <v>3.2193677161806988E-4</v>
      </c>
    </row>
    <row r="767" spans="1:9" ht="16">
      <c r="A767" s="132">
        <v>42676</v>
      </c>
      <c r="B767" s="79">
        <v>3.19</v>
      </c>
      <c r="E767" s="81"/>
      <c r="F767" s="82"/>
      <c r="G767" s="81">
        <v>42691</v>
      </c>
      <c r="H767" s="82">
        <v>312.36</v>
      </c>
      <c r="I767" s="236">
        <f t="shared" si="12"/>
        <v>5.2780638516991552E-3</v>
      </c>
    </row>
    <row r="768" spans="1:9" ht="16">
      <c r="A768" s="132">
        <v>42677</v>
      </c>
      <c r="B768" s="79">
        <v>3.12</v>
      </c>
      <c r="E768" s="81"/>
      <c r="F768" s="82"/>
      <c r="G768" s="81">
        <v>42692</v>
      </c>
      <c r="H768" s="82">
        <v>311.08</v>
      </c>
      <c r="I768" s="236">
        <f t="shared" si="12"/>
        <v>-4.0978358304520901E-3</v>
      </c>
    </row>
    <row r="769" spans="1:9" ht="16">
      <c r="A769" s="132">
        <v>42678</v>
      </c>
      <c r="B769" s="79">
        <v>3.06</v>
      </c>
      <c r="E769" s="81"/>
      <c r="F769" s="82"/>
      <c r="G769" s="81">
        <v>42693</v>
      </c>
      <c r="H769" s="82">
        <v>313.57</v>
      </c>
      <c r="I769" s="236">
        <f t="shared" si="12"/>
        <v>8.0043718657580865E-3</v>
      </c>
    </row>
    <row r="770" spans="1:9" ht="16">
      <c r="A770" s="132">
        <v>42679</v>
      </c>
      <c r="B770" s="79">
        <v>3.07</v>
      </c>
      <c r="E770" s="81"/>
      <c r="F770" s="82"/>
      <c r="G770" s="81">
        <v>42696</v>
      </c>
      <c r="H770" s="82">
        <v>315.64999999999998</v>
      </c>
      <c r="I770" s="236">
        <f t="shared" si="12"/>
        <v>6.6332876231782745E-3</v>
      </c>
    </row>
    <row r="771" spans="1:9" ht="16">
      <c r="A771" s="132">
        <v>42682</v>
      </c>
      <c r="B771" s="79">
        <v>3.03</v>
      </c>
      <c r="E771" s="81"/>
      <c r="F771" s="82"/>
      <c r="G771" s="81">
        <v>42697</v>
      </c>
      <c r="H771" s="82">
        <v>317.08</v>
      </c>
      <c r="I771" s="236">
        <f t="shared" si="12"/>
        <v>4.530334230951949E-3</v>
      </c>
    </row>
    <row r="772" spans="1:9" ht="16">
      <c r="A772" s="132">
        <v>42683</v>
      </c>
      <c r="B772" s="79">
        <v>3.05</v>
      </c>
      <c r="E772" s="81"/>
      <c r="F772" s="82"/>
      <c r="G772" s="81">
        <v>42698</v>
      </c>
      <c r="H772" s="82">
        <v>314.89999999999998</v>
      </c>
      <c r="I772" s="236">
        <f t="shared" si="12"/>
        <v>-6.8752365333669685E-3</v>
      </c>
    </row>
    <row r="773" spans="1:9" ht="16">
      <c r="A773" s="132">
        <v>42684</v>
      </c>
      <c r="B773" s="79">
        <v>3.04</v>
      </c>
      <c r="E773" s="81"/>
      <c r="F773" s="82"/>
      <c r="G773" s="81">
        <v>42699</v>
      </c>
      <c r="H773" s="82">
        <v>317.52999999999997</v>
      </c>
      <c r="I773" s="236">
        <f t="shared" si="12"/>
        <v>8.351857732613599E-3</v>
      </c>
    </row>
    <row r="774" spans="1:9" ht="16">
      <c r="A774" s="132">
        <v>42685</v>
      </c>
      <c r="B774" s="79">
        <v>3.03</v>
      </c>
      <c r="E774" s="81"/>
      <c r="F774" s="82"/>
      <c r="G774" s="81">
        <v>42700</v>
      </c>
      <c r="H774" s="82">
        <v>318.27999999999997</v>
      </c>
      <c r="I774" s="236">
        <f t="shared" si="12"/>
        <v>2.3619815450508508E-3</v>
      </c>
    </row>
    <row r="775" spans="1:9" ht="16">
      <c r="A775" s="132">
        <v>42686</v>
      </c>
      <c r="B775" s="79">
        <v>3.02</v>
      </c>
      <c r="E775" s="81"/>
      <c r="F775" s="82"/>
      <c r="G775" s="81">
        <v>42703</v>
      </c>
      <c r="H775" s="82">
        <v>312.62</v>
      </c>
      <c r="I775" s="236">
        <f t="shared" si="12"/>
        <v>-1.7783084076913314E-2</v>
      </c>
    </row>
    <row r="776" spans="1:9" ht="16">
      <c r="A776" s="132">
        <v>42689</v>
      </c>
      <c r="B776" s="79">
        <v>3.01</v>
      </c>
      <c r="E776" s="81"/>
      <c r="F776" s="82"/>
      <c r="G776" s="81">
        <v>42704</v>
      </c>
      <c r="H776" s="82">
        <v>317.3</v>
      </c>
      <c r="I776" s="236">
        <f t="shared" si="12"/>
        <v>1.4970251423453318E-2</v>
      </c>
    </row>
    <row r="777" spans="1:9" ht="16">
      <c r="A777" s="132">
        <v>42690</v>
      </c>
      <c r="B777" s="79">
        <v>3.02</v>
      </c>
      <c r="E777" s="81"/>
      <c r="F777" s="82"/>
      <c r="G777" s="81">
        <v>42705</v>
      </c>
      <c r="H777" s="82">
        <v>317.47000000000003</v>
      </c>
      <c r="I777" s="236">
        <f t="shared" si="12"/>
        <v>5.3577056413489643E-4</v>
      </c>
    </row>
    <row r="778" spans="1:9" ht="16">
      <c r="A778" s="132">
        <v>42691</v>
      </c>
      <c r="B778" s="79">
        <v>3.01</v>
      </c>
      <c r="E778" s="81"/>
      <c r="F778" s="82"/>
      <c r="G778" s="81">
        <v>42706</v>
      </c>
      <c r="H778" s="82">
        <v>319.77999999999997</v>
      </c>
      <c r="I778" s="236">
        <f t="shared" si="12"/>
        <v>7.276278073518494E-3</v>
      </c>
    </row>
    <row r="779" spans="1:9" ht="16">
      <c r="A779" s="132">
        <v>42692</v>
      </c>
      <c r="B779" s="79">
        <v>3.01</v>
      </c>
      <c r="E779" s="81"/>
      <c r="F779" s="82"/>
      <c r="G779" s="81">
        <v>42707</v>
      </c>
      <c r="H779" s="82">
        <v>321.8</v>
      </c>
      <c r="I779" s="236">
        <f t="shared" si="12"/>
        <v>6.3168428294453349E-3</v>
      </c>
    </row>
    <row r="780" spans="1:9" ht="16">
      <c r="A780" s="132">
        <v>42693</v>
      </c>
      <c r="B780" s="79">
        <v>3</v>
      </c>
      <c r="E780" s="81"/>
      <c r="F780" s="82"/>
      <c r="G780" s="81">
        <v>42710</v>
      </c>
      <c r="H780" s="82">
        <v>322.02</v>
      </c>
      <c r="I780" s="236">
        <f t="shared" si="12"/>
        <v>6.8365444375384499E-4</v>
      </c>
    </row>
    <row r="781" spans="1:9" ht="16">
      <c r="A781" s="132">
        <v>42696</v>
      </c>
      <c r="B781" s="79">
        <v>2.99</v>
      </c>
      <c r="E781" s="81"/>
      <c r="F781" s="82"/>
      <c r="G781" s="81">
        <v>42711</v>
      </c>
      <c r="H781" s="82">
        <v>323.22000000000003</v>
      </c>
      <c r="I781" s="236">
        <f t="shared" si="12"/>
        <v>3.7264766163593865E-3</v>
      </c>
    </row>
    <row r="782" spans="1:9" ht="16">
      <c r="A782" s="132">
        <v>42697</v>
      </c>
      <c r="B782" s="79">
        <v>2.99</v>
      </c>
      <c r="E782" s="81"/>
      <c r="F782" s="82"/>
      <c r="G782" s="81">
        <v>42712</v>
      </c>
      <c r="H782" s="82">
        <v>322.69</v>
      </c>
      <c r="I782" s="236">
        <f t="shared" si="12"/>
        <v>-1.6397500154694544E-3</v>
      </c>
    </row>
    <row r="783" spans="1:9" ht="16">
      <c r="A783" s="132">
        <v>42698</v>
      </c>
      <c r="B783" s="79">
        <v>2.98</v>
      </c>
      <c r="E783" s="81"/>
      <c r="F783" s="82"/>
      <c r="G783" s="81">
        <v>42713</v>
      </c>
      <c r="H783" s="82">
        <v>322.68</v>
      </c>
      <c r="I783" s="236">
        <f t="shared" si="12"/>
        <v>-3.0989494561262099E-5</v>
      </c>
    </row>
    <row r="784" spans="1:9" ht="16">
      <c r="A784" s="132">
        <v>42699</v>
      </c>
      <c r="B784" s="79">
        <v>2.98</v>
      </c>
      <c r="E784" s="81"/>
      <c r="F784" s="82"/>
      <c r="G784" s="81">
        <v>42714</v>
      </c>
      <c r="H784" s="82">
        <v>323.02</v>
      </c>
      <c r="I784" s="236">
        <f t="shared" ref="I784:I847" si="13">H784/H783-1</f>
        <v>1.0536754679557614E-3</v>
      </c>
    </row>
    <row r="785" spans="1:9" ht="16">
      <c r="A785" s="132">
        <v>42700</v>
      </c>
      <c r="B785" s="79">
        <v>2.96</v>
      </c>
      <c r="E785" s="81"/>
      <c r="F785" s="82"/>
      <c r="G785" s="81">
        <v>42717</v>
      </c>
      <c r="H785" s="82">
        <v>321.62</v>
      </c>
      <c r="I785" s="236">
        <f t="shared" si="13"/>
        <v>-4.33409695994047E-3</v>
      </c>
    </row>
    <row r="786" spans="1:9" ht="16">
      <c r="A786" s="132">
        <v>42703</v>
      </c>
      <c r="B786" s="79">
        <v>2.92</v>
      </c>
      <c r="E786" s="81"/>
      <c r="F786" s="82"/>
      <c r="G786" s="81">
        <v>42718</v>
      </c>
      <c r="H786" s="82">
        <v>321.77</v>
      </c>
      <c r="I786" s="236">
        <f t="shared" si="13"/>
        <v>4.6638890616246265E-4</v>
      </c>
    </row>
    <row r="787" spans="1:9" ht="16">
      <c r="A787" s="132">
        <v>42704</v>
      </c>
      <c r="B787" s="79">
        <v>2.92</v>
      </c>
      <c r="E787" s="81"/>
      <c r="F787" s="82"/>
      <c r="G787" s="81">
        <v>42719</v>
      </c>
      <c r="H787" s="82">
        <v>325.44</v>
      </c>
      <c r="I787" s="236">
        <f t="shared" si="13"/>
        <v>1.1405662429685881E-2</v>
      </c>
    </row>
    <row r="788" spans="1:9" ht="16">
      <c r="A788" s="132">
        <v>42705</v>
      </c>
      <c r="B788" s="79">
        <v>2.92</v>
      </c>
      <c r="E788" s="81"/>
      <c r="F788" s="82"/>
      <c r="G788" s="81">
        <v>42720</v>
      </c>
      <c r="H788" s="82">
        <v>328.17</v>
      </c>
      <c r="I788" s="236">
        <f t="shared" si="13"/>
        <v>8.3886430678465906E-3</v>
      </c>
    </row>
    <row r="789" spans="1:9" ht="16">
      <c r="A789" s="132">
        <v>42706</v>
      </c>
      <c r="B789" s="79">
        <v>2.9</v>
      </c>
      <c r="E789" s="81"/>
      <c r="F789" s="82"/>
      <c r="G789" s="81">
        <v>42721</v>
      </c>
      <c r="H789" s="82">
        <v>327.2</v>
      </c>
      <c r="I789" s="236">
        <f t="shared" si="13"/>
        <v>-2.9557851113752864E-3</v>
      </c>
    </row>
    <row r="790" spans="1:9" ht="16">
      <c r="A790" s="132">
        <v>42707</v>
      </c>
      <c r="B790" s="79">
        <v>2.89</v>
      </c>
      <c r="E790" s="81"/>
      <c r="F790" s="82"/>
      <c r="G790" s="81">
        <v>42724</v>
      </c>
      <c r="H790" s="82">
        <v>323.8</v>
      </c>
      <c r="I790" s="236">
        <f t="shared" si="13"/>
        <v>-1.0391198044009675E-2</v>
      </c>
    </row>
    <row r="791" spans="1:9" ht="16">
      <c r="A791" s="132">
        <v>42710</v>
      </c>
      <c r="B791" s="79">
        <v>2.88</v>
      </c>
      <c r="E791" s="81"/>
      <c r="F791" s="82"/>
      <c r="G791" s="81">
        <v>42725</v>
      </c>
      <c r="H791" s="82">
        <v>322.20999999999998</v>
      </c>
      <c r="I791" s="236">
        <f t="shared" si="13"/>
        <v>-4.9104385423102137E-3</v>
      </c>
    </row>
    <row r="792" spans="1:9" ht="16">
      <c r="A792" s="132">
        <v>42711</v>
      </c>
      <c r="B792" s="79">
        <v>2.87</v>
      </c>
      <c r="E792" s="81"/>
      <c r="F792" s="82"/>
      <c r="G792" s="81">
        <v>42726</v>
      </c>
      <c r="H792" s="82">
        <v>324.62</v>
      </c>
      <c r="I792" s="236">
        <f t="shared" si="13"/>
        <v>7.4795940535676841E-3</v>
      </c>
    </row>
    <row r="793" spans="1:9" ht="16">
      <c r="A793" s="132">
        <v>42712</v>
      </c>
      <c r="B793" s="79">
        <v>2.88</v>
      </c>
      <c r="E793" s="81"/>
      <c r="F793" s="82"/>
      <c r="G793" s="81">
        <v>42727</v>
      </c>
      <c r="H793" s="82">
        <v>322.79000000000002</v>
      </c>
      <c r="I793" s="236">
        <f t="shared" si="13"/>
        <v>-5.6373606062473103E-3</v>
      </c>
    </row>
    <row r="794" spans="1:9" ht="16">
      <c r="A794" s="132">
        <v>42713</v>
      </c>
      <c r="B794" s="79">
        <v>2.86</v>
      </c>
      <c r="E794" s="81"/>
      <c r="F794" s="82"/>
      <c r="G794" s="81">
        <v>42728</v>
      </c>
      <c r="H794" s="82">
        <v>323.16000000000003</v>
      </c>
      <c r="I794" s="236">
        <f t="shared" si="13"/>
        <v>1.1462560798041199E-3</v>
      </c>
    </row>
    <row r="795" spans="1:9" ht="16">
      <c r="A795" s="132">
        <v>42714</v>
      </c>
      <c r="B795" s="79">
        <v>2.84</v>
      </c>
      <c r="E795" s="81"/>
      <c r="F795" s="82"/>
      <c r="G795" s="81">
        <v>42731</v>
      </c>
      <c r="H795" s="82">
        <v>322.52999999999997</v>
      </c>
      <c r="I795" s="236">
        <f t="shared" si="13"/>
        <v>-1.94949870033434E-3</v>
      </c>
    </row>
    <row r="796" spans="1:9" ht="16">
      <c r="A796" s="132">
        <v>42717</v>
      </c>
      <c r="B796" s="79">
        <v>2.82</v>
      </c>
      <c r="E796" s="81"/>
      <c r="F796" s="82"/>
      <c r="G796" s="81">
        <v>42732</v>
      </c>
      <c r="H796" s="82">
        <v>325.83999999999997</v>
      </c>
      <c r="I796" s="236">
        <f t="shared" si="13"/>
        <v>1.0262611229963081E-2</v>
      </c>
    </row>
    <row r="797" spans="1:9" ht="16">
      <c r="A797" s="132">
        <v>42718</v>
      </c>
      <c r="B797" s="79">
        <v>2.81</v>
      </c>
      <c r="E797" s="81"/>
      <c r="F797" s="82"/>
      <c r="G797" s="81">
        <v>42733</v>
      </c>
      <c r="H797" s="82">
        <v>330.6</v>
      </c>
      <c r="I797" s="236">
        <f t="shared" si="13"/>
        <v>1.4608396759145714E-2</v>
      </c>
    </row>
    <row r="798" spans="1:9" ht="16">
      <c r="A798" s="132">
        <v>42719</v>
      </c>
      <c r="B798" s="79">
        <v>2.8</v>
      </c>
      <c r="E798" s="81"/>
      <c r="F798" s="82"/>
      <c r="G798" s="81">
        <v>42734</v>
      </c>
      <c r="H798" s="82">
        <v>331.34</v>
      </c>
      <c r="I798" s="236">
        <f t="shared" si="13"/>
        <v>2.2383545069568633E-3</v>
      </c>
    </row>
    <row r="799" spans="1:9" ht="16">
      <c r="A799" s="132">
        <v>42720</v>
      </c>
      <c r="B799" s="79">
        <v>2.79</v>
      </c>
      <c r="E799" s="81"/>
      <c r="F799" s="82"/>
      <c r="G799" s="81">
        <v>42735</v>
      </c>
      <c r="H799" s="82">
        <v>331.57</v>
      </c>
      <c r="I799" s="236">
        <f t="shared" si="13"/>
        <v>6.9415102311820576E-4</v>
      </c>
    </row>
    <row r="800" spans="1:9" ht="16">
      <c r="A800" s="132">
        <v>42721</v>
      </c>
      <c r="B800" s="79">
        <v>2.79</v>
      </c>
      <c r="E800" s="81"/>
      <c r="F800" s="82"/>
      <c r="G800" s="81">
        <v>42738</v>
      </c>
      <c r="H800" s="82">
        <v>334.34</v>
      </c>
      <c r="I800" s="236">
        <f t="shared" si="13"/>
        <v>8.3541936845914488E-3</v>
      </c>
    </row>
    <row r="801" spans="1:9" ht="16">
      <c r="A801" s="132">
        <v>42724</v>
      </c>
      <c r="B801" s="79">
        <v>2.8</v>
      </c>
      <c r="E801" s="81"/>
      <c r="F801" s="82"/>
      <c r="G801" s="81">
        <v>42739</v>
      </c>
      <c r="H801" s="82">
        <v>337.8</v>
      </c>
      <c r="I801" s="236">
        <f t="shared" si="13"/>
        <v>1.0348746784710317E-2</v>
      </c>
    </row>
    <row r="802" spans="1:9" ht="16">
      <c r="A802" s="132">
        <v>42725</v>
      </c>
      <c r="B802" s="79">
        <v>2.79</v>
      </c>
      <c r="E802" s="81"/>
      <c r="F802" s="82"/>
      <c r="G802" s="81">
        <v>42740</v>
      </c>
      <c r="H802" s="82">
        <v>336.87</v>
      </c>
      <c r="I802" s="236">
        <f t="shared" si="13"/>
        <v>-2.7531083481350249E-3</v>
      </c>
    </row>
    <row r="803" spans="1:9" ht="16">
      <c r="A803" s="132">
        <v>42726</v>
      </c>
      <c r="B803" s="79">
        <v>2.8</v>
      </c>
      <c r="E803" s="81"/>
      <c r="F803" s="82"/>
      <c r="G803" s="81">
        <v>42741</v>
      </c>
      <c r="H803" s="82">
        <v>337.98</v>
      </c>
      <c r="I803" s="236">
        <f t="shared" si="13"/>
        <v>3.295039629530816E-3</v>
      </c>
    </row>
    <row r="804" spans="1:9" ht="16">
      <c r="A804" s="132">
        <v>42727</v>
      </c>
      <c r="B804" s="79">
        <v>2.8</v>
      </c>
      <c r="E804" s="81"/>
      <c r="F804" s="82"/>
      <c r="G804" s="81">
        <v>42742</v>
      </c>
      <c r="H804" s="82">
        <v>343.78</v>
      </c>
      <c r="I804" s="236">
        <f t="shared" si="13"/>
        <v>1.7160778744304217E-2</v>
      </c>
    </row>
    <row r="805" spans="1:9" ht="16">
      <c r="A805" s="132">
        <v>42728</v>
      </c>
      <c r="B805" s="209">
        <v>2.8</v>
      </c>
      <c r="E805" s="81"/>
      <c r="F805" s="82"/>
      <c r="G805" s="81">
        <v>42745</v>
      </c>
      <c r="H805" s="82">
        <v>342.48</v>
      </c>
      <c r="I805" s="236">
        <f t="shared" si="13"/>
        <v>-3.7814881610330753E-3</v>
      </c>
    </row>
    <row r="806" spans="1:9" ht="16">
      <c r="A806" s="132">
        <v>42731</v>
      </c>
      <c r="B806" s="79">
        <v>2.79</v>
      </c>
      <c r="E806" s="81"/>
      <c r="F806" s="82"/>
      <c r="G806" s="81">
        <v>42746</v>
      </c>
      <c r="H806" s="82">
        <v>344.33</v>
      </c>
      <c r="I806" s="236">
        <f t="shared" si="13"/>
        <v>5.4017752861479362E-3</v>
      </c>
    </row>
    <row r="807" spans="1:9" ht="16">
      <c r="A807" s="132">
        <v>42732</v>
      </c>
      <c r="B807" s="79">
        <v>2.77</v>
      </c>
      <c r="E807" s="81"/>
      <c r="F807" s="82"/>
      <c r="G807" s="81">
        <v>42747</v>
      </c>
      <c r="H807" s="82">
        <v>346.61</v>
      </c>
      <c r="I807" s="236">
        <f t="shared" si="13"/>
        <v>6.6215549037260679E-3</v>
      </c>
    </row>
    <row r="808" spans="1:9" ht="16">
      <c r="A808" s="132">
        <v>42733</v>
      </c>
      <c r="B808" s="79">
        <v>2.77</v>
      </c>
      <c r="E808" s="81"/>
      <c r="F808" s="82"/>
      <c r="G808" s="81">
        <v>42748</v>
      </c>
      <c r="H808" s="82">
        <v>348.89</v>
      </c>
      <c r="I808" s="236">
        <f t="shared" si="13"/>
        <v>6.5779983266494035E-3</v>
      </c>
    </row>
    <row r="809" spans="1:9" ht="16">
      <c r="A809" s="132">
        <v>42734</v>
      </c>
      <c r="B809" s="79">
        <v>2.79</v>
      </c>
      <c r="E809" s="81"/>
      <c r="F809" s="82"/>
      <c r="G809" s="81">
        <v>42749</v>
      </c>
      <c r="H809" s="82">
        <v>346.19</v>
      </c>
      <c r="I809" s="236">
        <f t="shared" si="13"/>
        <v>-7.7388288572328712E-3</v>
      </c>
    </row>
    <row r="810" spans="1:9" ht="16">
      <c r="A810" s="132">
        <v>42735</v>
      </c>
      <c r="B810" s="209">
        <v>2.79</v>
      </c>
      <c r="E810" s="81"/>
      <c r="F810" s="82"/>
      <c r="G810" s="81">
        <v>42752</v>
      </c>
      <c r="H810" s="82">
        <v>347.78</v>
      </c>
      <c r="I810" s="236">
        <f t="shared" si="13"/>
        <v>4.592853635286831E-3</v>
      </c>
    </row>
    <row r="811" spans="1:9" ht="16">
      <c r="A811" s="132">
        <v>42738</v>
      </c>
      <c r="B811" s="79">
        <v>2.78</v>
      </c>
      <c r="E811" s="81"/>
      <c r="F811" s="82"/>
      <c r="G811" s="81">
        <v>42753</v>
      </c>
      <c r="H811" s="82">
        <v>352.56</v>
      </c>
      <c r="I811" s="236">
        <f t="shared" si="13"/>
        <v>1.3744321122548753E-2</v>
      </c>
    </row>
    <row r="812" spans="1:9" ht="16">
      <c r="A812" s="132">
        <v>42739</v>
      </c>
      <c r="B812" s="79">
        <v>2.79</v>
      </c>
      <c r="E812" s="81"/>
      <c r="F812" s="82"/>
      <c r="G812" s="81">
        <v>42754</v>
      </c>
      <c r="H812" s="82">
        <v>357.12</v>
      </c>
      <c r="I812" s="236">
        <f t="shared" si="13"/>
        <v>1.293396868618113E-2</v>
      </c>
    </row>
    <row r="813" spans="1:9" ht="16">
      <c r="A813" s="132">
        <v>42740</v>
      </c>
      <c r="B813" s="79">
        <v>2.83</v>
      </c>
      <c r="E813" s="81"/>
      <c r="F813" s="82"/>
      <c r="G813" s="81">
        <v>42755</v>
      </c>
      <c r="H813" s="82">
        <v>357.52</v>
      </c>
      <c r="I813" s="236">
        <f t="shared" si="13"/>
        <v>1.1200716845878311E-3</v>
      </c>
    </row>
    <row r="814" spans="1:9" ht="16">
      <c r="A814" s="132">
        <v>42741</v>
      </c>
      <c r="B814" s="79">
        <v>2.85</v>
      </c>
      <c r="E814" s="81"/>
      <c r="F814" s="82"/>
      <c r="G814" s="81">
        <v>42756</v>
      </c>
      <c r="H814" s="82">
        <v>354.69</v>
      </c>
      <c r="I814" s="236">
        <f t="shared" si="13"/>
        <v>-7.9156410830163448E-3</v>
      </c>
    </row>
    <row r="815" spans="1:9" ht="16">
      <c r="A815" s="132">
        <v>42742</v>
      </c>
      <c r="B815" s="79">
        <v>2.87</v>
      </c>
      <c r="E815" s="81"/>
      <c r="F815" s="82"/>
      <c r="G815" s="81">
        <v>42759</v>
      </c>
      <c r="H815" s="82">
        <v>357.84</v>
      </c>
      <c r="I815" s="236">
        <f t="shared" si="13"/>
        <v>8.8809946714032417E-3</v>
      </c>
    </row>
    <row r="816" spans="1:9" ht="16">
      <c r="A816" s="132">
        <v>42745</v>
      </c>
      <c r="B816" s="79">
        <v>2.89</v>
      </c>
      <c r="E816" s="81"/>
      <c r="F816" s="82"/>
      <c r="G816" s="81">
        <v>42760</v>
      </c>
      <c r="H816" s="82">
        <v>353.68</v>
      </c>
      <c r="I816" s="236">
        <f t="shared" si="13"/>
        <v>-1.1625307399955154E-2</v>
      </c>
    </row>
    <row r="817" spans="1:9" ht="16">
      <c r="A817" s="132">
        <v>42746</v>
      </c>
      <c r="B817" s="79">
        <v>2.94</v>
      </c>
      <c r="E817" s="81"/>
      <c r="F817" s="82"/>
      <c r="G817" s="81">
        <v>42761</v>
      </c>
      <c r="H817" s="82">
        <v>349.28</v>
      </c>
      <c r="I817" s="236">
        <f t="shared" si="13"/>
        <v>-1.2440624293146407E-2</v>
      </c>
    </row>
    <row r="818" spans="1:9" ht="16">
      <c r="A818" s="132">
        <v>42747</v>
      </c>
      <c r="B818" s="79">
        <v>2.93</v>
      </c>
      <c r="E818" s="81"/>
      <c r="F818" s="82"/>
      <c r="G818" s="81">
        <v>42762</v>
      </c>
      <c r="H818" s="82">
        <v>344.95</v>
      </c>
      <c r="I818" s="236">
        <f t="shared" si="13"/>
        <v>-1.2396930829134178E-2</v>
      </c>
    </row>
    <row r="819" spans="1:9" ht="16">
      <c r="A819" s="132">
        <v>42748</v>
      </c>
      <c r="B819" s="79">
        <v>2.92</v>
      </c>
      <c r="E819" s="81"/>
      <c r="F819" s="82"/>
      <c r="G819" s="81">
        <v>42763</v>
      </c>
      <c r="H819" s="82">
        <v>340.73</v>
      </c>
      <c r="I819" s="236">
        <f t="shared" si="13"/>
        <v>-1.2233657051746505E-2</v>
      </c>
    </row>
    <row r="820" spans="1:9" ht="16">
      <c r="A820" s="132">
        <v>42749</v>
      </c>
      <c r="B820" s="79">
        <v>2.93</v>
      </c>
      <c r="E820" s="81"/>
      <c r="F820" s="82"/>
      <c r="G820" s="81">
        <v>42766</v>
      </c>
      <c r="H820" s="82">
        <v>347.93</v>
      </c>
      <c r="I820" s="236">
        <f t="shared" si="13"/>
        <v>2.1131100871657926E-2</v>
      </c>
    </row>
    <row r="821" spans="1:9" ht="16">
      <c r="A821" s="132">
        <v>42752</v>
      </c>
      <c r="B821" s="79">
        <v>2.92</v>
      </c>
      <c r="E821" s="81"/>
      <c r="F821" s="82"/>
      <c r="G821" s="81">
        <v>42767</v>
      </c>
      <c r="H821" s="82">
        <v>353.35</v>
      </c>
      <c r="I821" s="236">
        <f t="shared" si="13"/>
        <v>1.5577846118472127E-2</v>
      </c>
    </row>
    <row r="822" spans="1:9" ht="16">
      <c r="A822" s="132">
        <v>42753</v>
      </c>
      <c r="B822" s="79">
        <v>2.91</v>
      </c>
      <c r="E822" s="81"/>
      <c r="F822" s="82"/>
      <c r="G822" s="81">
        <v>42768</v>
      </c>
      <c r="H822" s="82">
        <v>355.98</v>
      </c>
      <c r="I822" s="236">
        <f t="shared" si="13"/>
        <v>7.4430451393801E-3</v>
      </c>
    </row>
    <row r="823" spans="1:9" ht="16">
      <c r="A823" s="132">
        <v>42754</v>
      </c>
      <c r="B823" s="79">
        <v>2.89</v>
      </c>
      <c r="E823" s="81"/>
      <c r="F823" s="82"/>
      <c r="G823" s="81">
        <v>42769</v>
      </c>
      <c r="H823" s="82">
        <v>355.5</v>
      </c>
      <c r="I823" s="236">
        <f t="shared" si="13"/>
        <v>-1.3483903590090218E-3</v>
      </c>
    </row>
    <row r="824" spans="1:9" ht="16">
      <c r="A824" s="132">
        <v>42755</v>
      </c>
      <c r="B824" s="79">
        <v>2.87</v>
      </c>
      <c r="E824" s="81"/>
      <c r="F824" s="82"/>
      <c r="G824" s="81">
        <v>42770</v>
      </c>
      <c r="H824" s="82">
        <v>357.29</v>
      </c>
      <c r="I824" s="236">
        <f t="shared" si="13"/>
        <v>5.0351617440225205E-3</v>
      </c>
    </row>
    <row r="825" spans="1:9" ht="16">
      <c r="A825" s="132">
        <v>42756</v>
      </c>
      <c r="B825" s="79">
        <v>2.86</v>
      </c>
      <c r="E825" s="81"/>
      <c r="F825" s="82"/>
      <c r="G825" s="81">
        <v>42773</v>
      </c>
      <c r="H825" s="82">
        <v>359.51</v>
      </c>
      <c r="I825" s="236">
        <f t="shared" si="13"/>
        <v>6.2134400626940867E-3</v>
      </c>
    </row>
    <row r="826" spans="1:9" ht="16">
      <c r="A826" s="132">
        <v>42759</v>
      </c>
      <c r="B826" s="79">
        <v>2.84</v>
      </c>
      <c r="E826" s="81"/>
      <c r="F826" s="82"/>
      <c r="G826" s="81">
        <v>42774</v>
      </c>
      <c r="H826" s="82">
        <v>362.25</v>
      </c>
      <c r="I826" s="236">
        <f t="shared" si="13"/>
        <v>7.6214847987539081E-3</v>
      </c>
    </row>
    <row r="827" spans="1:9" ht="16">
      <c r="A827" s="132">
        <v>42760</v>
      </c>
      <c r="B827" s="79">
        <v>2.82</v>
      </c>
      <c r="E827" s="81"/>
      <c r="F827" s="82"/>
      <c r="G827" s="81">
        <v>42775</v>
      </c>
      <c r="H827" s="82">
        <v>365.49</v>
      </c>
      <c r="I827" s="236">
        <f t="shared" si="13"/>
        <v>8.9440993788820755E-3</v>
      </c>
    </row>
    <row r="828" spans="1:9" ht="16">
      <c r="A828" s="132">
        <v>42761</v>
      </c>
      <c r="B828" s="79">
        <v>2.83</v>
      </c>
      <c r="E828" s="81"/>
      <c r="F828" s="82"/>
      <c r="G828" s="81">
        <v>42776</v>
      </c>
      <c r="H828" s="82">
        <v>367.04</v>
      </c>
      <c r="I828" s="236">
        <f t="shared" si="13"/>
        <v>4.2408821034776167E-3</v>
      </c>
    </row>
    <row r="829" spans="1:9" ht="16">
      <c r="A829" s="132">
        <v>42762</v>
      </c>
      <c r="B829" s="79">
        <v>2.83</v>
      </c>
      <c r="E829" s="81"/>
      <c r="F829" s="82"/>
      <c r="G829" s="81">
        <v>42777</v>
      </c>
      <c r="H829" s="82">
        <v>367.4</v>
      </c>
      <c r="I829" s="236">
        <f t="shared" si="13"/>
        <v>9.8081952920647808E-4</v>
      </c>
    </row>
    <row r="830" spans="1:9" ht="16">
      <c r="A830" s="132">
        <v>42763</v>
      </c>
      <c r="B830" s="79">
        <v>2.84</v>
      </c>
      <c r="E830" s="81"/>
      <c r="F830" s="82"/>
      <c r="G830" s="81">
        <v>42780</v>
      </c>
      <c r="H830" s="82">
        <v>368.84</v>
      </c>
      <c r="I830" s="236">
        <f t="shared" si="13"/>
        <v>3.9194338595536227E-3</v>
      </c>
    </row>
    <row r="831" spans="1:9" ht="16">
      <c r="A831" s="132">
        <v>42765</v>
      </c>
      <c r="B831" s="79">
        <v>2.85</v>
      </c>
      <c r="E831" s="81"/>
      <c r="F831" s="82"/>
      <c r="G831" s="81">
        <v>42781</v>
      </c>
      <c r="H831" s="82">
        <v>369.97</v>
      </c>
      <c r="I831" s="236">
        <f t="shared" si="13"/>
        <v>3.0636590391499574E-3</v>
      </c>
    </row>
    <row r="832" spans="1:9" ht="16">
      <c r="A832" s="132">
        <v>42766</v>
      </c>
      <c r="B832" s="79">
        <v>2.83</v>
      </c>
      <c r="E832" s="81"/>
      <c r="F832" s="82"/>
      <c r="G832" s="81">
        <v>42782</v>
      </c>
      <c r="H832" s="82">
        <v>371.45</v>
      </c>
      <c r="I832" s="236">
        <f t="shared" si="13"/>
        <v>4.0003243506228081E-3</v>
      </c>
    </row>
    <row r="833" spans="1:9" ht="16">
      <c r="A833" s="132">
        <v>42767</v>
      </c>
      <c r="B833" s="79">
        <v>2.82</v>
      </c>
      <c r="E833" s="81"/>
      <c r="F833" s="82"/>
      <c r="G833" s="81">
        <v>42783</v>
      </c>
      <c r="H833" s="82">
        <v>367.1</v>
      </c>
      <c r="I833" s="236">
        <f t="shared" si="13"/>
        <v>-1.1710862834836355E-2</v>
      </c>
    </row>
    <row r="834" spans="1:9" ht="16">
      <c r="A834" s="132">
        <v>42768</v>
      </c>
      <c r="B834" s="79">
        <v>2.82</v>
      </c>
      <c r="E834" s="81"/>
      <c r="F834" s="82"/>
      <c r="G834" s="81">
        <v>42784</v>
      </c>
      <c r="H834" s="82">
        <v>368.17</v>
      </c>
      <c r="I834" s="236">
        <f t="shared" si="13"/>
        <v>2.9147371288475998E-3</v>
      </c>
    </row>
    <row r="835" spans="1:9" ht="16">
      <c r="A835" s="132">
        <v>42769</v>
      </c>
      <c r="B835" s="79">
        <v>2.81</v>
      </c>
      <c r="E835" s="81"/>
      <c r="F835" s="82"/>
      <c r="G835" s="81">
        <v>42787</v>
      </c>
      <c r="H835" s="82">
        <v>360.27</v>
      </c>
      <c r="I835" s="236">
        <f t="shared" si="13"/>
        <v>-2.1457478882038306E-2</v>
      </c>
    </row>
    <row r="836" spans="1:9" ht="16">
      <c r="A836" s="132">
        <v>42770</v>
      </c>
      <c r="B836" s="79">
        <v>2.8</v>
      </c>
      <c r="E836" s="81"/>
      <c r="F836" s="82"/>
      <c r="G836" s="81">
        <v>42788</v>
      </c>
      <c r="H836" s="82">
        <v>360.55</v>
      </c>
      <c r="I836" s="236">
        <f t="shared" si="13"/>
        <v>7.7719488161664962E-4</v>
      </c>
    </row>
    <row r="837" spans="1:9" ht="16">
      <c r="A837" s="132">
        <v>42773</v>
      </c>
      <c r="B837" s="79">
        <v>2.83</v>
      </c>
      <c r="E837" s="81"/>
      <c r="F837" s="82"/>
      <c r="G837" s="81">
        <v>42789</v>
      </c>
      <c r="H837" s="82">
        <v>355.64</v>
      </c>
      <c r="I837" s="236">
        <f t="shared" si="13"/>
        <v>-1.3618083483566856E-2</v>
      </c>
    </row>
    <row r="838" spans="1:9" ht="16">
      <c r="A838" s="132">
        <v>42774</v>
      </c>
      <c r="B838" s="79">
        <v>2.82</v>
      </c>
      <c r="E838" s="81"/>
      <c r="F838" s="82"/>
      <c r="G838" s="81">
        <v>42790</v>
      </c>
      <c r="H838" s="82">
        <v>355.86</v>
      </c>
      <c r="I838" s="236">
        <f t="shared" si="13"/>
        <v>6.1860308176808765E-4</v>
      </c>
    </row>
    <row r="839" spans="1:9" ht="16">
      <c r="A839" s="132">
        <v>42775</v>
      </c>
      <c r="B839" s="79">
        <v>2.81</v>
      </c>
      <c r="E839" s="81"/>
      <c r="F839" s="82"/>
      <c r="G839" s="81">
        <v>42791</v>
      </c>
      <c r="H839" s="82">
        <v>345.68</v>
      </c>
      <c r="I839" s="236">
        <f t="shared" si="13"/>
        <v>-2.8606755465632516E-2</v>
      </c>
    </row>
    <row r="840" spans="1:9" ht="16">
      <c r="A840" s="132">
        <v>42776</v>
      </c>
      <c r="B840" s="79">
        <v>2.79</v>
      </c>
      <c r="E840" s="81"/>
      <c r="F840" s="82"/>
      <c r="G840" s="81">
        <v>42794</v>
      </c>
      <c r="H840" s="82">
        <v>352.43</v>
      </c>
      <c r="I840" s="236">
        <f t="shared" si="13"/>
        <v>1.9526729923628805E-2</v>
      </c>
    </row>
    <row r="841" spans="1:9" ht="16">
      <c r="A841" s="132">
        <v>42777</v>
      </c>
      <c r="B841" s="79">
        <v>2.8</v>
      </c>
      <c r="E841" s="81"/>
      <c r="F841" s="82"/>
      <c r="G841" s="81">
        <v>42795</v>
      </c>
      <c r="H841" s="82">
        <v>350.92</v>
      </c>
      <c r="I841" s="236">
        <f t="shared" si="13"/>
        <v>-4.2845387736571983E-3</v>
      </c>
    </row>
    <row r="842" spans="1:9" ht="16">
      <c r="A842" s="132">
        <v>42780</v>
      </c>
      <c r="B842" s="79">
        <v>2.79</v>
      </c>
      <c r="E842" s="81"/>
      <c r="F842" s="82"/>
      <c r="G842" s="81">
        <v>42796</v>
      </c>
      <c r="H842" s="82">
        <v>355.27</v>
      </c>
      <c r="I842" s="236">
        <f t="shared" si="13"/>
        <v>1.2395987689501675E-2</v>
      </c>
    </row>
    <row r="843" spans="1:9" ht="16">
      <c r="A843" s="132">
        <v>42781</v>
      </c>
      <c r="B843" s="79">
        <v>2.83</v>
      </c>
      <c r="E843" s="81"/>
      <c r="F843" s="82"/>
      <c r="G843" s="81">
        <v>42797</v>
      </c>
      <c r="H843" s="82">
        <v>347.71</v>
      </c>
      <c r="I843" s="236">
        <f t="shared" si="13"/>
        <v>-2.1279590170856011E-2</v>
      </c>
    </row>
    <row r="844" spans="1:9" ht="16">
      <c r="A844" s="132">
        <v>42782</v>
      </c>
      <c r="B844" s="79">
        <v>2.85</v>
      </c>
      <c r="E844" s="81"/>
      <c r="F844" s="82"/>
      <c r="G844" s="81">
        <v>42798</v>
      </c>
      <c r="H844" s="82">
        <v>345.69</v>
      </c>
      <c r="I844" s="236">
        <f t="shared" si="13"/>
        <v>-5.8094389002328883E-3</v>
      </c>
    </row>
    <row r="845" spans="1:9" ht="16">
      <c r="A845" s="132">
        <v>42783</v>
      </c>
      <c r="B845" s="79">
        <v>2.82</v>
      </c>
      <c r="E845" s="81"/>
      <c r="F845" s="82"/>
      <c r="G845" s="81">
        <v>42801</v>
      </c>
      <c r="H845" s="82">
        <v>337.39</v>
      </c>
      <c r="I845" s="236">
        <f t="shared" si="13"/>
        <v>-2.4009951112268224E-2</v>
      </c>
    </row>
    <row r="846" spans="1:9" ht="16">
      <c r="A846" s="132">
        <v>42784</v>
      </c>
      <c r="B846" s="79">
        <v>2.83</v>
      </c>
      <c r="E846" s="81"/>
      <c r="F846" s="82"/>
      <c r="G846" s="81">
        <v>42802</v>
      </c>
      <c r="H846" s="82">
        <v>340.26</v>
      </c>
      <c r="I846" s="236">
        <f t="shared" si="13"/>
        <v>8.5064761848305803E-3</v>
      </c>
    </row>
    <row r="847" spans="1:9" ht="16">
      <c r="A847" s="132">
        <v>42787</v>
      </c>
      <c r="B847" s="79">
        <v>2.88</v>
      </c>
      <c r="E847" s="81"/>
      <c r="F847" s="82"/>
      <c r="G847" s="81">
        <v>42803</v>
      </c>
      <c r="H847" s="82">
        <v>342.84</v>
      </c>
      <c r="I847" s="236">
        <f t="shared" si="13"/>
        <v>7.5824369599717389E-3</v>
      </c>
    </row>
    <row r="848" spans="1:9" ht="16">
      <c r="A848" s="132">
        <v>42788</v>
      </c>
      <c r="B848" s="79">
        <v>2.87</v>
      </c>
      <c r="E848" s="81"/>
      <c r="F848" s="82"/>
      <c r="G848" s="81">
        <v>42804</v>
      </c>
      <c r="H848" s="82">
        <v>351.1</v>
      </c>
      <c r="I848" s="236">
        <f t="shared" ref="I848:I911" si="14">H848/H847-1</f>
        <v>2.4092871310232411E-2</v>
      </c>
    </row>
    <row r="849" spans="1:9" ht="16">
      <c r="A849" s="132">
        <v>42789</v>
      </c>
      <c r="B849" s="79">
        <v>2.88</v>
      </c>
      <c r="E849" s="81"/>
      <c r="F849" s="82"/>
      <c r="G849" s="81">
        <v>42805</v>
      </c>
      <c r="H849" s="82">
        <v>348.12</v>
      </c>
      <c r="I849" s="236">
        <f t="shared" si="14"/>
        <v>-8.4876103674167425E-3</v>
      </c>
    </row>
    <row r="850" spans="1:9" ht="16">
      <c r="A850" s="132">
        <v>42790</v>
      </c>
      <c r="B850" s="79">
        <v>2.93</v>
      </c>
      <c r="E850" s="81"/>
      <c r="F850" s="82"/>
      <c r="G850" s="81">
        <v>42808</v>
      </c>
      <c r="H850" s="82">
        <v>346.23</v>
      </c>
      <c r="I850" s="236">
        <f t="shared" si="14"/>
        <v>-5.4291623578076598E-3</v>
      </c>
    </row>
    <row r="851" spans="1:9" ht="16">
      <c r="A851" s="132">
        <v>42791</v>
      </c>
      <c r="B851" s="79">
        <v>2.96</v>
      </c>
      <c r="E851" s="81"/>
      <c r="F851" s="82"/>
      <c r="G851" s="81">
        <v>42809</v>
      </c>
      <c r="H851" s="82">
        <v>348.11</v>
      </c>
      <c r="I851" s="236">
        <f t="shared" si="14"/>
        <v>5.4299165294746654E-3</v>
      </c>
    </row>
    <row r="852" spans="1:9" ht="16">
      <c r="A852" s="132">
        <v>42793</v>
      </c>
      <c r="B852" s="79">
        <v>2.94</v>
      </c>
      <c r="E852" s="81"/>
      <c r="F852" s="82"/>
      <c r="G852" s="81">
        <v>42810</v>
      </c>
      <c r="H852" s="82">
        <v>346.81</v>
      </c>
      <c r="I852" s="236">
        <f t="shared" si="14"/>
        <v>-3.734451753755974E-3</v>
      </c>
    </row>
    <row r="853" spans="1:9" ht="16">
      <c r="A853" s="132">
        <v>42794</v>
      </c>
      <c r="B853" s="79">
        <v>2.92</v>
      </c>
      <c r="E853" s="81"/>
      <c r="F853" s="82"/>
      <c r="G853" s="81">
        <v>42811</v>
      </c>
      <c r="H853" s="82">
        <v>347.35</v>
      </c>
      <c r="I853" s="236">
        <f t="shared" si="14"/>
        <v>1.5570485280125279E-3</v>
      </c>
    </row>
    <row r="854" spans="1:9" ht="16">
      <c r="A854" s="132">
        <v>42795</v>
      </c>
      <c r="B854" s="79">
        <v>2.92</v>
      </c>
      <c r="E854" s="81"/>
      <c r="F854" s="82"/>
      <c r="G854" s="81">
        <v>42812</v>
      </c>
      <c r="H854" s="82">
        <v>345.31</v>
      </c>
      <c r="I854" s="236">
        <f t="shared" si="14"/>
        <v>-5.8730387217504898E-3</v>
      </c>
    </row>
    <row r="855" spans="1:9" ht="16">
      <c r="A855" s="132">
        <v>42796</v>
      </c>
      <c r="B855" s="79">
        <v>2.94</v>
      </c>
      <c r="E855" s="81"/>
      <c r="F855" s="82"/>
      <c r="G855" s="81">
        <v>42815</v>
      </c>
      <c r="H855" s="82">
        <v>345.15</v>
      </c>
      <c r="I855" s="236">
        <f t="shared" si="14"/>
        <v>-4.6335177087264423E-4</v>
      </c>
    </row>
    <row r="856" spans="1:9" ht="16">
      <c r="A856" s="132">
        <v>42797</v>
      </c>
      <c r="B856" s="79">
        <v>2.96</v>
      </c>
      <c r="E856" s="81"/>
      <c r="F856" s="82"/>
      <c r="G856" s="81">
        <v>42816</v>
      </c>
      <c r="H856" s="82">
        <v>341.91</v>
      </c>
      <c r="I856" s="236">
        <f t="shared" si="14"/>
        <v>-9.3872229465448154E-3</v>
      </c>
    </row>
    <row r="857" spans="1:9" ht="16">
      <c r="A857" s="132">
        <v>42798</v>
      </c>
      <c r="B857" s="79">
        <v>3.02</v>
      </c>
      <c r="E857" s="81"/>
      <c r="F857" s="82"/>
      <c r="G857" s="81">
        <v>42817</v>
      </c>
      <c r="H857" s="82">
        <v>335.12</v>
      </c>
      <c r="I857" s="236">
        <f t="shared" si="14"/>
        <v>-1.9859027229387927E-2</v>
      </c>
    </row>
    <row r="858" spans="1:9" ht="16">
      <c r="A858" s="132">
        <v>42801</v>
      </c>
      <c r="B858" s="79">
        <v>3.08</v>
      </c>
      <c r="E858" s="81"/>
      <c r="F858" s="82"/>
      <c r="G858" s="81">
        <v>42818</v>
      </c>
      <c r="H858" s="82">
        <v>332.33</v>
      </c>
      <c r="I858" s="236">
        <f t="shared" si="14"/>
        <v>-8.3253759847219388E-3</v>
      </c>
    </row>
    <row r="859" spans="1:9" ht="16">
      <c r="A859" s="132">
        <v>42802</v>
      </c>
      <c r="B859" s="79">
        <v>3.09</v>
      </c>
      <c r="E859" s="81"/>
      <c r="F859" s="82"/>
      <c r="G859" s="81">
        <v>42819</v>
      </c>
      <c r="H859" s="82">
        <v>337</v>
      </c>
      <c r="I859" s="236">
        <f t="shared" si="14"/>
        <v>1.4052297415219961E-2</v>
      </c>
    </row>
    <row r="860" spans="1:9" ht="16">
      <c r="A860" s="132">
        <v>42803</v>
      </c>
      <c r="B860" s="79">
        <v>3.07</v>
      </c>
      <c r="E860" s="81"/>
      <c r="F860" s="82"/>
      <c r="G860" s="81">
        <v>42822</v>
      </c>
      <c r="H860" s="82">
        <v>337.71</v>
      </c>
      <c r="I860" s="236">
        <f t="shared" si="14"/>
        <v>2.1068249258160421E-3</v>
      </c>
    </row>
    <row r="861" spans="1:9" ht="16">
      <c r="A861" s="132">
        <v>42804</v>
      </c>
      <c r="B861" s="79">
        <v>3.03</v>
      </c>
      <c r="E861" s="81"/>
      <c r="F861" s="82"/>
      <c r="G861" s="81">
        <v>42823</v>
      </c>
      <c r="H861" s="82">
        <v>340.1</v>
      </c>
      <c r="I861" s="236">
        <f t="shared" si="14"/>
        <v>7.0770779663025252E-3</v>
      </c>
    </row>
    <row r="862" spans="1:9" ht="16">
      <c r="A862" s="132">
        <v>42805</v>
      </c>
      <c r="B862" s="79">
        <v>3.07</v>
      </c>
      <c r="E862" s="81"/>
      <c r="F862" s="82"/>
      <c r="G862" s="81">
        <v>42824</v>
      </c>
      <c r="H862" s="82">
        <v>339.62</v>
      </c>
      <c r="I862" s="236">
        <f t="shared" si="14"/>
        <v>-1.4113496030579986E-3</v>
      </c>
    </row>
    <row r="863" spans="1:9" ht="16">
      <c r="A863" s="132">
        <v>42808</v>
      </c>
      <c r="B863" s="79">
        <v>3.07</v>
      </c>
      <c r="E863" s="81"/>
      <c r="F863" s="82"/>
      <c r="G863" s="81">
        <v>42825</v>
      </c>
      <c r="H863" s="82">
        <v>344.11</v>
      </c>
      <c r="I863" s="236">
        <f t="shared" si="14"/>
        <v>1.3220658382898653E-2</v>
      </c>
    </row>
    <row r="864" spans="1:9" ht="16">
      <c r="A864" s="132">
        <v>42809</v>
      </c>
      <c r="B864" s="79">
        <v>3.05</v>
      </c>
      <c r="E864" s="81"/>
      <c r="F864" s="82"/>
      <c r="G864" s="81">
        <v>42826</v>
      </c>
      <c r="H864" s="82">
        <v>344.2</v>
      </c>
      <c r="I864" s="236">
        <f t="shared" si="14"/>
        <v>2.6154427363334065E-4</v>
      </c>
    </row>
    <row r="865" spans="1:9" ht="16">
      <c r="A865" s="132">
        <v>42810</v>
      </c>
      <c r="B865" s="79">
        <v>3.06</v>
      </c>
      <c r="E865" s="81"/>
      <c r="F865" s="82"/>
      <c r="G865" s="81">
        <v>42829</v>
      </c>
      <c r="H865" s="82">
        <v>343.95</v>
      </c>
      <c r="I865" s="236">
        <f t="shared" si="14"/>
        <v>-7.263219058686321E-4</v>
      </c>
    </row>
    <row r="866" spans="1:9" ht="16">
      <c r="A866" s="132">
        <v>42811</v>
      </c>
      <c r="B866" s="79">
        <v>3.08</v>
      </c>
      <c r="E866" s="81"/>
      <c r="F866" s="82"/>
      <c r="G866" s="81">
        <v>42830</v>
      </c>
      <c r="H866" s="82">
        <v>345.97</v>
      </c>
      <c r="I866" s="236">
        <f t="shared" si="14"/>
        <v>5.8729466492224436E-3</v>
      </c>
    </row>
    <row r="867" spans="1:9" ht="16">
      <c r="A867" s="132">
        <v>42812</v>
      </c>
      <c r="B867" s="79">
        <v>3.06</v>
      </c>
      <c r="E867" s="81"/>
      <c r="F867" s="82"/>
      <c r="G867" s="81">
        <v>42831</v>
      </c>
      <c r="H867" s="82">
        <v>344.33</v>
      </c>
      <c r="I867" s="236">
        <f t="shared" si="14"/>
        <v>-4.7402954013354703E-3</v>
      </c>
    </row>
    <row r="868" spans="1:9" ht="16">
      <c r="A868" s="132">
        <v>42815</v>
      </c>
      <c r="B868" s="79">
        <v>3.05</v>
      </c>
      <c r="E868" s="81"/>
      <c r="F868" s="82"/>
      <c r="G868" s="81">
        <v>42832</v>
      </c>
      <c r="H868" s="82">
        <v>345.8</v>
      </c>
      <c r="I868" s="236">
        <f t="shared" si="14"/>
        <v>4.2691603984550408E-3</v>
      </c>
    </row>
    <row r="869" spans="1:9" ht="16">
      <c r="A869" s="132">
        <v>42816</v>
      </c>
      <c r="B869" s="79">
        <v>3.04</v>
      </c>
      <c r="E869" s="81"/>
      <c r="F869" s="82"/>
      <c r="G869" s="81">
        <v>42833</v>
      </c>
      <c r="H869" s="82">
        <v>342.87</v>
      </c>
      <c r="I869" s="236">
        <f t="shared" si="14"/>
        <v>-8.47310584152694E-3</v>
      </c>
    </row>
    <row r="870" spans="1:9" ht="16">
      <c r="A870" s="132">
        <v>42817</v>
      </c>
      <c r="B870" s="79">
        <v>3.04</v>
      </c>
      <c r="E870" s="81"/>
      <c r="F870" s="82"/>
      <c r="G870" s="81">
        <v>42836</v>
      </c>
      <c r="H870" s="82">
        <v>340.05</v>
      </c>
      <c r="I870" s="236">
        <f t="shared" si="14"/>
        <v>-8.2246915740659121E-3</v>
      </c>
    </row>
    <row r="871" spans="1:9" ht="16">
      <c r="A871" s="132">
        <v>42818</v>
      </c>
      <c r="B871" s="79">
        <v>3.06</v>
      </c>
      <c r="E871" s="81"/>
      <c r="F871" s="82"/>
      <c r="G871" s="81">
        <v>42837</v>
      </c>
      <c r="H871" s="82">
        <v>339.76</v>
      </c>
      <c r="I871" s="236">
        <f t="shared" si="14"/>
        <v>-8.5281576238793733E-4</v>
      </c>
    </row>
    <row r="872" spans="1:9" ht="16">
      <c r="A872" s="132">
        <v>42819</v>
      </c>
      <c r="B872" s="79">
        <v>3.07</v>
      </c>
      <c r="E872" s="81"/>
      <c r="F872" s="82"/>
      <c r="G872" s="81">
        <v>42838</v>
      </c>
      <c r="H872" s="82">
        <v>342.53</v>
      </c>
      <c r="I872" s="236">
        <f t="shared" si="14"/>
        <v>8.1528137508828369E-3</v>
      </c>
    </row>
    <row r="873" spans="1:9" ht="16">
      <c r="A873" s="132">
        <v>42822</v>
      </c>
      <c r="B873" s="79">
        <v>3.07</v>
      </c>
      <c r="E873" s="81"/>
      <c r="F873" s="82"/>
      <c r="G873" s="81">
        <v>42839</v>
      </c>
      <c r="H873" s="82">
        <v>343.64</v>
      </c>
      <c r="I873" s="236">
        <f t="shared" si="14"/>
        <v>3.2405920649285491E-3</v>
      </c>
    </row>
    <row r="874" spans="1:9" ht="16">
      <c r="A874" s="132">
        <v>42823</v>
      </c>
      <c r="B874" s="79">
        <v>3.11</v>
      </c>
      <c r="E874" s="81"/>
      <c r="F874" s="82"/>
      <c r="G874" s="81">
        <v>42840</v>
      </c>
      <c r="H874" s="82">
        <v>346.25</v>
      </c>
      <c r="I874" s="236">
        <f t="shared" si="14"/>
        <v>7.5951577231987422E-3</v>
      </c>
    </row>
    <row r="875" spans="1:9" ht="16">
      <c r="A875" s="132">
        <v>42824</v>
      </c>
      <c r="B875" s="79">
        <v>3.09</v>
      </c>
      <c r="E875" s="81"/>
      <c r="F875" s="82"/>
      <c r="G875" s="81">
        <v>42843</v>
      </c>
      <c r="H875" s="82">
        <v>346.6</v>
      </c>
      <c r="I875" s="236">
        <f t="shared" si="14"/>
        <v>1.0108303249098949E-3</v>
      </c>
    </row>
    <row r="876" spans="1:9" ht="16">
      <c r="A876" s="132">
        <v>42825</v>
      </c>
      <c r="B876" s="79">
        <v>3.07</v>
      </c>
      <c r="E876" s="81"/>
      <c r="F876" s="82"/>
      <c r="G876" s="81">
        <v>42844</v>
      </c>
      <c r="H876" s="82">
        <v>346.06</v>
      </c>
      <c r="I876" s="236">
        <f t="shared" si="14"/>
        <v>-1.5579919215233939E-3</v>
      </c>
    </row>
    <row r="877" spans="1:9" ht="16">
      <c r="A877" s="132">
        <v>42826</v>
      </c>
      <c r="B877" s="209">
        <v>3.07</v>
      </c>
      <c r="E877" s="81"/>
      <c r="F877" s="82"/>
      <c r="G877" s="81">
        <v>42845</v>
      </c>
      <c r="H877" s="82">
        <v>344.58</v>
      </c>
      <c r="I877" s="236">
        <f t="shared" si="14"/>
        <v>-4.2767150205167415E-3</v>
      </c>
    </row>
    <row r="878" spans="1:9" ht="16">
      <c r="A878" s="132">
        <v>42829</v>
      </c>
      <c r="B878" s="79">
        <v>3.08</v>
      </c>
      <c r="E878" s="81"/>
      <c r="F878" s="82"/>
      <c r="G878" s="81">
        <v>42846</v>
      </c>
      <c r="H878" s="82">
        <v>345.69</v>
      </c>
      <c r="I878" s="236">
        <f t="shared" si="14"/>
        <v>3.2213129026641418E-3</v>
      </c>
    </row>
    <row r="879" spans="1:9" ht="16">
      <c r="A879" s="132">
        <v>42830</v>
      </c>
      <c r="B879" s="79">
        <v>3.05</v>
      </c>
      <c r="E879" s="81"/>
      <c r="F879" s="82"/>
      <c r="G879" s="81">
        <v>42847</v>
      </c>
      <c r="H879" s="82">
        <v>348.69</v>
      </c>
      <c r="I879" s="236">
        <f t="shared" si="14"/>
        <v>8.678295582747575E-3</v>
      </c>
    </row>
    <row r="880" spans="1:9" ht="16">
      <c r="A880" s="132">
        <v>42831</v>
      </c>
      <c r="B880" s="79">
        <v>3.03</v>
      </c>
      <c r="E880" s="81"/>
      <c r="F880" s="82"/>
      <c r="G880" s="81">
        <v>42850</v>
      </c>
      <c r="H880" s="82">
        <v>350.67</v>
      </c>
      <c r="I880" s="236">
        <f t="shared" si="14"/>
        <v>5.6783962832316348E-3</v>
      </c>
    </row>
    <row r="881" spans="1:9" ht="16">
      <c r="A881" s="132">
        <v>42832</v>
      </c>
      <c r="B881" s="79">
        <v>3.03</v>
      </c>
      <c r="E881" s="81"/>
      <c r="F881" s="82"/>
      <c r="G881" s="81">
        <v>42851</v>
      </c>
      <c r="H881" s="82">
        <v>351.2</v>
      </c>
      <c r="I881" s="236">
        <f t="shared" si="14"/>
        <v>1.5113924772578446E-3</v>
      </c>
    </row>
    <row r="882" spans="1:9" ht="16">
      <c r="A882" s="132">
        <v>42833</v>
      </c>
      <c r="B882" s="79">
        <v>3.04</v>
      </c>
      <c r="E882" s="81"/>
      <c r="F882" s="82"/>
      <c r="G882" s="81">
        <v>42852</v>
      </c>
      <c r="H882" s="82">
        <v>353.08</v>
      </c>
      <c r="I882" s="236">
        <f t="shared" si="14"/>
        <v>5.3530751708428248E-3</v>
      </c>
    </row>
    <row r="883" spans="1:9" ht="16">
      <c r="A883" s="132">
        <v>42836</v>
      </c>
      <c r="B883" s="79">
        <v>3.04</v>
      </c>
      <c r="E883" s="81"/>
      <c r="F883" s="82"/>
      <c r="G883" s="81">
        <v>42853</v>
      </c>
      <c r="H883" s="82">
        <v>353.02</v>
      </c>
      <c r="I883" s="236">
        <f t="shared" si="14"/>
        <v>-1.6993315962388067E-4</v>
      </c>
    </row>
    <row r="884" spans="1:9" ht="16">
      <c r="A884" s="132">
        <v>42837</v>
      </c>
      <c r="B884" s="79">
        <v>3.06</v>
      </c>
      <c r="E884" s="81"/>
      <c r="F884" s="82"/>
      <c r="G884" s="81">
        <v>42854</v>
      </c>
      <c r="H884" s="82">
        <v>349</v>
      </c>
      <c r="I884" s="236">
        <f t="shared" si="14"/>
        <v>-1.1387456801314366E-2</v>
      </c>
    </row>
    <row r="885" spans="1:9" ht="16">
      <c r="A885" s="132">
        <v>42838</v>
      </c>
      <c r="B885" s="79">
        <v>3.06</v>
      </c>
      <c r="E885" s="81"/>
      <c r="F885" s="82"/>
      <c r="G885" s="81">
        <v>42857</v>
      </c>
      <c r="H885" s="82">
        <v>347.17</v>
      </c>
      <c r="I885" s="236">
        <f t="shared" si="14"/>
        <v>-5.2435530085959137E-3</v>
      </c>
    </row>
    <row r="886" spans="1:9" ht="16">
      <c r="A886" s="132">
        <v>42839</v>
      </c>
      <c r="B886" s="79">
        <v>3.05</v>
      </c>
      <c r="E886" s="81"/>
      <c r="F886" s="82"/>
      <c r="G886" s="81">
        <v>42858</v>
      </c>
      <c r="H886" s="82">
        <v>344.99</v>
      </c>
      <c r="I886" s="236">
        <f t="shared" si="14"/>
        <v>-6.2793444133998344E-3</v>
      </c>
    </row>
    <row r="887" spans="1:9" ht="16">
      <c r="A887" s="132">
        <v>42840</v>
      </c>
      <c r="B887" s="79">
        <v>3.04</v>
      </c>
      <c r="E887" s="81"/>
      <c r="F887" s="82"/>
      <c r="G887" s="81">
        <v>42859</v>
      </c>
      <c r="H887" s="82">
        <v>344.66</v>
      </c>
      <c r="I887" s="236">
        <f t="shared" si="14"/>
        <v>-9.5654946520185025E-4</v>
      </c>
    </row>
    <row r="888" spans="1:9" ht="16">
      <c r="A888" s="132">
        <v>42843</v>
      </c>
      <c r="B888" s="79">
        <v>3.03</v>
      </c>
      <c r="E888" s="81"/>
      <c r="F888" s="82"/>
      <c r="G888" s="81">
        <v>42860</v>
      </c>
      <c r="H888" s="82">
        <v>346.65</v>
      </c>
      <c r="I888" s="236">
        <f t="shared" si="14"/>
        <v>5.773806069749865E-3</v>
      </c>
    </row>
    <row r="889" spans="1:9" ht="16">
      <c r="A889" s="132">
        <v>42844</v>
      </c>
      <c r="B889" s="79">
        <v>3.04</v>
      </c>
      <c r="E889" s="81"/>
      <c r="F889" s="82"/>
      <c r="G889" s="81">
        <v>42861</v>
      </c>
      <c r="H889" s="82">
        <v>348.66</v>
      </c>
      <c r="I889" s="236">
        <f t="shared" si="14"/>
        <v>5.7983556901775035E-3</v>
      </c>
    </row>
    <row r="890" spans="1:9" ht="16">
      <c r="A890" s="132">
        <v>42845</v>
      </c>
      <c r="B890" s="79">
        <v>3.03</v>
      </c>
      <c r="E890" s="81"/>
      <c r="F890" s="82"/>
      <c r="G890" s="81">
        <v>42864</v>
      </c>
      <c r="H890" s="82">
        <v>347.55</v>
      </c>
      <c r="I890" s="236">
        <f t="shared" si="14"/>
        <v>-3.1836172775770999E-3</v>
      </c>
    </row>
    <row r="891" spans="1:9" ht="16">
      <c r="A891" s="132">
        <v>42846</v>
      </c>
      <c r="B891" s="79">
        <v>3.02</v>
      </c>
      <c r="E891" s="81"/>
      <c r="F891" s="82"/>
      <c r="G891" s="81">
        <v>42865</v>
      </c>
      <c r="H891" s="82">
        <v>343.59</v>
      </c>
      <c r="I891" s="236">
        <f t="shared" si="14"/>
        <v>-1.1394044022442928E-2</v>
      </c>
    </row>
    <row r="892" spans="1:9" ht="16">
      <c r="A892" s="132">
        <v>42847</v>
      </c>
      <c r="B892" s="79">
        <v>3.02</v>
      </c>
      <c r="E892" s="81"/>
      <c r="F892" s="82"/>
      <c r="G892" s="81">
        <v>42866</v>
      </c>
      <c r="H892" s="82">
        <v>340.16</v>
      </c>
      <c r="I892" s="236">
        <f t="shared" si="14"/>
        <v>-9.9828283710234889E-3</v>
      </c>
    </row>
    <row r="893" spans="1:9" ht="16">
      <c r="A893" s="132">
        <v>42850</v>
      </c>
      <c r="B893" s="79">
        <v>3.03</v>
      </c>
      <c r="E893" s="81"/>
      <c r="F893" s="82"/>
      <c r="G893" s="81">
        <v>42867</v>
      </c>
      <c r="H893" s="82">
        <v>335.04</v>
      </c>
      <c r="I893" s="236">
        <f t="shared" si="14"/>
        <v>-1.5051740357478804E-2</v>
      </c>
    </row>
    <row r="894" spans="1:9" ht="16">
      <c r="A894" s="132">
        <v>42851</v>
      </c>
      <c r="B894" s="79">
        <v>3.04</v>
      </c>
      <c r="E894" s="81"/>
      <c r="F894" s="82"/>
      <c r="G894" s="81">
        <v>42868</v>
      </c>
      <c r="H894" s="82">
        <v>338.29</v>
      </c>
      <c r="I894" s="236">
        <f t="shared" si="14"/>
        <v>9.7003342884431909E-3</v>
      </c>
    </row>
    <row r="895" spans="1:9" ht="16">
      <c r="A895" s="132">
        <v>42852</v>
      </c>
      <c r="B895" s="79">
        <v>3.05</v>
      </c>
      <c r="E895" s="81"/>
      <c r="F895" s="82"/>
      <c r="G895" s="81">
        <v>42871</v>
      </c>
      <c r="H895" s="82">
        <v>339.63</v>
      </c>
      <c r="I895" s="236">
        <f t="shared" si="14"/>
        <v>3.9610984658133841E-3</v>
      </c>
    </row>
    <row r="896" spans="1:9" ht="16">
      <c r="A896" s="132">
        <v>42853</v>
      </c>
      <c r="B896" s="79">
        <v>3.05</v>
      </c>
      <c r="E896" s="81"/>
      <c r="F896" s="82"/>
      <c r="G896" s="81">
        <v>42872</v>
      </c>
      <c r="H896" s="82">
        <v>345.37</v>
      </c>
      <c r="I896" s="236">
        <f t="shared" si="14"/>
        <v>1.690074492830429E-2</v>
      </c>
    </row>
    <row r="897" spans="1:9" ht="16">
      <c r="A897" s="132">
        <v>42854</v>
      </c>
      <c r="B897" s="79">
        <v>3.06</v>
      </c>
      <c r="E897" s="81"/>
      <c r="F897" s="82"/>
      <c r="G897" s="81">
        <v>42873</v>
      </c>
      <c r="H897" s="82">
        <v>343.94</v>
      </c>
      <c r="I897" s="236">
        <f t="shared" si="14"/>
        <v>-4.1404870139271077E-3</v>
      </c>
    </row>
    <row r="898" spans="1:9" ht="16">
      <c r="A898" s="132">
        <v>42857</v>
      </c>
      <c r="B898" s="79">
        <v>3.05</v>
      </c>
      <c r="E898" s="81"/>
      <c r="F898" s="82"/>
      <c r="G898" s="81">
        <v>42874</v>
      </c>
      <c r="H898" s="82">
        <v>344.45</v>
      </c>
      <c r="I898" s="236">
        <f t="shared" si="14"/>
        <v>1.4828167703668793E-3</v>
      </c>
    </row>
    <row r="899" spans="1:9" ht="16">
      <c r="A899" s="132">
        <v>42858</v>
      </c>
      <c r="B899" s="79">
        <v>3.04</v>
      </c>
      <c r="E899" s="81"/>
      <c r="F899" s="82"/>
      <c r="G899" s="81">
        <v>42875</v>
      </c>
      <c r="H899" s="82">
        <v>344.78</v>
      </c>
      <c r="I899" s="236">
        <f t="shared" si="14"/>
        <v>9.5804906372465304E-4</v>
      </c>
    </row>
    <row r="900" spans="1:9" ht="16">
      <c r="A900" s="132">
        <v>42859</v>
      </c>
      <c r="B900" s="79">
        <v>3.03</v>
      </c>
      <c r="E900" s="81"/>
      <c r="F900" s="82"/>
      <c r="G900" s="81">
        <v>42878</v>
      </c>
      <c r="H900" s="82">
        <v>344.65</v>
      </c>
      <c r="I900" s="236">
        <f t="shared" si="14"/>
        <v>-3.7705203318061375E-4</v>
      </c>
    </row>
    <row r="901" spans="1:9" ht="16">
      <c r="A901" s="132">
        <v>42860</v>
      </c>
      <c r="B901" s="79">
        <v>3.01</v>
      </c>
      <c r="E901" s="81"/>
      <c r="F901" s="82"/>
      <c r="G901" s="81">
        <v>42879</v>
      </c>
      <c r="H901" s="82">
        <v>348.92</v>
      </c>
      <c r="I901" s="236">
        <f t="shared" si="14"/>
        <v>1.2389380530973604E-2</v>
      </c>
    </row>
    <row r="902" spans="1:9" ht="16">
      <c r="A902" s="132">
        <v>42861</v>
      </c>
      <c r="B902" s="79">
        <v>2.99</v>
      </c>
      <c r="E902" s="81"/>
      <c r="F902" s="82"/>
      <c r="G902" s="81">
        <v>42880</v>
      </c>
      <c r="H902" s="82">
        <v>350.79</v>
      </c>
      <c r="I902" s="236">
        <f t="shared" si="14"/>
        <v>5.3593947036569833E-3</v>
      </c>
    </row>
    <row r="903" spans="1:9" ht="16">
      <c r="A903" s="132">
        <v>42864</v>
      </c>
      <c r="B903" s="79">
        <v>2.98</v>
      </c>
      <c r="E903" s="81"/>
      <c r="F903" s="82"/>
      <c r="G903" s="81">
        <v>42881</v>
      </c>
      <c r="H903" s="82">
        <v>352.03</v>
      </c>
      <c r="I903" s="236">
        <f t="shared" si="14"/>
        <v>3.5348784172866132E-3</v>
      </c>
    </row>
    <row r="904" spans="1:9" ht="16">
      <c r="A904" s="132">
        <v>42865</v>
      </c>
      <c r="B904" s="79">
        <v>3</v>
      </c>
      <c r="E904" s="81"/>
      <c r="F904" s="82"/>
      <c r="G904" s="81">
        <v>42882</v>
      </c>
      <c r="H904" s="82">
        <v>353.55</v>
      </c>
      <c r="I904" s="236">
        <f t="shared" si="14"/>
        <v>4.31781382268559E-3</v>
      </c>
    </row>
    <row r="905" spans="1:9" ht="16">
      <c r="A905" s="132">
        <v>42866</v>
      </c>
      <c r="B905" s="79">
        <v>3.02</v>
      </c>
      <c r="E905" s="81"/>
      <c r="F905" s="82"/>
      <c r="G905" s="81">
        <v>42885</v>
      </c>
      <c r="H905" s="82">
        <v>357.07</v>
      </c>
      <c r="I905" s="236">
        <f t="shared" si="14"/>
        <v>9.9561589591288246E-3</v>
      </c>
    </row>
    <row r="906" spans="1:9" ht="16">
      <c r="A906" s="132">
        <v>42867</v>
      </c>
      <c r="B906" s="79">
        <v>3.04</v>
      </c>
      <c r="E906" s="81"/>
      <c r="F906" s="82"/>
      <c r="G906" s="81">
        <v>42886</v>
      </c>
      <c r="H906" s="82">
        <v>360.55</v>
      </c>
      <c r="I906" s="236">
        <f t="shared" si="14"/>
        <v>9.7459881815891158E-3</v>
      </c>
    </row>
    <row r="907" spans="1:9" ht="16">
      <c r="A907" s="132">
        <v>42868</v>
      </c>
      <c r="B907" s="79">
        <v>3.01</v>
      </c>
      <c r="E907" s="81"/>
      <c r="F907" s="82"/>
      <c r="G907" s="81">
        <v>42887</v>
      </c>
      <c r="H907" s="82">
        <v>360.82</v>
      </c>
      <c r="I907" s="236">
        <f t="shared" si="14"/>
        <v>7.4885591457496403E-4</v>
      </c>
    </row>
    <row r="908" spans="1:9" ht="16">
      <c r="A908" s="132">
        <v>42871</v>
      </c>
      <c r="B908" s="79">
        <v>3</v>
      </c>
      <c r="E908" s="81"/>
      <c r="F908" s="82"/>
      <c r="G908" s="81">
        <v>42888</v>
      </c>
      <c r="H908" s="82">
        <v>359.36</v>
      </c>
      <c r="I908" s="236">
        <f t="shared" si="14"/>
        <v>-4.0463388947397094E-3</v>
      </c>
    </row>
    <row r="909" spans="1:9" ht="16">
      <c r="A909" s="132">
        <v>42872</v>
      </c>
      <c r="B909" s="79">
        <v>3</v>
      </c>
      <c r="E909" s="81"/>
      <c r="F909" s="82"/>
      <c r="G909" s="81">
        <v>42889</v>
      </c>
      <c r="H909" s="82">
        <v>359.35</v>
      </c>
      <c r="I909" s="236">
        <f t="shared" si="14"/>
        <v>-2.7827248441636421E-5</v>
      </c>
    </row>
    <row r="910" spans="1:9" ht="16">
      <c r="A910" s="132">
        <v>42873</v>
      </c>
      <c r="B910" s="79">
        <v>3.02</v>
      </c>
      <c r="E910" s="81"/>
      <c r="F910" s="82"/>
      <c r="G910" s="81">
        <v>42892</v>
      </c>
      <c r="H910" s="82">
        <v>359</v>
      </c>
      <c r="I910" s="236">
        <f t="shared" si="14"/>
        <v>-9.7398079866428677E-4</v>
      </c>
    </row>
    <row r="911" spans="1:9" ht="16">
      <c r="A911" s="132">
        <v>42874</v>
      </c>
      <c r="B911" s="79">
        <v>3.01</v>
      </c>
      <c r="E911" s="81"/>
      <c r="F911" s="82"/>
      <c r="G911" s="81">
        <v>42893</v>
      </c>
      <c r="H911" s="82">
        <v>358.41</v>
      </c>
      <c r="I911" s="236">
        <f t="shared" si="14"/>
        <v>-1.6434540389971275E-3</v>
      </c>
    </row>
    <row r="912" spans="1:9" ht="16">
      <c r="A912" s="132">
        <v>42875</v>
      </c>
      <c r="B912" s="79">
        <v>3</v>
      </c>
      <c r="E912" s="81"/>
      <c r="F912" s="82"/>
      <c r="G912" s="81">
        <v>42894</v>
      </c>
      <c r="H912" s="82">
        <v>357.69</v>
      </c>
      <c r="I912" s="236">
        <f t="shared" ref="I912:I975" si="15">H912/H911-1</f>
        <v>-2.0088725202980218E-3</v>
      </c>
    </row>
    <row r="913" spans="1:9" ht="16">
      <c r="A913" s="132">
        <v>42878</v>
      </c>
      <c r="B913" s="79">
        <v>2.99</v>
      </c>
      <c r="E913" s="81"/>
      <c r="F913" s="82"/>
      <c r="G913" s="81">
        <v>42895</v>
      </c>
      <c r="H913" s="82">
        <v>359.54</v>
      </c>
      <c r="I913" s="236">
        <f t="shared" si="15"/>
        <v>5.1720763789875335E-3</v>
      </c>
    </row>
    <row r="914" spans="1:9" ht="16">
      <c r="A914" s="132">
        <v>42879</v>
      </c>
      <c r="B914" s="79">
        <v>2.96</v>
      </c>
      <c r="E914" s="81"/>
      <c r="F914" s="82"/>
      <c r="G914" s="81">
        <v>42896</v>
      </c>
      <c r="H914" s="82">
        <v>359.7</v>
      </c>
      <c r="I914" s="236">
        <f t="shared" si="15"/>
        <v>4.4501307225885967E-4</v>
      </c>
    </row>
    <row r="915" spans="1:9" ht="16">
      <c r="A915" s="132">
        <v>42880</v>
      </c>
      <c r="B915" s="79">
        <v>2.94</v>
      </c>
      <c r="E915" s="81"/>
      <c r="F915" s="82"/>
      <c r="G915" s="81">
        <v>42899</v>
      </c>
      <c r="H915" s="82">
        <v>360.42</v>
      </c>
      <c r="I915" s="236">
        <f t="shared" si="15"/>
        <v>2.0016680567140899E-3</v>
      </c>
    </row>
    <row r="916" spans="1:9" ht="16">
      <c r="A916" s="132">
        <v>42881</v>
      </c>
      <c r="B916" s="79">
        <v>2.95</v>
      </c>
      <c r="E916" s="81"/>
      <c r="F916" s="82"/>
      <c r="G916" s="81">
        <v>42900</v>
      </c>
      <c r="H916" s="82">
        <v>358.56</v>
      </c>
      <c r="I916" s="236">
        <f t="shared" si="15"/>
        <v>-5.1606459131013915E-3</v>
      </c>
    </row>
    <row r="917" spans="1:9" ht="16">
      <c r="A917" s="132">
        <v>42882</v>
      </c>
      <c r="B917" s="79">
        <v>2.94</v>
      </c>
      <c r="E917" s="81"/>
      <c r="F917" s="82"/>
      <c r="G917" s="81">
        <v>42901</v>
      </c>
      <c r="H917" s="82">
        <v>355.87</v>
      </c>
      <c r="I917" s="236">
        <f t="shared" si="15"/>
        <v>-7.5022311468094793E-3</v>
      </c>
    </row>
    <row r="918" spans="1:9" ht="16">
      <c r="A918" s="132">
        <v>42885</v>
      </c>
      <c r="B918" s="79">
        <v>2.97</v>
      </c>
      <c r="E918" s="81"/>
      <c r="F918" s="82"/>
      <c r="G918" s="81">
        <v>42902</v>
      </c>
      <c r="H918" s="82">
        <v>354.57</v>
      </c>
      <c r="I918" s="236">
        <f t="shared" si="15"/>
        <v>-3.6530193610025963E-3</v>
      </c>
    </row>
    <row r="919" spans="1:9" ht="16">
      <c r="A919" s="132">
        <v>42886</v>
      </c>
      <c r="B919" s="79">
        <v>2.97</v>
      </c>
      <c r="E919" s="81"/>
      <c r="F919" s="82"/>
      <c r="G919" s="81">
        <v>42903</v>
      </c>
      <c r="H919" s="82">
        <v>354.09</v>
      </c>
      <c r="I919" s="236">
        <f t="shared" si="15"/>
        <v>-1.3537524325240025E-3</v>
      </c>
    </row>
    <row r="920" spans="1:9" ht="16">
      <c r="A920" s="132">
        <v>42887</v>
      </c>
      <c r="B920" s="79">
        <v>2.96</v>
      </c>
      <c r="E920" s="81"/>
      <c r="F920" s="82"/>
      <c r="G920" s="81">
        <v>42906</v>
      </c>
      <c r="H920" s="82">
        <v>351.85</v>
      </c>
      <c r="I920" s="236">
        <f t="shared" si="15"/>
        <v>-6.3260752915923479E-3</v>
      </c>
    </row>
    <row r="921" spans="1:9" ht="16">
      <c r="A921" s="132">
        <v>42888</v>
      </c>
      <c r="B921" s="79">
        <v>2.97</v>
      </c>
      <c r="E921" s="81"/>
      <c r="F921" s="82"/>
      <c r="G921" s="81">
        <v>42907</v>
      </c>
      <c r="H921" s="82">
        <v>350.98</v>
      </c>
      <c r="I921" s="236">
        <f t="shared" si="15"/>
        <v>-2.4726445928663354E-3</v>
      </c>
    </row>
    <row r="922" spans="1:9" ht="16">
      <c r="A922" s="132">
        <v>42889</v>
      </c>
      <c r="B922" s="79">
        <v>2.97</v>
      </c>
      <c r="E922" s="81"/>
      <c r="F922" s="82"/>
      <c r="G922" s="81">
        <v>42908</v>
      </c>
      <c r="H922" s="82">
        <v>354.53</v>
      </c>
      <c r="I922" s="236">
        <f t="shared" si="15"/>
        <v>1.0114536440822608E-2</v>
      </c>
    </row>
    <row r="923" spans="1:9" ht="16">
      <c r="A923" s="132">
        <v>42892</v>
      </c>
      <c r="B923" s="79">
        <v>2.95</v>
      </c>
      <c r="E923" s="81"/>
      <c r="F923" s="82"/>
      <c r="G923" s="81">
        <v>42909</v>
      </c>
      <c r="H923" s="82">
        <v>356.13</v>
      </c>
      <c r="I923" s="236">
        <f t="shared" si="15"/>
        <v>4.5130172340845931E-3</v>
      </c>
    </row>
    <row r="924" spans="1:9" ht="16">
      <c r="A924" s="132">
        <v>42893</v>
      </c>
      <c r="B924" s="79">
        <v>2.92</v>
      </c>
      <c r="E924" s="81"/>
      <c r="F924" s="82"/>
      <c r="G924" s="81">
        <v>42910</v>
      </c>
      <c r="H924" s="82">
        <v>359.35</v>
      </c>
      <c r="I924" s="236">
        <f t="shared" si="15"/>
        <v>9.0416420969872124E-3</v>
      </c>
    </row>
    <row r="925" spans="1:9" ht="16">
      <c r="A925" s="132">
        <v>42894</v>
      </c>
      <c r="B925" s="79">
        <v>2.9</v>
      </c>
      <c r="E925" s="81"/>
      <c r="F925" s="82"/>
      <c r="G925" s="81">
        <v>42913</v>
      </c>
      <c r="H925" s="82">
        <v>359.43</v>
      </c>
      <c r="I925" s="236">
        <f t="shared" si="15"/>
        <v>2.226241825518116E-4</v>
      </c>
    </row>
    <row r="926" spans="1:9" ht="16">
      <c r="A926" s="132">
        <v>42895</v>
      </c>
      <c r="B926" s="79">
        <v>2.89</v>
      </c>
      <c r="E926" s="81"/>
      <c r="F926" s="82"/>
      <c r="G926" s="81">
        <v>42914</v>
      </c>
      <c r="H926" s="82">
        <v>358.53</v>
      </c>
      <c r="I926" s="236">
        <f t="shared" si="15"/>
        <v>-2.5039646106336244E-3</v>
      </c>
    </row>
    <row r="927" spans="1:9" ht="16">
      <c r="A927" s="132">
        <v>42896</v>
      </c>
      <c r="B927" s="79">
        <v>2.87</v>
      </c>
      <c r="E927" s="81"/>
      <c r="F927" s="82"/>
      <c r="G927" s="81">
        <v>42915</v>
      </c>
      <c r="H927" s="82">
        <v>357.51</v>
      </c>
      <c r="I927" s="236">
        <f t="shared" si="15"/>
        <v>-2.8449502133711668E-3</v>
      </c>
    </row>
    <row r="928" spans="1:9" ht="16">
      <c r="A928" s="132">
        <v>42899</v>
      </c>
      <c r="B928" s="79">
        <v>2.88</v>
      </c>
      <c r="E928" s="81"/>
      <c r="F928" s="82"/>
      <c r="G928" s="81">
        <v>42916</v>
      </c>
      <c r="H928" s="82">
        <v>355.92</v>
      </c>
      <c r="I928" s="236">
        <f t="shared" si="15"/>
        <v>-4.4474280439706915E-3</v>
      </c>
    </row>
    <row r="929" spans="1:9" ht="16">
      <c r="A929" s="132">
        <v>42900</v>
      </c>
      <c r="B929" s="79">
        <v>2.89</v>
      </c>
      <c r="E929" s="81"/>
      <c r="F929" s="82"/>
      <c r="G929" s="81">
        <v>42917</v>
      </c>
      <c r="H929" s="82">
        <v>353.12</v>
      </c>
      <c r="I929" s="236">
        <f t="shared" si="15"/>
        <v>-7.8669363902000855E-3</v>
      </c>
    </row>
    <row r="930" spans="1:9" ht="16">
      <c r="A930" s="132">
        <v>42901</v>
      </c>
      <c r="B930" s="79">
        <v>2.9</v>
      </c>
      <c r="E930" s="81"/>
      <c r="F930" s="82"/>
      <c r="G930" s="81">
        <v>42920</v>
      </c>
      <c r="H930" s="82">
        <v>353.41</v>
      </c>
      <c r="I930" s="236">
        <f t="shared" si="15"/>
        <v>8.2125056637982752E-4</v>
      </c>
    </row>
    <row r="931" spans="1:9" ht="16">
      <c r="A931" s="132">
        <v>42902</v>
      </c>
      <c r="B931" s="79">
        <v>2.91</v>
      </c>
      <c r="E931" s="81"/>
      <c r="F931" s="82"/>
      <c r="G931" s="81">
        <v>42921</v>
      </c>
      <c r="H931" s="82">
        <v>350.16</v>
      </c>
      <c r="I931" s="236">
        <f t="shared" si="15"/>
        <v>-9.1961178234911678E-3</v>
      </c>
    </row>
    <row r="932" spans="1:9" ht="16">
      <c r="A932" s="132">
        <v>42903</v>
      </c>
      <c r="B932" s="79">
        <v>2.89</v>
      </c>
      <c r="E932" s="81"/>
      <c r="F932" s="82"/>
      <c r="G932" s="81">
        <v>42922</v>
      </c>
      <c r="H932" s="82">
        <v>349.27</v>
      </c>
      <c r="I932" s="236">
        <f t="shared" si="15"/>
        <v>-2.5416952250401081E-3</v>
      </c>
    </row>
    <row r="933" spans="1:9" ht="16">
      <c r="A933" s="132">
        <v>42906</v>
      </c>
      <c r="B933" s="79">
        <v>2.89</v>
      </c>
      <c r="E933" s="81"/>
      <c r="F933" s="82"/>
      <c r="G933" s="81">
        <v>42923</v>
      </c>
      <c r="H933" s="82">
        <v>343.35</v>
      </c>
      <c r="I933" s="236">
        <f t="shared" si="15"/>
        <v>-1.6949637816016105E-2</v>
      </c>
    </row>
    <row r="934" spans="1:9" ht="16">
      <c r="A934" s="132">
        <v>42907</v>
      </c>
      <c r="B934" s="79">
        <v>2.91</v>
      </c>
      <c r="E934" s="81"/>
      <c r="F934" s="82"/>
      <c r="G934" s="81">
        <v>42924</v>
      </c>
      <c r="H934" s="82">
        <v>345.29</v>
      </c>
      <c r="I934" s="236">
        <f t="shared" si="15"/>
        <v>5.6502111547982459E-3</v>
      </c>
    </row>
    <row r="935" spans="1:9" ht="16">
      <c r="A935" s="132">
        <v>42908</v>
      </c>
      <c r="B935" s="79">
        <v>2.9</v>
      </c>
      <c r="E935" s="81"/>
      <c r="F935" s="82"/>
      <c r="G935" s="81">
        <v>42927</v>
      </c>
      <c r="H935" s="82">
        <v>347.23</v>
      </c>
      <c r="I935" s="236">
        <f t="shared" si="15"/>
        <v>5.6184656375799502E-3</v>
      </c>
    </row>
    <row r="936" spans="1:9" ht="16">
      <c r="A936" s="132">
        <v>42909</v>
      </c>
      <c r="B936" s="79">
        <v>2.9</v>
      </c>
      <c r="E936" s="81"/>
      <c r="F936" s="82"/>
      <c r="G936" s="81">
        <v>42928</v>
      </c>
      <c r="H936" s="82">
        <v>349.69</v>
      </c>
      <c r="I936" s="236">
        <f t="shared" si="15"/>
        <v>7.0846413040346334E-3</v>
      </c>
    </row>
    <row r="937" spans="1:9" ht="16">
      <c r="A937" s="132">
        <v>42910</v>
      </c>
      <c r="B937" s="79">
        <v>2.9</v>
      </c>
      <c r="E937" s="81"/>
      <c r="F937" s="82"/>
      <c r="G937" s="81">
        <v>42929</v>
      </c>
      <c r="H937" s="82">
        <v>349.57</v>
      </c>
      <c r="I937" s="236">
        <f t="shared" si="15"/>
        <v>-3.4316108553289482E-4</v>
      </c>
    </row>
    <row r="938" spans="1:9" ht="16">
      <c r="A938" s="132">
        <v>42913</v>
      </c>
      <c r="B938" s="79">
        <v>2.9</v>
      </c>
      <c r="E938" s="81"/>
      <c r="F938" s="82"/>
      <c r="G938" s="81">
        <v>42930</v>
      </c>
      <c r="H938" s="82">
        <v>351.76</v>
      </c>
      <c r="I938" s="236">
        <f t="shared" si="15"/>
        <v>6.264839660153898E-3</v>
      </c>
    </row>
    <row r="939" spans="1:9" ht="16">
      <c r="A939" s="132">
        <v>42914</v>
      </c>
      <c r="B939" s="79">
        <v>2.9</v>
      </c>
      <c r="E939" s="81"/>
      <c r="F939" s="82"/>
      <c r="G939" s="81">
        <v>42931</v>
      </c>
      <c r="H939" s="82">
        <v>349.79</v>
      </c>
      <c r="I939" s="236">
        <f t="shared" si="15"/>
        <v>-5.600409370024928E-3</v>
      </c>
    </row>
    <row r="940" spans="1:9" ht="16">
      <c r="A940" s="132">
        <v>42915</v>
      </c>
      <c r="B940" s="79">
        <v>2.89</v>
      </c>
      <c r="E940" s="81"/>
      <c r="F940" s="82"/>
      <c r="G940" s="81">
        <v>42934</v>
      </c>
      <c r="H940" s="82">
        <v>344.53</v>
      </c>
      <c r="I940" s="236">
        <f t="shared" si="15"/>
        <v>-1.5037593984962516E-2</v>
      </c>
    </row>
    <row r="941" spans="1:9" ht="16">
      <c r="A941" s="132">
        <v>42916</v>
      </c>
      <c r="B941" s="79">
        <v>2.9</v>
      </c>
      <c r="E941" s="81"/>
      <c r="F941" s="82"/>
      <c r="G941" s="81">
        <v>42935</v>
      </c>
      <c r="H941" s="82">
        <v>342.95</v>
      </c>
      <c r="I941" s="236">
        <f t="shared" si="15"/>
        <v>-4.5859576814790692E-3</v>
      </c>
    </row>
    <row r="942" spans="1:9" ht="16">
      <c r="A942" s="132">
        <v>42917</v>
      </c>
      <c r="B942" s="79">
        <v>2.89</v>
      </c>
      <c r="E942" s="81"/>
      <c r="F942" s="82"/>
      <c r="G942" s="81">
        <v>42936</v>
      </c>
      <c r="H942" s="82">
        <v>343.74</v>
      </c>
      <c r="I942" s="236">
        <f t="shared" si="15"/>
        <v>2.3035427904942729E-3</v>
      </c>
    </row>
    <row r="943" spans="1:9" ht="16">
      <c r="A943" s="132">
        <v>42920</v>
      </c>
      <c r="B943" s="79">
        <v>2.89</v>
      </c>
      <c r="E943" s="81"/>
      <c r="F943" s="82"/>
      <c r="G943" s="81">
        <v>42937</v>
      </c>
      <c r="H943" s="82">
        <v>347.03</v>
      </c>
      <c r="I943" s="236">
        <f t="shared" si="15"/>
        <v>9.5711875254551604E-3</v>
      </c>
    </row>
    <row r="944" spans="1:9" ht="16">
      <c r="A944" s="132">
        <v>42921</v>
      </c>
      <c r="B944" s="79">
        <v>2.87</v>
      </c>
      <c r="E944" s="81"/>
      <c r="F944" s="82"/>
      <c r="G944" s="81">
        <v>42938</v>
      </c>
      <c r="H944" s="82">
        <v>342.79</v>
      </c>
      <c r="I944" s="236">
        <f t="shared" si="15"/>
        <v>-1.2217963864795456E-2</v>
      </c>
    </row>
    <row r="945" spans="1:9" ht="16">
      <c r="A945" s="132">
        <v>42922</v>
      </c>
      <c r="B945" s="79">
        <v>2.85</v>
      </c>
      <c r="E945" s="81"/>
      <c r="F945" s="82"/>
      <c r="G945" s="81">
        <v>42941</v>
      </c>
      <c r="H945" s="82">
        <v>334.85</v>
      </c>
      <c r="I945" s="236">
        <f t="shared" si="15"/>
        <v>-2.316286939525658E-2</v>
      </c>
    </row>
    <row r="946" spans="1:9" ht="16">
      <c r="A946" s="132">
        <v>42923</v>
      </c>
      <c r="B946" s="79">
        <v>2.84</v>
      </c>
      <c r="E946" s="81"/>
      <c r="F946" s="82"/>
      <c r="G946" s="81">
        <v>42942</v>
      </c>
      <c r="H946" s="82">
        <v>327.16000000000003</v>
      </c>
      <c r="I946" s="236">
        <f t="shared" si="15"/>
        <v>-2.2965506943407488E-2</v>
      </c>
    </row>
    <row r="947" spans="1:9" ht="16">
      <c r="A947" s="132">
        <v>42924</v>
      </c>
      <c r="B947" s="79">
        <v>2.86</v>
      </c>
      <c r="E947" s="81"/>
      <c r="F947" s="82"/>
      <c r="G947" s="81">
        <v>42943</v>
      </c>
      <c r="H947" s="82">
        <v>331.47</v>
      </c>
      <c r="I947" s="236">
        <f t="shared" si="15"/>
        <v>1.3173982149407015E-2</v>
      </c>
    </row>
    <row r="948" spans="1:9" ht="16">
      <c r="A948" s="132">
        <v>42927</v>
      </c>
      <c r="B948" s="79">
        <v>2.86</v>
      </c>
      <c r="E948" s="81"/>
      <c r="F948" s="82"/>
      <c r="G948" s="81">
        <v>42944</v>
      </c>
      <c r="H948" s="82">
        <v>338.17</v>
      </c>
      <c r="I948" s="236">
        <f t="shared" si="15"/>
        <v>2.0212990617552107E-2</v>
      </c>
    </row>
    <row r="949" spans="1:9" ht="16">
      <c r="A949" s="132">
        <v>42928</v>
      </c>
      <c r="B949" s="79">
        <v>2.88</v>
      </c>
      <c r="E949" s="81"/>
      <c r="F949" s="82"/>
      <c r="G949" s="81">
        <v>42945</v>
      </c>
      <c r="H949" s="82">
        <v>334.62</v>
      </c>
      <c r="I949" s="236">
        <f t="shared" si="15"/>
        <v>-1.0497678682319544E-2</v>
      </c>
    </row>
    <row r="950" spans="1:9" ht="16">
      <c r="A950" s="132">
        <v>42929</v>
      </c>
      <c r="B950" s="79">
        <v>2.87</v>
      </c>
      <c r="E950" s="81"/>
      <c r="F950" s="82"/>
      <c r="G950" s="81">
        <v>42948</v>
      </c>
      <c r="H950" s="82">
        <v>338.84</v>
      </c>
      <c r="I950" s="236">
        <f t="shared" si="15"/>
        <v>1.2611320303627993E-2</v>
      </c>
    </row>
    <row r="951" spans="1:9" ht="16">
      <c r="A951" s="132">
        <v>42930</v>
      </c>
      <c r="B951" s="79">
        <v>2.84</v>
      </c>
      <c r="E951" s="81"/>
      <c r="F951" s="82"/>
      <c r="G951" s="81">
        <v>42949</v>
      </c>
      <c r="H951" s="82">
        <v>338.05</v>
      </c>
      <c r="I951" s="236">
        <f t="shared" si="15"/>
        <v>-2.3314838861998588E-3</v>
      </c>
    </row>
    <row r="952" spans="1:9" ht="16">
      <c r="A952" s="132">
        <v>42931</v>
      </c>
      <c r="B952" s="79">
        <v>2.85</v>
      </c>
      <c r="E952" s="81"/>
      <c r="F952" s="82"/>
      <c r="G952" s="81">
        <v>42950</v>
      </c>
      <c r="H952" s="82">
        <v>340.17</v>
      </c>
      <c r="I952" s="236">
        <f t="shared" si="15"/>
        <v>6.2712616476852112E-3</v>
      </c>
    </row>
    <row r="953" spans="1:9" ht="16">
      <c r="A953" s="132">
        <v>42934</v>
      </c>
      <c r="B953" s="79">
        <v>2.83</v>
      </c>
      <c r="E953" s="81"/>
      <c r="F953" s="82"/>
      <c r="G953" s="81">
        <v>42951</v>
      </c>
      <c r="H953" s="82">
        <v>339.06</v>
      </c>
      <c r="I953" s="236">
        <f t="shared" si="15"/>
        <v>-3.2630743451803612E-3</v>
      </c>
    </row>
    <row r="954" spans="1:9" ht="16">
      <c r="A954" s="132">
        <v>42935</v>
      </c>
      <c r="B954" s="79">
        <v>2.82</v>
      </c>
      <c r="E954" s="81"/>
      <c r="F954" s="82"/>
      <c r="G954" s="81">
        <v>42952</v>
      </c>
      <c r="H954" s="82">
        <v>336.9</v>
      </c>
      <c r="I954" s="236">
        <f t="shared" si="15"/>
        <v>-6.3705538842683263E-3</v>
      </c>
    </row>
    <row r="955" spans="1:9" ht="16">
      <c r="A955" s="132">
        <v>42936</v>
      </c>
      <c r="B955" s="79">
        <v>2.82</v>
      </c>
      <c r="E955" s="81"/>
      <c r="F955" s="82"/>
      <c r="G955" s="81">
        <v>42955</v>
      </c>
      <c r="H955" s="82">
        <v>337.54</v>
      </c>
      <c r="I955" s="236">
        <f t="shared" si="15"/>
        <v>1.8996734936183035E-3</v>
      </c>
    </row>
    <row r="956" spans="1:9" ht="16">
      <c r="A956" s="132">
        <v>42937</v>
      </c>
      <c r="B956" s="79">
        <v>2.82</v>
      </c>
      <c r="E956" s="81"/>
      <c r="F956" s="82"/>
      <c r="G956" s="81">
        <v>42956</v>
      </c>
      <c r="H956" s="82">
        <v>339.36</v>
      </c>
      <c r="I956" s="236">
        <f t="shared" si="15"/>
        <v>5.3919535462463308E-3</v>
      </c>
    </row>
    <row r="957" spans="1:9" ht="16">
      <c r="A957" s="132">
        <v>42938</v>
      </c>
      <c r="B957" s="79">
        <v>2.82</v>
      </c>
      <c r="E957" s="81"/>
      <c r="F957" s="82"/>
      <c r="G957" s="81">
        <v>42957</v>
      </c>
      <c r="H957" s="82">
        <v>339.28</v>
      </c>
      <c r="I957" s="236">
        <f t="shared" si="15"/>
        <v>-2.357378595003734E-4</v>
      </c>
    </row>
    <row r="958" spans="1:9" ht="16">
      <c r="A958" s="132">
        <v>42941</v>
      </c>
      <c r="B958" s="79">
        <v>2.81</v>
      </c>
      <c r="E958" s="81"/>
      <c r="F958" s="82"/>
      <c r="G958" s="81">
        <v>42958</v>
      </c>
      <c r="H958" s="82">
        <v>338.21</v>
      </c>
      <c r="I958" s="236">
        <f t="shared" si="15"/>
        <v>-3.1537373261023571E-3</v>
      </c>
    </row>
    <row r="959" spans="1:9" ht="16">
      <c r="A959" s="132">
        <v>42942</v>
      </c>
      <c r="B959" s="79">
        <v>2.82</v>
      </c>
      <c r="E959" s="81"/>
      <c r="F959" s="82"/>
      <c r="G959" s="81">
        <v>42959</v>
      </c>
      <c r="H959" s="82">
        <v>336.45</v>
      </c>
      <c r="I959" s="236">
        <f t="shared" si="15"/>
        <v>-5.2038674196505097E-3</v>
      </c>
    </row>
    <row r="960" spans="1:9" ht="16">
      <c r="A960" s="132">
        <v>42943</v>
      </c>
      <c r="B960" s="79">
        <v>2.83</v>
      </c>
      <c r="E960" s="81"/>
      <c r="F960" s="82"/>
      <c r="G960" s="81">
        <v>42962</v>
      </c>
      <c r="H960" s="82">
        <v>333.54</v>
      </c>
      <c r="I960" s="236">
        <f t="shared" si="15"/>
        <v>-8.6491306286222702E-3</v>
      </c>
    </row>
    <row r="961" spans="1:9" ht="16">
      <c r="A961" s="132">
        <v>42944</v>
      </c>
      <c r="B961" s="79">
        <v>2.82</v>
      </c>
      <c r="E961" s="81"/>
      <c r="F961" s="82"/>
      <c r="G961" s="81">
        <v>42963</v>
      </c>
      <c r="H961" s="82">
        <v>329.49</v>
      </c>
      <c r="I961" s="236">
        <f t="shared" si="15"/>
        <v>-1.2142471667566102E-2</v>
      </c>
    </row>
    <row r="962" spans="1:9" ht="16">
      <c r="A962" s="132">
        <v>42945</v>
      </c>
      <c r="B962" s="79">
        <v>2.82</v>
      </c>
      <c r="E962" s="81"/>
      <c r="F962" s="82"/>
      <c r="G962" s="81">
        <v>42964</v>
      </c>
      <c r="H962" s="82">
        <v>330.87</v>
      </c>
      <c r="I962" s="236">
        <f t="shared" si="15"/>
        <v>4.1882909951742597E-3</v>
      </c>
    </row>
    <row r="963" spans="1:9" ht="16">
      <c r="A963" s="132">
        <v>42946</v>
      </c>
      <c r="B963" s="79">
        <v>2.84</v>
      </c>
      <c r="E963" s="81"/>
      <c r="F963" s="82"/>
      <c r="G963" s="81">
        <v>42965</v>
      </c>
      <c r="H963" s="82">
        <v>323.88</v>
      </c>
      <c r="I963" s="236">
        <f t="shared" si="15"/>
        <v>-2.1126122041889572E-2</v>
      </c>
    </row>
    <row r="964" spans="1:9" ht="16">
      <c r="A964" s="132">
        <v>42948</v>
      </c>
      <c r="B964" s="79">
        <v>2.82</v>
      </c>
      <c r="E964" s="81"/>
      <c r="F964" s="82"/>
      <c r="G964" s="81">
        <v>42966</v>
      </c>
      <c r="H964" s="82">
        <v>321.23</v>
      </c>
      <c r="I964" s="236">
        <f t="shared" si="15"/>
        <v>-8.1820427318759492E-3</v>
      </c>
    </row>
    <row r="965" spans="1:9" ht="16">
      <c r="A965" s="132">
        <v>42949</v>
      </c>
      <c r="B965" s="79">
        <v>2.82</v>
      </c>
      <c r="E965" s="81"/>
      <c r="F965" s="82"/>
      <c r="G965" s="81">
        <v>42969</v>
      </c>
      <c r="H965" s="82">
        <v>326.25</v>
      </c>
      <c r="I965" s="236">
        <f t="shared" si="15"/>
        <v>1.5627432058026969E-2</v>
      </c>
    </row>
    <row r="966" spans="1:9" ht="16">
      <c r="A966" s="132">
        <v>42950</v>
      </c>
      <c r="B966" s="79">
        <v>2.81</v>
      </c>
      <c r="E966" s="81"/>
      <c r="F966" s="82"/>
      <c r="G966" s="81">
        <v>42970</v>
      </c>
      <c r="H966" s="82">
        <v>333.81</v>
      </c>
      <c r="I966" s="236">
        <f t="shared" si="15"/>
        <v>2.317241379310353E-2</v>
      </c>
    </row>
    <row r="967" spans="1:9" ht="16">
      <c r="A967" s="132">
        <v>42951</v>
      </c>
      <c r="B967" s="79">
        <v>2.82</v>
      </c>
      <c r="E967" s="81"/>
      <c r="F967" s="82"/>
      <c r="G967" s="81">
        <v>42971</v>
      </c>
      <c r="H967" s="82">
        <v>335.47</v>
      </c>
      <c r="I967" s="236">
        <f t="shared" si="15"/>
        <v>4.9728887690603241E-3</v>
      </c>
    </row>
    <row r="968" spans="1:9" ht="16">
      <c r="A968" s="132">
        <v>42952</v>
      </c>
      <c r="B968" s="79">
        <v>2.84</v>
      </c>
      <c r="E968" s="81"/>
      <c r="F968" s="82"/>
      <c r="G968" s="81">
        <v>42972</v>
      </c>
      <c r="H968" s="82">
        <v>333.09</v>
      </c>
      <c r="I968" s="236">
        <f t="shared" si="15"/>
        <v>-7.0945241005158088E-3</v>
      </c>
    </row>
    <row r="969" spans="1:9" ht="16">
      <c r="A969" s="132">
        <v>42955</v>
      </c>
      <c r="B969" s="79">
        <v>2.86</v>
      </c>
      <c r="E969" s="81"/>
      <c r="F969" s="82"/>
      <c r="G969" s="81">
        <v>42973</v>
      </c>
      <c r="H969" s="82">
        <v>335.25</v>
      </c>
      <c r="I969" s="236">
        <f t="shared" si="15"/>
        <v>6.4847338557147971E-3</v>
      </c>
    </row>
    <row r="970" spans="1:9" ht="16">
      <c r="A970" s="132">
        <v>42956</v>
      </c>
      <c r="B970" s="79">
        <v>2.87</v>
      </c>
      <c r="E970" s="81"/>
      <c r="F970" s="82"/>
      <c r="G970" s="81">
        <v>42976</v>
      </c>
      <c r="H970" s="82">
        <v>338.88</v>
      </c>
      <c r="I970" s="236">
        <f t="shared" si="15"/>
        <v>1.0827740492169946E-2</v>
      </c>
    </row>
    <row r="971" spans="1:9" ht="16">
      <c r="A971" s="132">
        <v>42957</v>
      </c>
      <c r="B971" s="79">
        <v>2.87</v>
      </c>
      <c r="E971" s="81"/>
      <c r="F971" s="82"/>
      <c r="G971" s="81">
        <v>42977</v>
      </c>
      <c r="H971" s="82">
        <v>343.62</v>
      </c>
      <c r="I971" s="236">
        <f t="shared" si="15"/>
        <v>1.3987252124646021E-2</v>
      </c>
    </row>
    <row r="972" spans="1:9" ht="16">
      <c r="A972" s="132">
        <v>42958</v>
      </c>
      <c r="B972" s="79">
        <v>2.86</v>
      </c>
      <c r="E972" s="81"/>
      <c r="F972" s="82"/>
      <c r="G972" s="81">
        <v>42978</v>
      </c>
      <c r="H972" s="82">
        <v>345.15</v>
      </c>
      <c r="I972" s="236">
        <f t="shared" si="15"/>
        <v>4.4525929806180642E-3</v>
      </c>
    </row>
    <row r="973" spans="1:9" ht="16">
      <c r="A973" s="132">
        <v>42959</v>
      </c>
      <c r="B973" s="79">
        <v>2.86</v>
      </c>
      <c r="E973" s="81"/>
      <c r="F973" s="82"/>
      <c r="G973" s="81">
        <v>42979</v>
      </c>
      <c r="H973" s="82">
        <v>345.18</v>
      </c>
      <c r="I973" s="236">
        <f t="shared" si="15"/>
        <v>8.6918730986651482E-5</v>
      </c>
    </row>
    <row r="974" spans="1:9" ht="16">
      <c r="A974" s="132">
        <v>42962</v>
      </c>
      <c r="B974" s="79">
        <v>2.84</v>
      </c>
      <c r="E974" s="81"/>
      <c r="F974" s="82"/>
      <c r="G974" s="81">
        <v>42980</v>
      </c>
      <c r="H974" s="82">
        <v>346.12</v>
      </c>
      <c r="I974" s="236">
        <f t="shared" si="15"/>
        <v>2.7232168723565486E-3</v>
      </c>
    </row>
    <row r="975" spans="1:9" ht="16">
      <c r="A975" s="132">
        <v>42963</v>
      </c>
      <c r="B975" s="79">
        <v>2.83</v>
      </c>
      <c r="E975" s="81"/>
      <c r="F975" s="82"/>
      <c r="G975" s="81">
        <v>42983</v>
      </c>
      <c r="H975" s="82">
        <v>347.97</v>
      </c>
      <c r="I975" s="236">
        <f t="shared" si="15"/>
        <v>5.3449670634462265E-3</v>
      </c>
    </row>
    <row r="976" spans="1:9" ht="16">
      <c r="A976" s="132">
        <v>42964</v>
      </c>
      <c r="B976" s="79">
        <v>2.83</v>
      </c>
      <c r="E976" s="81"/>
      <c r="F976" s="82"/>
      <c r="G976" s="81">
        <v>42984</v>
      </c>
      <c r="H976" s="82">
        <v>348.89</v>
      </c>
      <c r="I976" s="236">
        <f t="shared" ref="I976:I1039" si="16">H976/H975-1</f>
        <v>2.6439060838576722E-3</v>
      </c>
    </row>
    <row r="977" spans="1:9" ht="16">
      <c r="A977" s="132">
        <v>42965</v>
      </c>
      <c r="B977" s="79">
        <v>2.82</v>
      </c>
      <c r="E977" s="81"/>
      <c r="F977" s="82"/>
      <c r="G977" s="81">
        <v>42985</v>
      </c>
      <c r="H977" s="82">
        <v>345.54</v>
      </c>
      <c r="I977" s="236">
        <f t="shared" si="16"/>
        <v>-9.601880248788941E-3</v>
      </c>
    </row>
    <row r="978" spans="1:9" ht="16">
      <c r="A978" s="132">
        <v>42966</v>
      </c>
      <c r="B978" s="79">
        <v>2.82</v>
      </c>
      <c r="E978" s="81"/>
      <c r="F978" s="82"/>
      <c r="G978" s="81">
        <v>42986</v>
      </c>
      <c r="H978" s="82">
        <v>343.68</v>
      </c>
      <c r="I978" s="236">
        <f t="shared" si="16"/>
        <v>-5.3828789720438142E-3</v>
      </c>
    </row>
    <row r="979" spans="1:9" ht="16">
      <c r="A979" s="132">
        <v>42969</v>
      </c>
      <c r="B979" s="79">
        <v>2.82</v>
      </c>
      <c r="E979" s="81"/>
      <c r="F979" s="82"/>
      <c r="G979" s="81">
        <v>42987</v>
      </c>
      <c r="H979" s="82">
        <v>345.63</v>
      </c>
      <c r="I979" s="236">
        <f t="shared" si="16"/>
        <v>5.6738826815641019E-3</v>
      </c>
    </row>
    <row r="980" spans="1:9" ht="16">
      <c r="A980" s="132">
        <v>42970</v>
      </c>
      <c r="B980" s="79">
        <v>2.8</v>
      </c>
      <c r="E980" s="81"/>
      <c r="F980" s="82"/>
      <c r="G980" s="81">
        <v>42990</v>
      </c>
      <c r="H980" s="82">
        <v>344.47</v>
      </c>
      <c r="I980" s="236">
        <f t="shared" si="16"/>
        <v>-3.3561901455312348E-3</v>
      </c>
    </row>
    <row r="981" spans="1:9" ht="16">
      <c r="A981" s="132">
        <v>42971</v>
      </c>
      <c r="B981" s="79">
        <v>2.81</v>
      </c>
      <c r="E981" s="81"/>
      <c r="F981" s="82"/>
      <c r="G981" s="81">
        <v>42991</v>
      </c>
      <c r="H981" s="82">
        <v>342.42</v>
      </c>
      <c r="I981" s="236">
        <f t="shared" si="16"/>
        <v>-5.9511713647052433E-3</v>
      </c>
    </row>
    <row r="982" spans="1:9" ht="16">
      <c r="A982" s="132">
        <v>42972</v>
      </c>
      <c r="B982" s="79">
        <v>2.8</v>
      </c>
      <c r="E982" s="81"/>
      <c r="F982" s="82"/>
      <c r="G982" s="81">
        <v>42992</v>
      </c>
      <c r="H982" s="82">
        <v>340.71</v>
      </c>
      <c r="I982" s="236">
        <f t="shared" si="16"/>
        <v>-4.9938671806554202E-3</v>
      </c>
    </row>
    <row r="983" spans="1:9" ht="16">
      <c r="A983" s="132">
        <v>42973</v>
      </c>
      <c r="B983" s="79">
        <v>2.79</v>
      </c>
      <c r="E983" s="81"/>
      <c r="F983" s="82"/>
      <c r="G983" s="81">
        <v>42993</v>
      </c>
      <c r="H983" s="82">
        <v>337.88</v>
      </c>
      <c r="I983" s="236">
        <f t="shared" si="16"/>
        <v>-8.3061841448739404E-3</v>
      </c>
    </row>
    <row r="984" spans="1:9" ht="16">
      <c r="A984" s="132">
        <v>42976</v>
      </c>
      <c r="B984" s="79">
        <v>2.76</v>
      </c>
      <c r="E984" s="81"/>
      <c r="F984" s="82"/>
      <c r="G984" s="81">
        <v>42994</v>
      </c>
      <c r="H984" s="82">
        <v>337.68</v>
      </c>
      <c r="I984" s="236">
        <f t="shared" si="16"/>
        <v>-5.9192612761926888E-4</v>
      </c>
    </row>
    <row r="985" spans="1:9" ht="16">
      <c r="A985" s="132">
        <v>42977</v>
      </c>
      <c r="B985" s="79">
        <v>2.75</v>
      </c>
      <c r="E985" s="81"/>
      <c r="F985" s="82"/>
      <c r="G985" s="81">
        <v>42997</v>
      </c>
      <c r="H985" s="82">
        <v>331.06</v>
      </c>
      <c r="I985" s="236">
        <f t="shared" si="16"/>
        <v>-1.9604359156597972E-2</v>
      </c>
    </row>
    <row r="986" spans="1:9" ht="16">
      <c r="A986" s="132">
        <v>42978</v>
      </c>
      <c r="B986" s="79">
        <v>2.76</v>
      </c>
      <c r="E986" s="81"/>
      <c r="F986" s="82"/>
      <c r="G986" s="81">
        <v>42998</v>
      </c>
      <c r="H986" s="82">
        <v>332.2</v>
      </c>
      <c r="I986" s="236">
        <f t="shared" si="16"/>
        <v>3.443484564731536E-3</v>
      </c>
    </row>
    <row r="987" spans="1:9" ht="16">
      <c r="A987" s="132">
        <v>42979</v>
      </c>
      <c r="B987" s="79">
        <v>2.75</v>
      </c>
      <c r="E987" s="81"/>
      <c r="F987" s="82"/>
      <c r="G987" s="81">
        <v>42999</v>
      </c>
      <c r="H987" s="82">
        <v>333.07</v>
      </c>
      <c r="I987" s="236">
        <f t="shared" si="16"/>
        <v>2.6189042745334845E-3</v>
      </c>
    </row>
    <row r="988" spans="1:9" ht="16">
      <c r="A988" s="132">
        <v>42980</v>
      </c>
      <c r="B988" s="79">
        <v>2.74</v>
      </c>
      <c r="E988" s="81"/>
      <c r="F988" s="82"/>
      <c r="G988" s="81">
        <v>43000</v>
      </c>
      <c r="H988" s="82">
        <v>336.36</v>
      </c>
      <c r="I988" s="236">
        <f t="shared" si="16"/>
        <v>9.8778034647371005E-3</v>
      </c>
    </row>
    <row r="989" spans="1:9" ht="16">
      <c r="A989" s="132">
        <v>42983</v>
      </c>
      <c r="B989" s="79">
        <v>2.74</v>
      </c>
      <c r="E989" s="81"/>
      <c r="F989" s="82"/>
      <c r="G989" s="81">
        <v>43001</v>
      </c>
      <c r="H989" s="82">
        <v>334.03</v>
      </c>
      <c r="I989" s="236">
        <f t="shared" si="16"/>
        <v>-6.92710191461543E-3</v>
      </c>
    </row>
    <row r="990" spans="1:9" ht="16">
      <c r="A990" s="132">
        <v>42984</v>
      </c>
      <c r="B990" s="79">
        <v>2.74</v>
      </c>
      <c r="E990" s="81"/>
      <c r="F990" s="82"/>
      <c r="G990" s="81">
        <v>43004</v>
      </c>
      <c r="H990" s="82">
        <v>334.7</v>
      </c>
      <c r="I990" s="236">
        <f t="shared" si="16"/>
        <v>2.005807861569453E-3</v>
      </c>
    </row>
    <row r="991" spans="1:9" ht="16">
      <c r="A991" s="132">
        <v>42985</v>
      </c>
      <c r="B991" s="79">
        <v>2.73</v>
      </c>
      <c r="E991" s="81"/>
      <c r="F991" s="82"/>
      <c r="G991" s="81">
        <v>43005</v>
      </c>
      <c r="H991" s="82">
        <v>332.91</v>
      </c>
      <c r="I991" s="236">
        <f t="shared" si="16"/>
        <v>-5.348072901105394E-3</v>
      </c>
    </row>
    <row r="992" spans="1:9" ht="16">
      <c r="A992" s="132">
        <v>42986</v>
      </c>
      <c r="B992" s="79">
        <v>2.73</v>
      </c>
      <c r="E992" s="81"/>
      <c r="F992" s="82"/>
      <c r="G992" s="81">
        <v>43006</v>
      </c>
      <c r="H992" s="82">
        <v>330.45</v>
      </c>
      <c r="I992" s="236">
        <f t="shared" si="16"/>
        <v>-7.3893845183383711E-3</v>
      </c>
    </row>
    <row r="993" spans="1:9" ht="16">
      <c r="A993" s="132">
        <v>42987</v>
      </c>
      <c r="B993" s="79">
        <v>2.73</v>
      </c>
      <c r="E993" s="81"/>
      <c r="F993" s="82"/>
      <c r="G993" s="81">
        <v>43007</v>
      </c>
      <c r="H993" s="82">
        <v>331.89</v>
      </c>
      <c r="I993" s="236">
        <f t="shared" si="16"/>
        <v>4.3576940535632325E-3</v>
      </c>
    </row>
    <row r="994" spans="1:9" ht="16">
      <c r="A994" s="132">
        <v>42990</v>
      </c>
      <c r="B994" s="79">
        <v>2.72</v>
      </c>
      <c r="E994" s="81"/>
      <c r="F994" s="82"/>
      <c r="G994" s="81">
        <v>43008</v>
      </c>
      <c r="H994" s="82">
        <v>330.75</v>
      </c>
      <c r="I994" s="236">
        <f t="shared" si="16"/>
        <v>-3.4348730000903771E-3</v>
      </c>
    </row>
    <row r="995" spans="1:9" ht="16">
      <c r="A995" s="132">
        <v>42991</v>
      </c>
      <c r="B995" s="79">
        <v>2.71</v>
      </c>
      <c r="E995" s="81"/>
      <c r="F995" s="82"/>
      <c r="G995" s="81">
        <v>43011</v>
      </c>
      <c r="H995" s="82">
        <v>328.07</v>
      </c>
      <c r="I995" s="236">
        <f t="shared" si="16"/>
        <v>-8.1027966742253099E-3</v>
      </c>
    </row>
    <row r="996" spans="1:9" ht="16">
      <c r="A996" s="132">
        <v>42992</v>
      </c>
      <c r="B996" s="79">
        <v>2.7</v>
      </c>
      <c r="E996" s="81"/>
      <c r="F996" s="82"/>
      <c r="G996" s="81">
        <v>43012</v>
      </c>
      <c r="H996" s="82">
        <v>329.39</v>
      </c>
      <c r="I996" s="236">
        <f t="shared" si="16"/>
        <v>4.0235315633858626E-3</v>
      </c>
    </row>
    <row r="997" spans="1:9" ht="16">
      <c r="A997" s="132">
        <v>42993</v>
      </c>
      <c r="B997" s="79">
        <v>2.72</v>
      </c>
      <c r="E997" s="81"/>
      <c r="F997" s="82"/>
      <c r="G997" s="81">
        <v>43013</v>
      </c>
      <c r="H997" s="82">
        <v>327.22000000000003</v>
      </c>
      <c r="I997" s="236">
        <f t="shared" si="16"/>
        <v>-6.5879352742947983E-3</v>
      </c>
    </row>
    <row r="998" spans="1:9" ht="16">
      <c r="A998" s="132">
        <v>42994</v>
      </c>
      <c r="B998" s="79">
        <v>2.74</v>
      </c>
      <c r="E998" s="81"/>
      <c r="F998" s="82"/>
      <c r="G998" s="81">
        <v>43014</v>
      </c>
      <c r="H998" s="82">
        <v>333.88</v>
      </c>
      <c r="I998" s="236">
        <f t="shared" si="16"/>
        <v>2.0353279139416758E-2</v>
      </c>
    </row>
    <row r="999" spans="1:9" ht="16">
      <c r="A999" s="132">
        <v>42997</v>
      </c>
      <c r="B999" s="79">
        <v>2.77</v>
      </c>
      <c r="E999" s="81"/>
      <c r="F999" s="82"/>
      <c r="G999" s="81">
        <v>43015</v>
      </c>
      <c r="H999" s="82">
        <v>334.74</v>
      </c>
      <c r="I999" s="236">
        <f t="shared" si="16"/>
        <v>2.5757757278064286E-3</v>
      </c>
    </row>
    <row r="1000" spans="1:9" ht="16">
      <c r="A1000" s="132">
        <v>42998</v>
      </c>
      <c r="B1000" s="79">
        <v>2.77</v>
      </c>
      <c r="E1000" s="81"/>
      <c r="F1000" s="82"/>
      <c r="G1000" s="81">
        <v>43018</v>
      </c>
      <c r="H1000" s="82">
        <v>335.98</v>
      </c>
      <c r="I1000" s="236">
        <f t="shared" si="16"/>
        <v>3.7043675688595012E-3</v>
      </c>
    </row>
    <row r="1001" spans="1:9" ht="16">
      <c r="A1001" s="132">
        <v>42999</v>
      </c>
      <c r="B1001" s="79">
        <v>2.77</v>
      </c>
      <c r="E1001" s="81"/>
      <c r="F1001" s="82"/>
      <c r="G1001" s="81">
        <v>43019</v>
      </c>
      <c r="H1001" s="82">
        <v>333.96</v>
      </c>
      <c r="I1001" s="236">
        <f t="shared" si="16"/>
        <v>-6.0122626346807984E-3</v>
      </c>
    </row>
    <row r="1002" spans="1:9" ht="16">
      <c r="A1002" s="132">
        <v>43000</v>
      </c>
      <c r="B1002" s="79">
        <v>2.8</v>
      </c>
      <c r="E1002" s="81"/>
      <c r="F1002" s="82"/>
      <c r="G1002" s="81">
        <v>43020</v>
      </c>
      <c r="H1002" s="82">
        <v>335.39</v>
      </c>
      <c r="I1002" s="236">
        <f t="shared" si="16"/>
        <v>4.2819499341237854E-3</v>
      </c>
    </row>
    <row r="1003" spans="1:9" ht="16">
      <c r="A1003" s="132">
        <v>43001</v>
      </c>
      <c r="B1003" s="79">
        <v>2.84</v>
      </c>
      <c r="E1003" s="81"/>
      <c r="F1003" s="82"/>
      <c r="G1003" s="81">
        <v>43021</v>
      </c>
      <c r="H1003" s="82">
        <v>336.43</v>
      </c>
      <c r="I1003" s="236">
        <f t="shared" si="16"/>
        <v>3.100867646620431E-3</v>
      </c>
    </row>
    <row r="1004" spans="1:9" ht="16">
      <c r="A1004" s="132">
        <v>43004</v>
      </c>
      <c r="B1004" s="79">
        <v>2.87</v>
      </c>
      <c r="E1004" s="81"/>
      <c r="F1004" s="82"/>
      <c r="G1004" s="81">
        <v>43022</v>
      </c>
      <c r="H1004" s="82">
        <v>340.73</v>
      </c>
      <c r="I1004" s="236">
        <f t="shared" si="16"/>
        <v>1.2781262075320265E-2</v>
      </c>
    </row>
    <row r="1005" spans="1:9" ht="16">
      <c r="A1005" s="132">
        <v>43005</v>
      </c>
      <c r="B1005" s="79">
        <v>2.92</v>
      </c>
      <c r="E1005" s="81"/>
      <c r="F1005" s="82"/>
      <c r="G1005" s="81">
        <v>43025</v>
      </c>
      <c r="H1005" s="82">
        <v>340.99</v>
      </c>
      <c r="I1005" s="236">
        <f t="shared" si="16"/>
        <v>7.630675314764801E-4</v>
      </c>
    </row>
    <row r="1006" spans="1:9" ht="16">
      <c r="A1006" s="132">
        <v>43006</v>
      </c>
      <c r="B1006" s="79">
        <v>2.93</v>
      </c>
      <c r="E1006" s="81"/>
      <c r="F1006" s="82"/>
      <c r="G1006" s="81">
        <v>43026</v>
      </c>
      <c r="H1006" s="82">
        <v>343.88</v>
      </c>
      <c r="I1006" s="236">
        <f t="shared" si="16"/>
        <v>8.4753218569459943E-3</v>
      </c>
    </row>
    <row r="1007" spans="1:9" ht="16">
      <c r="A1007" s="132">
        <v>43007</v>
      </c>
      <c r="B1007" s="79">
        <v>2.96</v>
      </c>
      <c r="E1007" s="81"/>
      <c r="F1007" s="82"/>
      <c r="G1007" s="81">
        <v>43027</v>
      </c>
      <c r="H1007" s="82">
        <v>344.52</v>
      </c>
      <c r="I1007" s="236">
        <f t="shared" si="16"/>
        <v>1.8611143422122556E-3</v>
      </c>
    </row>
    <row r="1008" spans="1:9" ht="16">
      <c r="A1008" s="132">
        <v>43008</v>
      </c>
      <c r="B1008" s="79">
        <v>2.96</v>
      </c>
      <c r="E1008" s="81"/>
      <c r="F1008" s="82"/>
      <c r="G1008" s="81">
        <v>43028</v>
      </c>
      <c r="H1008" s="82">
        <v>342.55</v>
      </c>
      <c r="I1008" s="236">
        <f t="shared" si="16"/>
        <v>-5.7181005456866663E-3</v>
      </c>
    </row>
    <row r="1009" spans="1:9" ht="16">
      <c r="A1009" s="132">
        <v>43011</v>
      </c>
      <c r="B1009" s="79">
        <v>2.96</v>
      </c>
      <c r="E1009" s="81"/>
      <c r="F1009" s="82"/>
      <c r="G1009" s="81">
        <v>43029</v>
      </c>
      <c r="H1009" s="82">
        <v>342.18</v>
      </c>
      <c r="I1009" s="236">
        <f t="shared" si="16"/>
        <v>-1.0801342869654063E-3</v>
      </c>
    </row>
    <row r="1010" spans="1:9" ht="16">
      <c r="A1010" s="132">
        <v>43012</v>
      </c>
      <c r="B1010" s="79">
        <v>2.99</v>
      </c>
      <c r="E1010" s="81"/>
      <c r="F1010" s="82"/>
      <c r="G1010" s="81">
        <v>43032</v>
      </c>
      <c r="H1010" s="82">
        <v>342.85</v>
      </c>
      <c r="I1010" s="236">
        <f t="shared" si="16"/>
        <v>1.9580337833888795E-3</v>
      </c>
    </row>
    <row r="1011" spans="1:9" ht="16">
      <c r="A1011" s="132">
        <v>43013</v>
      </c>
      <c r="B1011" s="79">
        <v>3.02</v>
      </c>
      <c r="E1011" s="81"/>
      <c r="F1011" s="82"/>
      <c r="G1011" s="81">
        <v>43033</v>
      </c>
      <c r="H1011" s="82">
        <v>342.14</v>
      </c>
      <c r="I1011" s="236">
        <f t="shared" si="16"/>
        <v>-2.0708764765933196E-3</v>
      </c>
    </row>
    <row r="1012" spans="1:9" ht="16">
      <c r="A1012" s="132">
        <v>43014</v>
      </c>
      <c r="B1012" s="79">
        <v>3.03</v>
      </c>
      <c r="E1012" s="81"/>
      <c r="F1012" s="82"/>
      <c r="G1012" s="81">
        <v>43034</v>
      </c>
      <c r="H1012" s="82">
        <v>339.39</v>
      </c>
      <c r="I1012" s="236">
        <f t="shared" si="16"/>
        <v>-8.0376454083124216E-3</v>
      </c>
    </row>
    <row r="1013" spans="1:9" ht="16">
      <c r="A1013" s="132">
        <v>43015</v>
      </c>
      <c r="B1013" s="79">
        <v>3.06</v>
      </c>
      <c r="E1013" s="81"/>
      <c r="F1013" s="82"/>
      <c r="G1013" s="81">
        <v>43035</v>
      </c>
      <c r="H1013" s="82">
        <v>337.29</v>
      </c>
      <c r="I1013" s="236">
        <f t="shared" si="16"/>
        <v>-6.1875718200299357E-3</v>
      </c>
    </row>
    <row r="1014" spans="1:9" ht="16">
      <c r="A1014" s="132">
        <v>43018</v>
      </c>
      <c r="B1014" s="79">
        <v>3.06</v>
      </c>
      <c r="E1014" s="81"/>
      <c r="F1014" s="82"/>
      <c r="G1014" s="81">
        <v>43036</v>
      </c>
      <c r="H1014" s="82">
        <v>334.9</v>
      </c>
      <c r="I1014" s="236">
        <f t="shared" si="16"/>
        <v>-7.0858904800025213E-3</v>
      </c>
    </row>
    <row r="1015" spans="1:9" ht="16">
      <c r="A1015" s="132">
        <v>43019</v>
      </c>
      <c r="B1015" s="79">
        <v>3.1</v>
      </c>
      <c r="E1015" s="81"/>
      <c r="F1015" s="82"/>
      <c r="G1015" s="81">
        <v>43039</v>
      </c>
      <c r="H1015" s="82">
        <v>335.97</v>
      </c>
      <c r="I1015" s="236">
        <f t="shared" si="16"/>
        <v>3.1949835771873936E-3</v>
      </c>
    </row>
    <row r="1016" spans="1:9" ht="16">
      <c r="A1016" s="132">
        <v>43020</v>
      </c>
      <c r="B1016" s="79">
        <v>3.09</v>
      </c>
      <c r="E1016" s="81"/>
      <c r="F1016" s="82"/>
      <c r="G1016" s="81">
        <v>43040</v>
      </c>
      <c r="H1016" s="82">
        <v>334.32</v>
      </c>
      <c r="I1016" s="236">
        <f t="shared" si="16"/>
        <v>-4.9111527814984512E-3</v>
      </c>
    </row>
    <row r="1017" spans="1:9" ht="16">
      <c r="A1017" s="132">
        <v>43021</v>
      </c>
      <c r="B1017" s="79">
        <v>3.07</v>
      </c>
      <c r="E1017" s="81"/>
      <c r="F1017" s="82"/>
      <c r="G1017" s="81">
        <v>43041</v>
      </c>
      <c r="H1017" s="82">
        <v>335.12</v>
      </c>
      <c r="I1017" s="236">
        <f t="shared" si="16"/>
        <v>2.3929169657812555E-3</v>
      </c>
    </row>
    <row r="1018" spans="1:9" ht="16">
      <c r="A1018" s="132">
        <v>43022</v>
      </c>
      <c r="B1018" s="79">
        <v>3.08</v>
      </c>
      <c r="E1018" s="81"/>
      <c r="F1018" s="82"/>
      <c r="G1018" s="81">
        <v>43042</v>
      </c>
      <c r="H1018" s="82">
        <v>336.3</v>
      </c>
      <c r="I1018" s="236">
        <f t="shared" si="16"/>
        <v>3.5211267605634866E-3</v>
      </c>
    </row>
    <row r="1019" spans="1:9" ht="16">
      <c r="A1019" s="132">
        <v>43025</v>
      </c>
      <c r="B1019" s="79">
        <v>3.11</v>
      </c>
      <c r="E1019" s="81"/>
      <c r="F1019" s="82"/>
      <c r="G1019" s="81">
        <v>43043</v>
      </c>
      <c r="H1019" s="82">
        <v>335.24</v>
      </c>
      <c r="I1019" s="236">
        <f t="shared" si="16"/>
        <v>-3.1519476657746459E-3</v>
      </c>
    </row>
    <row r="1020" spans="1:9" ht="16">
      <c r="A1020" s="132">
        <v>43026</v>
      </c>
      <c r="B1020" s="79">
        <v>3.09</v>
      </c>
      <c r="E1020" s="81"/>
      <c r="F1020" s="82"/>
      <c r="G1020" s="81">
        <v>43046</v>
      </c>
      <c r="H1020" s="82">
        <v>337.32</v>
      </c>
      <c r="I1020" s="236">
        <f t="shared" si="16"/>
        <v>6.2045102016465847E-3</v>
      </c>
    </row>
    <row r="1021" spans="1:9" ht="16">
      <c r="A1021" s="132">
        <v>43027</v>
      </c>
      <c r="B1021" s="79">
        <v>3.08</v>
      </c>
      <c r="E1021" s="81"/>
      <c r="F1021" s="82"/>
      <c r="G1021" s="81">
        <v>43047</v>
      </c>
      <c r="H1021" s="82">
        <v>338.32</v>
      </c>
      <c r="I1021" s="236">
        <f t="shared" si="16"/>
        <v>2.9645440531247402E-3</v>
      </c>
    </row>
    <row r="1022" spans="1:9" ht="16">
      <c r="A1022" s="132">
        <v>43028</v>
      </c>
      <c r="B1022" s="79">
        <v>3.1</v>
      </c>
      <c r="E1022" s="81"/>
      <c r="F1022" s="82"/>
      <c r="G1022" s="81">
        <v>43048</v>
      </c>
      <c r="H1022" s="82">
        <v>338.97</v>
      </c>
      <c r="I1022" s="236">
        <f t="shared" si="16"/>
        <v>1.9212579806102692E-3</v>
      </c>
    </row>
    <row r="1023" spans="1:9" ht="16">
      <c r="A1023" s="132">
        <v>43029</v>
      </c>
      <c r="B1023" s="79">
        <v>3.12</v>
      </c>
      <c r="E1023" s="81"/>
      <c r="F1023" s="82"/>
      <c r="G1023" s="81">
        <v>43049</v>
      </c>
      <c r="H1023" s="82">
        <v>341.22</v>
      </c>
      <c r="I1023" s="236">
        <f t="shared" si="16"/>
        <v>6.6377555535888089E-3</v>
      </c>
    </row>
    <row r="1024" spans="1:9" ht="16">
      <c r="A1024" s="132">
        <v>43032</v>
      </c>
      <c r="B1024" s="79">
        <v>3.11</v>
      </c>
      <c r="E1024" s="81"/>
      <c r="F1024" s="82"/>
      <c r="G1024" s="81">
        <v>43050</v>
      </c>
      <c r="H1024" s="82">
        <v>341.98</v>
      </c>
      <c r="I1024" s="236">
        <f t="shared" si="16"/>
        <v>2.2273020338783311E-3</v>
      </c>
    </row>
    <row r="1025" spans="1:9" ht="16">
      <c r="A1025" s="132">
        <v>43033</v>
      </c>
      <c r="B1025" s="79">
        <v>3.09</v>
      </c>
      <c r="E1025" s="81"/>
      <c r="F1025" s="82"/>
      <c r="G1025" s="81">
        <v>43053</v>
      </c>
      <c r="H1025" s="82">
        <v>342.06</v>
      </c>
      <c r="I1025" s="236">
        <f t="shared" si="16"/>
        <v>2.339318088777631E-4</v>
      </c>
    </row>
    <row r="1026" spans="1:9" ht="16">
      <c r="A1026" s="132">
        <v>43034</v>
      </c>
      <c r="B1026" s="79">
        <v>3.07</v>
      </c>
      <c r="E1026" s="81"/>
      <c r="F1026" s="82"/>
      <c r="G1026" s="81">
        <v>43054</v>
      </c>
      <c r="H1026" s="82">
        <v>342.54</v>
      </c>
      <c r="I1026" s="236">
        <f t="shared" si="16"/>
        <v>1.4032625855113778E-3</v>
      </c>
    </row>
    <row r="1027" spans="1:9" ht="16">
      <c r="A1027" s="132">
        <v>43035</v>
      </c>
      <c r="B1027" s="79">
        <v>3.06</v>
      </c>
      <c r="E1027" s="81"/>
      <c r="F1027" s="82"/>
      <c r="G1027" s="81">
        <v>43055</v>
      </c>
      <c r="H1027" s="82">
        <v>341.62</v>
      </c>
      <c r="I1027" s="236">
        <f t="shared" si="16"/>
        <v>-2.6858177147195406E-3</v>
      </c>
    </row>
    <row r="1028" spans="1:9" ht="16">
      <c r="A1028" s="132">
        <v>43036</v>
      </c>
      <c r="B1028" s="79">
        <v>3.08</v>
      </c>
      <c r="E1028" s="81"/>
      <c r="F1028" s="82"/>
      <c r="G1028" s="81">
        <v>43056</v>
      </c>
      <c r="H1028" s="82">
        <v>337.38</v>
      </c>
      <c r="I1028" s="236">
        <f t="shared" si="16"/>
        <v>-1.2411451320180289E-2</v>
      </c>
    </row>
    <row r="1029" spans="1:9" ht="16">
      <c r="A1029" s="132">
        <v>43038</v>
      </c>
      <c r="B1029" s="79">
        <v>3.09</v>
      </c>
      <c r="E1029" s="81"/>
      <c r="F1029" s="82"/>
      <c r="G1029" s="81">
        <v>43057</v>
      </c>
      <c r="H1029" s="82">
        <v>337.02</v>
      </c>
      <c r="I1029" s="236">
        <f t="shared" si="16"/>
        <v>-1.0670460608216414E-3</v>
      </c>
    </row>
    <row r="1030" spans="1:9" ht="16">
      <c r="A1030" s="132">
        <v>43039</v>
      </c>
      <c r="B1030" s="79">
        <v>3.11</v>
      </c>
      <c r="E1030" s="81"/>
      <c r="F1030" s="82"/>
      <c r="G1030" s="81">
        <v>43060</v>
      </c>
      <c r="H1030" s="82">
        <v>333.63</v>
      </c>
      <c r="I1030" s="236">
        <f t="shared" si="16"/>
        <v>-1.0058750222538659E-2</v>
      </c>
    </row>
    <row r="1031" spans="1:9" ht="16">
      <c r="A1031" s="132">
        <v>43040</v>
      </c>
      <c r="B1031" s="79">
        <v>3.1</v>
      </c>
      <c r="E1031" s="81"/>
      <c r="F1031" s="82"/>
      <c r="G1031" s="81">
        <v>43061</v>
      </c>
      <c r="H1031" s="82">
        <v>332.5</v>
      </c>
      <c r="I1031" s="236">
        <f t="shared" si="16"/>
        <v>-3.3869855828312367E-3</v>
      </c>
    </row>
    <row r="1032" spans="1:9" ht="16">
      <c r="A1032" s="132">
        <v>43041</v>
      </c>
      <c r="B1032" s="79">
        <v>3.09</v>
      </c>
      <c r="E1032" s="81"/>
      <c r="F1032" s="82"/>
      <c r="G1032" s="81">
        <v>43062</v>
      </c>
      <c r="H1032" s="82">
        <v>332.53</v>
      </c>
      <c r="I1032" s="236">
        <f t="shared" si="16"/>
        <v>9.0225563909696049E-5</v>
      </c>
    </row>
    <row r="1033" spans="1:9" ht="16">
      <c r="A1033" s="132">
        <v>43042</v>
      </c>
      <c r="B1033" s="79">
        <v>3.08</v>
      </c>
      <c r="E1033" s="81"/>
      <c r="F1033" s="82"/>
      <c r="G1033" s="81">
        <v>43063</v>
      </c>
      <c r="H1033" s="82">
        <v>333.41</v>
      </c>
      <c r="I1033" s="236">
        <f t="shared" si="16"/>
        <v>2.6463777704268665E-3</v>
      </c>
    </row>
    <row r="1034" spans="1:9" ht="16">
      <c r="A1034" s="132">
        <v>43043</v>
      </c>
      <c r="B1034" s="79">
        <v>3.06</v>
      </c>
      <c r="E1034" s="81"/>
      <c r="F1034" s="82"/>
      <c r="G1034" s="81">
        <v>43064</v>
      </c>
      <c r="H1034" s="82">
        <v>325.05</v>
      </c>
      <c r="I1034" s="236">
        <f t="shared" si="16"/>
        <v>-2.5074232926426965E-2</v>
      </c>
    </row>
    <row r="1035" spans="1:9" ht="16">
      <c r="A1035" s="132">
        <v>43046</v>
      </c>
      <c r="B1035" s="79">
        <v>3.06</v>
      </c>
      <c r="E1035" s="81"/>
      <c r="F1035" s="82"/>
      <c r="G1035" s="81">
        <v>43067</v>
      </c>
      <c r="H1035" s="82">
        <v>323.91000000000003</v>
      </c>
      <c r="I1035" s="236">
        <f t="shared" si="16"/>
        <v>-3.5071527457314344E-3</v>
      </c>
    </row>
    <row r="1036" spans="1:9" ht="16">
      <c r="A1036" s="132">
        <v>43047</v>
      </c>
      <c r="B1036" s="79">
        <v>3.06</v>
      </c>
      <c r="E1036" s="81"/>
      <c r="F1036" s="82"/>
      <c r="G1036" s="81">
        <v>43068</v>
      </c>
      <c r="H1036" s="82">
        <v>322.83999999999997</v>
      </c>
      <c r="I1036" s="236">
        <f t="shared" si="16"/>
        <v>-3.3033867432312736E-3</v>
      </c>
    </row>
    <row r="1037" spans="1:9" ht="16">
      <c r="A1037" s="132">
        <v>43048</v>
      </c>
      <c r="B1037" s="79">
        <v>3.09</v>
      </c>
      <c r="E1037" s="81"/>
      <c r="F1037" s="82"/>
      <c r="G1037" s="81">
        <v>43069</v>
      </c>
      <c r="H1037" s="82">
        <v>324.95999999999998</v>
      </c>
      <c r="I1037" s="236">
        <f t="shared" si="16"/>
        <v>6.5667203568331445E-3</v>
      </c>
    </row>
    <row r="1038" spans="1:9" ht="16">
      <c r="A1038" s="132">
        <v>43049</v>
      </c>
      <c r="B1038" s="79">
        <v>3.09</v>
      </c>
      <c r="E1038" s="81"/>
      <c r="F1038" s="82"/>
      <c r="G1038" s="81">
        <v>43070</v>
      </c>
      <c r="H1038" s="82">
        <v>326.52</v>
      </c>
      <c r="I1038" s="236">
        <f t="shared" si="16"/>
        <v>4.8005908419497256E-3</v>
      </c>
    </row>
    <row r="1039" spans="1:9" ht="16">
      <c r="A1039" s="132">
        <v>43050</v>
      </c>
      <c r="B1039" s="79">
        <v>3.13</v>
      </c>
      <c r="E1039" s="81"/>
      <c r="F1039" s="82"/>
      <c r="G1039" s="81">
        <v>43071</v>
      </c>
      <c r="H1039" s="82">
        <v>323.44</v>
      </c>
      <c r="I1039" s="236">
        <f t="shared" si="16"/>
        <v>-9.4328065662133698E-3</v>
      </c>
    </row>
    <row r="1040" spans="1:9" ht="16">
      <c r="A1040" s="132">
        <v>43053</v>
      </c>
      <c r="B1040" s="79">
        <v>3.11</v>
      </c>
      <c r="E1040" s="81"/>
      <c r="F1040" s="82"/>
      <c r="G1040" s="81">
        <v>43074</v>
      </c>
      <c r="H1040" s="82">
        <v>322.01</v>
      </c>
      <c r="I1040" s="236">
        <f t="shared" ref="I1040:I1103" si="17">H1040/H1039-1</f>
        <v>-4.4212218649517521E-3</v>
      </c>
    </row>
    <row r="1041" spans="1:9" ht="16">
      <c r="A1041" s="132">
        <v>43054</v>
      </c>
      <c r="B1041" s="79">
        <v>3.14</v>
      </c>
      <c r="E1041" s="81"/>
      <c r="F1041" s="82"/>
      <c r="G1041" s="81">
        <v>43075</v>
      </c>
      <c r="H1041" s="82">
        <v>326.63</v>
      </c>
      <c r="I1041" s="236">
        <f t="shared" si="17"/>
        <v>1.4347380516133157E-2</v>
      </c>
    </row>
    <row r="1042" spans="1:9" ht="16">
      <c r="A1042" s="132">
        <v>43055</v>
      </c>
      <c r="B1042" s="79">
        <v>3.13</v>
      </c>
      <c r="E1042" s="81"/>
      <c r="F1042" s="82"/>
      <c r="G1042" s="81">
        <v>43076</v>
      </c>
      <c r="H1042" s="82">
        <v>328.96</v>
      </c>
      <c r="I1042" s="236">
        <f t="shared" si="17"/>
        <v>7.1334537550131749E-3</v>
      </c>
    </row>
    <row r="1043" spans="1:9" ht="16">
      <c r="A1043" s="132">
        <v>43056</v>
      </c>
      <c r="B1043" s="79">
        <v>3.11</v>
      </c>
      <c r="E1043" s="81"/>
      <c r="F1043" s="82"/>
      <c r="G1043" s="81">
        <v>43077</v>
      </c>
      <c r="H1043" s="82">
        <v>329.87</v>
      </c>
      <c r="I1043" s="236">
        <f t="shared" si="17"/>
        <v>2.7662937743191396E-3</v>
      </c>
    </row>
    <row r="1044" spans="1:9" ht="16">
      <c r="A1044" s="132">
        <v>43057</v>
      </c>
      <c r="B1044" s="79">
        <v>3.09</v>
      </c>
      <c r="E1044" s="81"/>
      <c r="F1044" s="82"/>
      <c r="G1044" s="81">
        <v>43078</v>
      </c>
      <c r="H1044" s="82">
        <v>328.36</v>
      </c>
      <c r="I1044" s="236">
        <f t="shared" si="17"/>
        <v>-4.5775608573074278E-3</v>
      </c>
    </row>
    <row r="1045" spans="1:9" ht="16">
      <c r="A1045" s="132">
        <v>43060</v>
      </c>
      <c r="B1045" s="79">
        <v>3.1</v>
      </c>
      <c r="E1045" s="81"/>
      <c r="F1045" s="82"/>
      <c r="G1045" s="81">
        <v>43081</v>
      </c>
      <c r="H1045" s="82">
        <v>326.16000000000003</v>
      </c>
      <c r="I1045" s="236">
        <f t="shared" si="17"/>
        <v>-6.6999634547447728E-3</v>
      </c>
    </row>
    <row r="1046" spans="1:9" ht="16">
      <c r="A1046" s="132">
        <v>43061</v>
      </c>
      <c r="B1046" s="79">
        <v>3.16</v>
      </c>
      <c r="E1046" s="81"/>
      <c r="F1046" s="82"/>
      <c r="G1046" s="81">
        <v>43082</v>
      </c>
      <c r="H1046" s="82">
        <v>324.17</v>
      </c>
      <c r="I1046" s="236">
        <f t="shared" si="17"/>
        <v>-6.101299975472152E-3</v>
      </c>
    </row>
    <row r="1047" spans="1:9" ht="16">
      <c r="A1047" s="132">
        <v>43062</v>
      </c>
      <c r="B1047" s="79">
        <v>3.17</v>
      </c>
      <c r="E1047" s="81"/>
      <c r="F1047" s="82"/>
      <c r="G1047" s="81">
        <v>43083</v>
      </c>
      <c r="H1047" s="82">
        <v>321.58999999999997</v>
      </c>
      <c r="I1047" s="236">
        <f t="shared" si="17"/>
        <v>-7.9587870561743657E-3</v>
      </c>
    </row>
    <row r="1048" spans="1:9" ht="16">
      <c r="A1048" s="132">
        <v>43063</v>
      </c>
      <c r="B1048" s="79">
        <v>3.17</v>
      </c>
      <c r="E1048" s="81"/>
      <c r="F1048" s="82"/>
      <c r="G1048" s="81">
        <v>43084</v>
      </c>
      <c r="H1048" s="82">
        <v>323.85000000000002</v>
      </c>
      <c r="I1048" s="236">
        <f t="shared" si="17"/>
        <v>7.0275817034113341E-3</v>
      </c>
    </row>
    <row r="1049" spans="1:9" ht="16">
      <c r="A1049" s="132">
        <v>43064</v>
      </c>
      <c r="B1049" s="79">
        <v>3.14</v>
      </c>
      <c r="E1049" s="81"/>
      <c r="F1049" s="82"/>
      <c r="G1049" s="81">
        <v>43085</v>
      </c>
      <c r="H1049" s="82">
        <v>321.5</v>
      </c>
      <c r="I1049" s="236">
        <f t="shared" si="17"/>
        <v>-7.256445885440832E-3</v>
      </c>
    </row>
    <row r="1050" spans="1:9" ht="16">
      <c r="A1050" s="132">
        <v>43067</v>
      </c>
      <c r="B1050" s="79">
        <v>3.16</v>
      </c>
      <c r="E1050" s="81"/>
      <c r="F1050" s="82"/>
      <c r="G1050" s="81">
        <v>43088</v>
      </c>
      <c r="H1050" s="82">
        <v>314.64</v>
      </c>
      <c r="I1050" s="236">
        <f t="shared" si="17"/>
        <v>-2.133748055987561E-2</v>
      </c>
    </row>
    <row r="1051" spans="1:9" ht="16">
      <c r="A1051" s="132">
        <v>43068</v>
      </c>
      <c r="B1051" s="79">
        <v>3.13</v>
      </c>
      <c r="E1051" s="81"/>
      <c r="F1051" s="82"/>
      <c r="G1051" s="81">
        <v>43089</v>
      </c>
      <c r="H1051" s="82">
        <v>319.60000000000002</v>
      </c>
      <c r="I1051" s="236">
        <f t="shared" si="17"/>
        <v>1.5764047800661096E-2</v>
      </c>
    </row>
    <row r="1052" spans="1:9" ht="16">
      <c r="A1052" s="132">
        <v>43069</v>
      </c>
      <c r="B1052" s="79">
        <v>3.16</v>
      </c>
      <c r="E1052" s="81"/>
      <c r="F1052" s="82"/>
      <c r="G1052" s="81">
        <v>43090</v>
      </c>
      <c r="H1052" s="82">
        <v>320.72000000000003</v>
      </c>
      <c r="I1052" s="236">
        <f t="shared" si="17"/>
        <v>3.5043804755945374E-3</v>
      </c>
    </row>
    <row r="1053" spans="1:9" ht="16">
      <c r="A1053" s="132">
        <v>43070</v>
      </c>
      <c r="B1053" s="79">
        <v>3.14</v>
      </c>
      <c r="E1053" s="81"/>
      <c r="F1053" s="82"/>
      <c r="G1053" s="81">
        <v>43091</v>
      </c>
      <c r="H1053" s="82">
        <v>323.51</v>
      </c>
      <c r="I1053" s="236">
        <f t="shared" si="17"/>
        <v>8.6991768520827684E-3</v>
      </c>
    </row>
    <row r="1054" spans="1:9" ht="16">
      <c r="A1054" s="132">
        <v>43071</v>
      </c>
      <c r="B1054" s="79">
        <v>3.14</v>
      </c>
      <c r="E1054" s="81"/>
      <c r="F1054" s="82"/>
      <c r="G1054" s="81">
        <v>43092</v>
      </c>
      <c r="H1054" s="82">
        <v>323.61</v>
      </c>
      <c r="I1054" s="236">
        <f t="shared" si="17"/>
        <v>3.0910945565842951E-4</v>
      </c>
    </row>
    <row r="1055" spans="1:9" ht="16">
      <c r="A1055" s="132">
        <v>43074</v>
      </c>
      <c r="B1055" s="79">
        <v>3.13</v>
      </c>
      <c r="E1055" s="81"/>
      <c r="F1055" s="82"/>
      <c r="G1055" s="81">
        <v>43095</v>
      </c>
      <c r="H1055" s="82">
        <v>324.19</v>
      </c>
      <c r="I1055" s="236">
        <f t="shared" si="17"/>
        <v>1.7922808318655559E-3</v>
      </c>
    </row>
    <row r="1056" spans="1:9" ht="16">
      <c r="A1056" s="132">
        <v>43075</v>
      </c>
      <c r="B1056" s="79">
        <v>3.12</v>
      </c>
      <c r="E1056" s="81"/>
      <c r="F1056" s="82"/>
      <c r="G1056" s="81">
        <v>43096</v>
      </c>
      <c r="H1056" s="82">
        <v>324.95</v>
      </c>
      <c r="I1056" s="236">
        <f t="shared" si="17"/>
        <v>2.3443042660167279E-3</v>
      </c>
    </row>
    <row r="1057" spans="1:9" ht="16">
      <c r="A1057" s="132">
        <v>43076</v>
      </c>
      <c r="B1057" s="79">
        <v>3.13</v>
      </c>
      <c r="E1057" s="81"/>
      <c r="F1057" s="82"/>
      <c r="G1057" s="81">
        <v>43097</v>
      </c>
      <c r="H1057" s="82">
        <v>322.89999999999998</v>
      </c>
      <c r="I1057" s="236">
        <f t="shared" si="17"/>
        <v>-6.3086628712110127E-3</v>
      </c>
    </row>
    <row r="1058" spans="1:9" ht="16">
      <c r="A1058" s="132">
        <v>43077</v>
      </c>
      <c r="B1058" s="79">
        <v>3.13</v>
      </c>
      <c r="E1058" s="81"/>
      <c r="F1058" s="82"/>
      <c r="G1058" s="81">
        <v>43098</v>
      </c>
      <c r="H1058" s="82">
        <v>325.86</v>
      </c>
      <c r="I1058" s="236">
        <f t="shared" si="17"/>
        <v>9.16692474450298E-3</v>
      </c>
    </row>
    <row r="1059" spans="1:9" ht="16">
      <c r="A1059" s="132">
        <v>43078</v>
      </c>
      <c r="B1059" s="79">
        <v>3.14</v>
      </c>
      <c r="E1059" s="81"/>
      <c r="F1059" s="82"/>
      <c r="G1059" s="81">
        <v>43099</v>
      </c>
      <c r="H1059" s="82">
        <v>327.39</v>
      </c>
      <c r="I1059" s="236">
        <f t="shared" si="17"/>
        <v>4.6952679064629077E-3</v>
      </c>
    </row>
    <row r="1060" spans="1:9" ht="16">
      <c r="A1060" s="132">
        <v>43081</v>
      </c>
      <c r="B1060" s="79">
        <v>3.13</v>
      </c>
      <c r="E1060" s="81"/>
      <c r="F1060" s="82"/>
      <c r="G1060" s="81">
        <v>43102</v>
      </c>
      <c r="H1060" s="82">
        <v>328.07</v>
      </c>
      <c r="I1060" s="236">
        <f t="shared" si="17"/>
        <v>2.0770335074375978E-3</v>
      </c>
    </row>
    <row r="1061" spans="1:9" ht="16">
      <c r="A1061" s="132">
        <v>43082</v>
      </c>
      <c r="B1061" s="79">
        <v>3.11</v>
      </c>
      <c r="E1061" s="81"/>
      <c r="F1061" s="82"/>
      <c r="G1061" s="81">
        <v>43103</v>
      </c>
      <c r="H1061" s="82">
        <v>327.93</v>
      </c>
      <c r="I1061" s="236">
        <f t="shared" si="17"/>
        <v>-4.2673819611660502E-4</v>
      </c>
    </row>
    <row r="1062" spans="1:9" ht="16">
      <c r="A1062" s="132">
        <v>43083</v>
      </c>
      <c r="B1062" s="79">
        <v>3.07</v>
      </c>
      <c r="E1062" s="81"/>
      <c r="F1062" s="82"/>
      <c r="G1062" s="81">
        <v>43104</v>
      </c>
      <c r="H1062" s="82">
        <v>325.45999999999998</v>
      </c>
      <c r="I1062" s="236">
        <f t="shared" si="17"/>
        <v>-7.5320952642332628E-3</v>
      </c>
    </row>
    <row r="1063" spans="1:9" ht="16">
      <c r="A1063" s="132">
        <v>43084</v>
      </c>
      <c r="B1063" s="79">
        <v>3.06</v>
      </c>
      <c r="E1063" s="81"/>
      <c r="F1063" s="82"/>
      <c r="G1063" s="81">
        <v>43105</v>
      </c>
      <c r="H1063" s="82">
        <v>324.43</v>
      </c>
      <c r="I1063" s="236">
        <f t="shared" si="17"/>
        <v>-3.164751428746948E-3</v>
      </c>
    </row>
    <row r="1064" spans="1:9" ht="16">
      <c r="A1064" s="132">
        <v>43085</v>
      </c>
      <c r="B1064" s="79">
        <v>3.06</v>
      </c>
      <c r="E1064" s="81"/>
      <c r="F1064" s="82"/>
      <c r="G1064" s="81">
        <v>43106</v>
      </c>
      <c r="H1064" s="82">
        <v>325.81</v>
      </c>
      <c r="I1064" s="236">
        <f t="shared" si="17"/>
        <v>4.2536140307616321E-3</v>
      </c>
    </row>
    <row r="1065" spans="1:9" ht="16">
      <c r="A1065" s="132">
        <v>43088</v>
      </c>
      <c r="B1065" s="79">
        <v>3.06</v>
      </c>
      <c r="E1065" s="81"/>
      <c r="F1065" s="82"/>
      <c r="G1065" s="81">
        <v>43109</v>
      </c>
      <c r="H1065" s="82">
        <v>328.12</v>
      </c>
      <c r="I1065" s="236">
        <f t="shared" si="17"/>
        <v>7.0900217918419273E-3</v>
      </c>
    </row>
    <row r="1066" spans="1:9" ht="16">
      <c r="A1066" s="132">
        <v>43089</v>
      </c>
      <c r="B1066" s="79">
        <v>3.08</v>
      </c>
      <c r="E1066" s="81"/>
      <c r="F1066" s="82"/>
      <c r="G1066" s="81">
        <v>43110</v>
      </c>
      <c r="H1066" s="82">
        <v>330.92</v>
      </c>
      <c r="I1066" s="236">
        <f t="shared" si="17"/>
        <v>8.5334633670608451E-3</v>
      </c>
    </row>
    <row r="1067" spans="1:9" ht="16">
      <c r="A1067" s="132">
        <v>43090</v>
      </c>
      <c r="B1067" s="79">
        <v>3.09</v>
      </c>
      <c r="E1067" s="81"/>
      <c r="F1067" s="82"/>
      <c r="G1067" s="81">
        <v>43111</v>
      </c>
      <c r="H1067" s="82">
        <v>336.3</v>
      </c>
      <c r="I1067" s="236">
        <f t="shared" si="17"/>
        <v>1.6257705789918919E-2</v>
      </c>
    </row>
    <row r="1068" spans="1:9" ht="16">
      <c r="A1068" s="132">
        <v>43091</v>
      </c>
      <c r="B1068" s="79">
        <v>3.1</v>
      </c>
      <c r="E1068" s="81"/>
      <c r="F1068" s="82"/>
      <c r="G1068" s="81">
        <v>43112</v>
      </c>
      <c r="H1068" s="82">
        <v>334.62</v>
      </c>
      <c r="I1068" s="236">
        <f t="shared" si="17"/>
        <v>-4.9955396966994137E-3</v>
      </c>
    </row>
    <row r="1069" spans="1:9" ht="16">
      <c r="A1069" s="132">
        <v>43092</v>
      </c>
      <c r="B1069" s="209">
        <v>3.1</v>
      </c>
      <c r="E1069" s="81"/>
      <c r="F1069" s="82"/>
      <c r="G1069" s="81">
        <v>43113</v>
      </c>
      <c r="H1069" s="82">
        <v>333.92</v>
      </c>
      <c r="I1069" s="236">
        <f t="shared" si="17"/>
        <v>-2.0919251688482632E-3</v>
      </c>
    </row>
    <row r="1070" spans="1:9" ht="16">
      <c r="A1070" s="132">
        <v>43095</v>
      </c>
      <c r="B1070" s="79">
        <v>3.1</v>
      </c>
      <c r="E1070" s="81"/>
      <c r="F1070" s="82"/>
      <c r="G1070" s="81">
        <v>43116</v>
      </c>
      <c r="H1070" s="82">
        <v>334.06</v>
      </c>
      <c r="I1070" s="236">
        <f t="shared" si="17"/>
        <v>4.192620987062412E-4</v>
      </c>
    </row>
    <row r="1071" spans="1:9" ht="16">
      <c r="A1071" s="132">
        <v>43096</v>
      </c>
      <c r="B1071" s="79">
        <v>3.1</v>
      </c>
      <c r="E1071" s="81"/>
      <c r="F1071" s="82"/>
      <c r="G1071" s="81">
        <v>43117</v>
      </c>
      <c r="H1071" s="82">
        <v>330.6</v>
      </c>
      <c r="I1071" s="236">
        <f t="shared" si="17"/>
        <v>-1.0357420822606711E-2</v>
      </c>
    </row>
    <row r="1072" spans="1:9" ht="16">
      <c r="A1072" s="132">
        <v>43097</v>
      </c>
      <c r="B1072" s="79">
        <v>3.1</v>
      </c>
      <c r="E1072" s="81"/>
      <c r="F1072" s="82"/>
      <c r="G1072" s="81">
        <v>43118</v>
      </c>
      <c r="H1072" s="82">
        <v>330.67</v>
      </c>
      <c r="I1072" s="236">
        <f t="shared" si="17"/>
        <v>2.1173623714454415E-4</v>
      </c>
    </row>
    <row r="1073" spans="1:9" ht="16">
      <c r="A1073" s="132">
        <v>43098</v>
      </c>
      <c r="B1073" s="79">
        <v>3.11</v>
      </c>
      <c r="E1073" s="81"/>
      <c r="F1073" s="82"/>
      <c r="G1073" s="81">
        <v>43119</v>
      </c>
      <c r="H1073" s="82">
        <v>334.27</v>
      </c>
      <c r="I1073" s="236">
        <f t="shared" si="17"/>
        <v>1.0886987026340389E-2</v>
      </c>
    </row>
    <row r="1074" spans="1:9" ht="16">
      <c r="A1074" s="132">
        <v>43099</v>
      </c>
      <c r="B1074" s="79">
        <v>3.1</v>
      </c>
      <c r="E1074" s="81"/>
      <c r="F1074" s="82"/>
      <c r="G1074" s="81">
        <v>43120</v>
      </c>
      <c r="H1074" s="82">
        <v>330.67</v>
      </c>
      <c r="I1074" s="236">
        <f t="shared" si="17"/>
        <v>-1.0769737038920479E-2</v>
      </c>
    </row>
    <row r="1075" spans="1:9" ht="16">
      <c r="A1075" s="132">
        <v>43102</v>
      </c>
      <c r="B1075" s="79">
        <v>3.11</v>
      </c>
      <c r="E1075" s="81"/>
      <c r="F1075" s="82"/>
      <c r="G1075" s="81">
        <v>43123</v>
      </c>
      <c r="H1075" s="82">
        <v>325.07</v>
      </c>
      <c r="I1075" s="236">
        <f t="shared" si="17"/>
        <v>-1.6935313152085185E-2</v>
      </c>
    </row>
    <row r="1076" spans="1:9" ht="16">
      <c r="A1076" s="132">
        <v>43103</v>
      </c>
      <c r="B1076" s="79">
        <v>3.15</v>
      </c>
      <c r="E1076" s="81"/>
      <c r="F1076" s="82"/>
      <c r="G1076" s="81">
        <v>43124</v>
      </c>
      <c r="H1076" s="82">
        <v>322.73</v>
      </c>
      <c r="I1076" s="236">
        <f t="shared" si="17"/>
        <v>-7.198449564709053E-3</v>
      </c>
    </row>
    <row r="1077" spans="1:9" ht="16">
      <c r="A1077" s="132">
        <v>43104</v>
      </c>
      <c r="B1077" s="79">
        <v>3.16</v>
      </c>
      <c r="E1077" s="81"/>
      <c r="F1077" s="82"/>
      <c r="G1077" s="81">
        <v>43125</v>
      </c>
      <c r="H1077" s="82">
        <v>322.88</v>
      </c>
      <c r="I1077" s="236">
        <f t="shared" si="17"/>
        <v>4.647848046352987E-4</v>
      </c>
    </row>
    <row r="1078" spans="1:9" ht="16">
      <c r="A1078" s="132">
        <v>43105</v>
      </c>
      <c r="B1078" s="79">
        <v>3.22</v>
      </c>
      <c r="E1078" s="81"/>
      <c r="F1078" s="82"/>
      <c r="G1078" s="81">
        <v>43126</v>
      </c>
      <c r="H1078" s="82">
        <v>319.26</v>
      </c>
      <c r="I1078" s="236">
        <f t="shared" si="17"/>
        <v>-1.1211595639246785E-2</v>
      </c>
    </row>
    <row r="1079" spans="1:9" ht="16">
      <c r="A1079" s="132">
        <v>43106</v>
      </c>
      <c r="B1079" s="79">
        <v>3.24</v>
      </c>
      <c r="E1079" s="81"/>
      <c r="F1079" s="82"/>
      <c r="G1079" s="81">
        <v>43127</v>
      </c>
      <c r="H1079" s="82">
        <v>318.61</v>
      </c>
      <c r="I1079" s="236">
        <f t="shared" si="17"/>
        <v>-2.0359581532293225E-3</v>
      </c>
    </row>
    <row r="1080" spans="1:9" ht="16">
      <c r="A1080" s="132">
        <v>43109</v>
      </c>
      <c r="B1080" s="79">
        <v>3.28</v>
      </c>
      <c r="E1080" s="81"/>
      <c r="F1080" s="82"/>
      <c r="G1080" s="81">
        <v>43130</v>
      </c>
      <c r="H1080" s="82">
        <v>324.16000000000003</v>
      </c>
      <c r="I1080" s="236">
        <f t="shared" si="17"/>
        <v>1.7419415586453768E-2</v>
      </c>
    </row>
    <row r="1081" spans="1:9" ht="16">
      <c r="A1081" s="132">
        <v>43110</v>
      </c>
      <c r="B1081" s="79">
        <v>3.27</v>
      </c>
      <c r="E1081" s="81"/>
      <c r="F1081" s="82"/>
      <c r="G1081" s="81">
        <v>43131</v>
      </c>
      <c r="H1081" s="82">
        <v>325.95999999999998</v>
      </c>
      <c r="I1081" s="236">
        <f t="shared" si="17"/>
        <v>5.5528134254687611E-3</v>
      </c>
    </row>
    <row r="1082" spans="1:9" ht="16">
      <c r="A1082" s="132">
        <v>43111</v>
      </c>
      <c r="B1082" s="79">
        <v>3.27</v>
      </c>
      <c r="E1082" s="81"/>
      <c r="F1082" s="82"/>
      <c r="G1082" s="81">
        <v>43132</v>
      </c>
      <c r="H1082" s="82">
        <v>325.51</v>
      </c>
      <c r="I1082" s="236">
        <f t="shared" si="17"/>
        <v>-1.3805374892624789E-3</v>
      </c>
    </row>
    <row r="1083" spans="1:9" ht="16">
      <c r="A1083" s="132">
        <v>43112</v>
      </c>
      <c r="B1083" s="79">
        <v>3.29</v>
      </c>
      <c r="E1083" s="81"/>
      <c r="F1083" s="82"/>
      <c r="G1083" s="81">
        <v>43133</v>
      </c>
      <c r="H1083" s="82">
        <v>324.19</v>
      </c>
      <c r="I1083" s="236">
        <f t="shared" si="17"/>
        <v>-4.0551749562225403E-3</v>
      </c>
    </row>
    <row r="1084" spans="1:9" ht="16">
      <c r="A1084" s="132">
        <v>43113</v>
      </c>
      <c r="B1084" s="79">
        <v>3.32</v>
      </c>
      <c r="E1084" s="81"/>
      <c r="F1084" s="82"/>
      <c r="G1084" s="81">
        <v>43134</v>
      </c>
      <c r="H1084" s="82">
        <v>325.60000000000002</v>
      </c>
      <c r="I1084" s="236">
        <f t="shared" si="17"/>
        <v>4.3493013356366017E-3</v>
      </c>
    </row>
    <row r="1085" spans="1:9" ht="16">
      <c r="A1085" s="132">
        <v>43116</v>
      </c>
      <c r="B1085" s="79">
        <v>3.32</v>
      </c>
      <c r="E1085" s="81"/>
      <c r="F1085" s="82"/>
      <c r="G1085" s="81">
        <v>43137</v>
      </c>
      <c r="H1085" s="82">
        <v>325.87</v>
      </c>
      <c r="I1085" s="236">
        <f t="shared" si="17"/>
        <v>8.292383292383132E-4</v>
      </c>
    </row>
    <row r="1086" spans="1:9" ht="16">
      <c r="A1086" s="132">
        <v>43117</v>
      </c>
      <c r="B1086" s="79">
        <v>3.44</v>
      </c>
      <c r="E1086" s="81"/>
      <c r="F1086" s="82"/>
      <c r="G1086" s="81">
        <v>43138</v>
      </c>
      <c r="H1086" s="82">
        <v>327.07</v>
      </c>
      <c r="I1086" s="236">
        <f t="shared" si="17"/>
        <v>3.6824500567711471E-3</v>
      </c>
    </row>
    <row r="1087" spans="1:9" ht="16">
      <c r="A1087" s="132">
        <v>43118</v>
      </c>
      <c r="B1087" s="79">
        <v>3.45</v>
      </c>
      <c r="E1087" s="81"/>
      <c r="F1087" s="82"/>
      <c r="G1087" s="81">
        <v>43139</v>
      </c>
      <c r="H1087" s="82">
        <v>331.92</v>
      </c>
      <c r="I1087" s="236">
        <f t="shared" si="17"/>
        <v>1.4828629956890049E-2</v>
      </c>
    </row>
    <row r="1088" spans="1:9" ht="16">
      <c r="A1088" s="132">
        <v>43119</v>
      </c>
      <c r="B1088" s="79">
        <v>3.43</v>
      </c>
      <c r="E1088" s="81"/>
      <c r="F1088" s="82"/>
      <c r="G1088" s="81">
        <v>43140</v>
      </c>
      <c r="H1088" s="82">
        <v>333.71</v>
      </c>
      <c r="I1088" s="236">
        <f t="shared" si="17"/>
        <v>5.3928657507831268E-3</v>
      </c>
    </row>
    <row r="1089" spans="1:9" ht="16">
      <c r="A1089" s="132">
        <v>43120</v>
      </c>
      <c r="B1089" s="79">
        <v>3.4</v>
      </c>
      <c r="E1089" s="81"/>
      <c r="F1089" s="82"/>
      <c r="G1089" s="81">
        <v>43141</v>
      </c>
      <c r="H1089" s="82">
        <v>330.42</v>
      </c>
      <c r="I1089" s="236">
        <f t="shared" si="17"/>
        <v>-9.8588594887776271E-3</v>
      </c>
    </row>
    <row r="1090" spans="1:9" ht="16">
      <c r="A1090" s="132">
        <v>43123</v>
      </c>
      <c r="B1090" s="79">
        <v>3.41</v>
      </c>
      <c r="E1090" s="81"/>
      <c r="F1090" s="82"/>
      <c r="G1090" s="81">
        <v>43144</v>
      </c>
      <c r="H1090" s="82">
        <v>325.08</v>
      </c>
      <c r="I1090" s="236">
        <f t="shared" si="17"/>
        <v>-1.616124931904861E-2</v>
      </c>
    </row>
    <row r="1091" spans="1:9" ht="16">
      <c r="A1091" s="132">
        <v>43124</v>
      </c>
      <c r="B1091" s="79">
        <v>3.42</v>
      </c>
      <c r="E1091" s="81"/>
      <c r="F1091" s="82"/>
      <c r="G1091" s="81">
        <v>43145</v>
      </c>
      <c r="H1091" s="82">
        <v>329.02</v>
      </c>
      <c r="I1091" s="236">
        <f t="shared" si="17"/>
        <v>1.2120093515442409E-2</v>
      </c>
    </row>
    <row r="1092" spans="1:9" ht="16">
      <c r="A1092" s="132">
        <v>43125</v>
      </c>
      <c r="B1092" s="79">
        <v>3.42</v>
      </c>
      <c r="E1092" s="81"/>
      <c r="F1092" s="82"/>
      <c r="G1092" s="81">
        <v>43146</v>
      </c>
      <c r="H1092" s="82">
        <v>332.03</v>
      </c>
      <c r="I1092" s="236">
        <f t="shared" si="17"/>
        <v>9.1483800376876978E-3</v>
      </c>
    </row>
    <row r="1093" spans="1:9" ht="16">
      <c r="A1093" s="132">
        <v>43126</v>
      </c>
      <c r="B1093" s="79">
        <v>3.47</v>
      </c>
      <c r="E1093" s="81"/>
      <c r="F1093" s="82"/>
      <c r="G1093" s="81">
        <v>43147</v>
      </c>
      <c r="H1093" s="82">
        <v>331.18</v>
      </c>
      <c r="I1093" s="236">
        <f t="shared" si="17"/>
        <v>-2.5600096376832138E-3</v>
      </c>
    </row>
    <row r="1094" spans="1:9" ht="16">
      <c r="A1094" s="132">
        <v>43127</v>
      </c>
      <c r="B1094" s="79">
        <v>3.48</v>
      </c>
      <c r="E1094" s="81"/>
      <c r="F1094" s="82"/>
      <c r="G1094" s="81">
        <v>43148</v>
      </c>
      <c r="H1094" s="82">
        <v>328.52</v>
      </c>
      <c r="I1094" s="236">
        <f t="shared" si="17"/>
        <v>-8.0318859834531686E-3</v>
      </c>
    </row>
    <row r="1095" spans="1:9" ht="16">
      <c r="A1095" s="132">
        <v>43130</v>
      </c>
      <c r="B1095" s="79">
        <v>3.48</v>
      </c>
      <c r="E1095" s="81"/>
      <c r="F1095" s="82"/>
      <c r="G1095" s="81">
        <v>43151</v>
      </c>
      <c r="H1095" s="82">
        <v>325.37</v>
      </c>
      <c r="I1095" s="236">
        <f t="shared" si="17"/>
        <v>-9.5884573237549064E-3</v>
      </c>
    </row>
    <row r="1096" spans="1:9" ht="16">
      <c r="A1096" s="132">
        <v>43131</v>
      </c>
      <c r="B1096" s="79">
        <v>3.47</v>
      </c>
      <c r="E1096" s="81"/>
      <c r="F1096" s="82"/>
      <c r="G1096" s="81">
        <v>43152</v>
      </c>
      <c r="H1096" s="82">
        <v>321.67</v>
      </c>
      <c r="I1096" s="236">
        <f t="shared" si="17"/>
        <v>-1.1371669176629684E-2</v>
      </c>
    </row>
    <row r="1097" spans="1:9" ht="16">
      <c r="A1097" s="132">
        <v>43132</v>
      </c>
      <c r="B1097" s="79">
        <v>3.45</v>
      </c>
      <c r="E1097" s="81"/>
      <c r="F1097" s="82"/>
      <c r="G1097" s="81">
        <v>43153</v>
      </c>
      <c r="H1097" s="82">
        <v>321.89999999999998</v>
      </c>
      <c r="I1097" s="236">
        <f t="shared" si="17"/>
        <v>7.1501849721755661E-4</v>
      </c>
    </row>
    <row r="1098" spans="1:9" ht="16">
      <c r="A1098" s="132">
        <v>43133</v>
      </c>
      <c r="B1098" s="79">
        <v>3.46</v>
      </c>
      <c r="E1098" s="81"/>
      <c r="F1098" s="82"/>
      <c r="G1098" s="81">
        <v>43154</v>
      </c>
      <c r="H1098" s="82">
        <v>308.29000000000002</v>
      </c>
      <c r="I1098" s="236">
        <f t="shared" si="17"/>
        <v>-4.2280211245728339E-2</v>
      </c>
    </row>
    <row r="1099" spans="1:9" ht="16">
      <c r="A1099" s="132">
        <v>43134</v>
      </c>
      <c r="B1099" s="79">
        <v>3.53</v>
      </c>
      <c r="E1099" s="81"/>
      <c r="F1099" s="82"/>
      <c r="G1099" s="81">
        <v>43155</v>
      </c>
      <c r="H1099" s="82">
        <v>313.45</v>
      </c>
      <c r="I1099" s="236">
        <f t="shared" si="17"/>
        <v>1.6737487430665832E-2</v>
      </c>
    </row>
    <row r="1100" spans="1:9" ht="16">
      <c r="A1100" s="132">
        <v>43137</v>
      </c>
      <c r="B1100" s="79">
        <v>3.57</v>
      </c>
      <c r="E1100" s="81"/>
      <c r="F1100" s="82"/>
      <c r="G1100" s="81">
        <v>43158</v>
      </c>
      <c r="H1100" s="82">
        <v>312.85000000000002</v>
      </c>
      <c r="I1100" s="236">
        <f t="shared" si="17"/>
        <v>-1.9141808900939861E-3</v>
      </c>
    </row>
    <row r="1101" spans="1:9" ht="16">
      <c r="A1101" s="132">
        <v>43138</v>
      </c>
      <c r="B1101" s="79">
        <v>3.61</v>
      </c>
      <c r="E1101" s="81"/>
      <c r="F1101" s="82"/>
      <c r="G1101" s="81">
        <v>43159</v>
      </c>
      <c r="H1101" s="82">
        <v>314.64999999999998</v>
      </c>
      <c r="I1101" s="236">
        <f t="shared" si="17"/>
        <v>5.7535560172605749E-3</v>
      </c>
    </row>
    <row r="1102" spans="1:9" ht="16">
      <c r="A1102" s="132">
        <v>43139</v>
      </c>
      <c r="B1102" s="79">
        <v>3.6</v>
      </c>
      <c r="E1102" s="81"/>
      <c r="F1102" s="82"/>
      <c r="G1102" s="81">
        <v>43160</v>
      </c>
      <c r="H1102" s="82">
        <v>312.51</v>
      </c>
      <c r="I1102" s="236">
        <f t="shared" si="17"/>
        <v>-6.8012076910852759E-3</v>
      </c>
    </row>
    <row r="1103" spans="1:9" ht="16">
      <c r="A1103" s="132">
        <v>43140</v>
      </c>
      <c r="B1103" s="79">
        <v>3.63</v>
      </c>
      <c r="E1103" s="81"/>
      <c r="F1103" s="82"/>
      <c r="G1103" s="81">
        <v>43161</v>
      </c>
      <c r="H1103" s="82">
        <v>312.60000000000002</v>
      </c>
      <c r="I1103" s="236">
        <f t="shared" si="17"/>
        <v>2.8799078429497804E-4</v>
      </c>
    </row>
    <row r="1104" spans="1:9" ht="16">
      <c r="A1104" s="132">
        <v>43141</v>
      </c>
      <c r="B1104" s="79">
        <v>3.7</v>
      </c>
      <c r="E1104" s="81"/>
      <c r="F1104" s="82"/>
      <c r="G1104" s="81">
        <v>43162</v>
      </c>
      <c r="H1104" s="82">
        <v>305.89</v>
      </c>
      <c r="I1104" s="236">
        <f t="shared" ref="I1104:I1167" si="18">H1104/H1103-1</f>
        <v>-2.1465131158029505E-2</v>
      </c>
    </row>
    <row r="1105" spans="1:9" ht="16">
      <c r="A1105" s="132">
        <v>43144</v>
      </c>
      <c r="B1105" s="79">
        <v>3.73</v>
      </c>
      <c r="E1105" s="81"/>
      <c r="F1105" s="82"/>
      <c r="G1105" s="81">
        <v>43165</v>
      </c>
      <c r="H1105" s="82">
        <v>296.24</v>
      </c>
      <c r="I1105" s="236">
        <f t="shared" si="18"/>
        <v>-3.154728824087083E-2</v>
      </c>
    </row>
    <row r="1106" spans="1:9" ht="16">
      <c r="A1106" s="132">
        <v>43145</v>
      </c>
      <c r="B1106" s="79">
        <v>3.76</v>
      </c>
      <c r="E1106" s="81"/>
      <c r="F1106" s="82"/>
      <c r="G1106" s="81">
        <v>43166</v>
      </c>
      <c r="H1106" s="82">
        <v>288.91000000000003</v>
      </c>
      <c r="I1106" s="236">
        <f t="shared" si="18"/>
        <v>-2.4743451255738513E-2</v>
      </c>
    </row>
    <row r="1107" spans="1:9" ht="16">
      <c r="A1107" s="132">
        <v>43146</v>
      </c>
      <c r="B1107" s="79">
        <v>3.75</v>
      </c>
      <c r="E1107" s="81"/>
      <c r="F1107" s="82"/>
      <c r="G1107" s="81">
        <v>43167</v>
      </c>
      <c r="H1107" s="82">
        <v>292.60000000000002</v>
      </c>
      <c r="I1107" s="236">
        <f t="shared" si="18"/>
        <v>1.2772143574123485E-2</v>
      </c>
    </row>
    <row r="1108" spans="1:9" ht="16">
      <c r="A1108" s="132">
        <v>43147</v>
      </c>
      <c r="B1108" s="79">
        <v>3.74</v>
      </c>
      <c r="E1108" s="81"/>
      <c r="F1108" s="82"/>
      <c r="G1108" s="81">
        <v>43168</v>
      </c>
      <c r="H1108" s="82">
        <v>294.02999999999997</v>
      </c>
      <c r="I1108" s="236">
        <f t="shared" si="18"/>
        <v>4.8872180451127178E-3</v>
      </c>
    </row>
    <row r="1109" spans="1:9" ht="16">
      <c r="A1109" s="132">
        <v>43148</v>
      </c>
      <c r="B1109" s="79">
        <v>3.74</v>
      </c>
      <c r="E1109" s="81"/>
      <c r="F1109" s="82"/>
      <c r="G1109" s="81">
        <v>43169</v>
      </c>
      <c r="H1109" s="82">
        <v>290.22000000000003</v>
      </c>
      <c r="I1109" s="236">
        <f t="shared" si="18"/>
        <v>-1.2957861442709717E-2</v>
      </c>
    </row>
    <row r="1110" spans="1:9" ht="16">
      <c r="A1110" s="132">
        <v>43151</v>
      </c>
      <c r="B1110" s="79">
        <v>3.74</v>
      </c>
      <c r="E1110" s="81"/>
      <c r="F1110" s="82"/>
      <c r="G1110" s="81">
        <v>43172</v>
      </c>
      <c r="H1110" s="82">
        <v>282.39</v>
      </c>
      <c r="I1110" s="236">
        <f t="shared" si="18"/>
        <v>-2.697953276824494E-2</v>
      </c>
    </row>
    <row r="1111" spans="1:9" ht="16">
      <c r="A1111" s="132">
        <v>43152</v>
      </c>
      <c r="B1111" s="79">
        <v>3.77</v>
      </c>
      <c r="E1111" s="81"/>
      <c r="F1111" s="82"/>
      <c r="G1111" s="81">
        <v>43173</v>
      </c>
      <c r="H1111" s="82">
        <v>275.45</v>
      </c>
      <c r="I1111" s="236">
        <f t="shared" si="18"/>
        <v>-2.4575941074400642E-2</v>
      </c>
    </row>
    <row r="1112" spans="1:9" ht="16">
      <c r="A1112" s="132">
        <v>43153</v>
      </c>
      <c r="B1112" s="79">
        <v>3.9</v>
      </c>
      <c r="E1112" s="81"/>
      <c r="F1112" s="82"/>
      <c r="G1112" s="81">
        <v>43174</v>
      </c>
      <c r="H1112" s="82">
        <v>290.45</v>
      </c>
      <c r="I1112" s="236">
        <f t="shared" si="18"/>
        <v>5.4456344164095061E-2</v>
      </c>
    </row>
    <row r="1113" spans="1:9" ht="16">
      <c r="A1113" s="132">
        <v>43154</v>
      </c>
      <c r="B1113" s="79">
        <v>4.04</v>
      </c>
      <c r="E1113" s="81"/>
      <c r="F1113" s="82"/>
      <c r="G1113" s="81">
        <v>43175</v>
      </c>
      <c r="H1113" s="82">
        <v>298.56</v>
      </c>
      <c r="I1113" s="236">
        <f t="shared" si="18"/>
        <v>2.7922189705629208E-2</v>
      </c>
    </row>
    <row r="1114" spans="1:9" ht="16">
      <c r="A1114" s="132">
        <v>43155</v>
      </c>
      <c r="B1114" s="79">
        <v>4.08</v>
      </c>
      <c r="E1114" s="81"/>
      <c r="F1114" s="82"/>
      <c r="G1114" s="81">
        <v>43176</v>
      </c>
      <c r="H1114" s="82">
        <v>300.37</v>
      </c>
      <c r="I1114" s="236">
        <f t="shared" si="18"/>
        <v>6.0624330117899916E-3</v>
      </c>
    </row>
    <row r="1115" spans="1:9" ht="16">
      <c r="A1115" s="132">
        <v>43158</v>
      </c>
      <c r="B1115" s="79">
        <v>4.17</v>
      </c>
      <c r="E1115" s="81"/>
      <c r="F1115" s="82"/>
      <c r="G1115" s="81">
        <v>43179</v>
      </c>
      <c r="H1115" s="82">
        <v>298.5</v>
      </c>
      <c r="I1115" s="236">
        <f t="shared" si="18"/>
        <v>-6.2256550254685683E-3</v>
      </c>
    </row>
    <row r="1116" spans="1:9" ht="16">
      <c r="A1116" s="132">
        <v>43159</v>
      </c>
      <c r="B1116" s="79">
        <v>4.16</v>
      </c>
      <c r="E1116" s="81"/>
      <c r="F1116" s="82"/>
      <c r="G1116" s="81">
        <v>43180</v>
      </c>
      <c r="H1116" s="82">
        <v>302.64</v>
      </c>
      <c r="I1116" s="236">
        <f t="shared" si="18"/>
        <v>1.3869346733668353E-2</v>
      </c>
    </row>
    <row r="1117" spans="1:9" ht="16">
      <c r="A1117" s="132">
        <v>43160</v>
      </c>
      <c r="B1117" s="79">
        <v>4.18</v>
      </c>
      <c r="E1117" s="81"/>
      <c r="F1117" s="82"/>
      <c r="G1117" s="81">
        <v>43181</v>
      </c>
      <c r="H1117" s="82">
        <v>304.24</v>
      </c>
      <c r="I1117" s="236">
        <f t="shared" si="18"/>
        <v>5.2868094105207319E-3</v>
      </c>
    </row>
    <row r="1118" spans="1:9" ht="16">
      <c r="A1118" s="132">
        <v>43161</v>
      </c>
      <c r="B1118" s="79">
        <v>4.22</v>
      </c>
      <c r="E1118" s="81"/>
      <c r="F1118" s="82"/>
      <c r="G1118" s="81">
        <v>43182</v>
      </c>
      <c r="H1118" s="82">
        <v>303.88</v>
      </c>
      <c r="I1118" s="236">
        <f t="shared" si="18"/>
        <v>-1.1832763607678709E-3</v>
      </c>
    </row>
    <row r="1119" spans="1:9" ht="16">
      <c r="A1119" s="132">
        <v>43162</v>
      </c>
      <c r="B1119" s="79">
        <v>4.26</v>
      </c>
      <c r="E1119" s="81"/>
      <c r="F1119" s="82"/>
      <c r="G1119" s="81">
        <v>43183</v>
      </c>
      <c r="H1119" s="82">
        <v>301.17</v>
      </c>
      <c r="I1119" s="236">
        <f t="shared" si="18"/>
        <v>-8.9179939449781642E-3</v>
      </c>
    </row>
    <row r="1120" spans="1:9" ht="16">
      <c r="A1120" s="132">
        <v>43165</v>
      </c>
      <c r="B1120" s="79">
        <v>4.29</v>
      </c>
      <c r="E1120" s="81"/>
      <c r="F1120" s="82"/>
      <c r="G1120" s="81">
        <v>43186</v>
      </c>
      <c r="H1120" s="82">
        <v>301.20999999999998</v>
      </c>
      <c r="I1120" s="236">
        <f t="shared" si="18"/>
        <v>1.328153534547738E-4</v>
      </c>
    </row>
    <row r="1121" spans="1:9" ht="16">
      <c r="A1121" s="132">
        <v>43166</v>
      </c>
      <c r="B1121" s="79">
        <v>4.41</v>
      </c>
      <c r="E1121" s="81"/>
      <c r="F1121" s="82"/>
      <c r="G1121" s="81">
        <v>43187</v>
      </c>
      <c r="H1121" s="82">
        <v>304.05</v>
      </c>
      <c r="I1121" s="236">
        <f t="shared" si="18"/>
        <v>9.4286378274295313E-3</v>
      </c>
    </row>
    <row r="1122" spans="1:9" ht="16">
      <c r="A1122" s="132">
        <v>43167</v>
      </c>
      <c r="B1122" s="79">
        <v>4.3499999999999996</v>
      </c>
      <c r="E1122" s="81"/>
      <c r="F1122" s="82"/>
      <c r="G1122" s="81">
        <v>43188</v>
      </c>
      <c r="H1122" s="82">
        <v>307.36</v>
      </c>
      <c r="I1122" s="236">
        <f t="shared" si="18"/>
        <v>1.088636737378712E-2</v>
      </c>
    </row>
    <row r="1123" spans="1:9" ht="16">
      <c r="A1123" s="132">
        <v>43168</v>
      </c>
      <c r="B1123" s="79">
        <v>4.38</v>
      </c>
      <c r="E1123" s="81"/>
      <c r="F1123" s="82"/>
      <c r="G1123" s="81">
        <v>43189</v>
      </c>
      <c r="H1123" s="82">
        <v>304.87</v>
      </c>
      <c r="I1123" s="236">
        <f t="shared" si="18"/>
        <v>-8.1012493492972348E-3</v>
      </c>
    </row>
    <row r="1124" spans="1:9" ht="16">
      <c r="A1124" s="132">
        <v>43169</v>
      </c>
      <c r="B1124" s="79">
        <v>4.43</v>
      </c>
      <c r="E1124" s="81"/>
      <c r="F1124" s="82"/>
      <c r="G1124" s="81">
        <v>43190</v>
      </c>
      <c r="H1124" s="82">
        <v>307.12</v>
      </c>
      <c r="I1124" s="236">
        <f t="shared" si="18"/>
        <v>7.3801948371436943E-3</v>
      </c>
    </row>
    <row r="1125" spans="1:9" ht="16">
      <c r="A1125" s="132">
        <v>43172</v>
      </c>
      <c r="B1125" s="79">
        <v>4.5199999999999996</v>
      </c>
      <c r="E1125" s="81"/>
      <c r="F1125" s="82"/>
      <c r="G1125" s="81">
        <v>43193</v>
      </c>
      <c r="H1125" s="82">
        <v>311.64999999999998</v>
      </c>
      <c r="I1125" s="236">
        <f t="shared" si="18"/>
        <v>1.474993487887466E-2</v>
      </c>
    </row>
    <row r="1126" spans="1:9" ht="16">
      <c r="A1126" s="132">
        <v>43173</v>
      </c>
      <c r="B1126" s="79">
        <v>4.59</v>
      </c>
      <c r="E1126" s="81"/>
      <c r="F1126" s="82"/>
      <c r="G1126" s="81">
        <v>43194</v>
      </c>
      <c r="H1126" s="82">
        <v>309.92</v>
      </c>
      <c r="I1126" s="236">
        <f t="shared" si="18"/>
        <v>-5.5510989892506579E-3</v>
      </c>
    </row>
    <row r="1127" spans="1:9" ht="16">
      <c r="A1127" s="132">
        <v>43174</v>
      </c>
      <c r="B1127" s="79">
        <v>4.66</v>
      </c>
      <c r="E1127" s="81"/>
      <c r="F1127" s="82"/>
      <c r="G1127" s="81">
        <v>43195</v>
      </c>
      <c r="H1127" s="82">
        <v>307.10000000000002</v>
      </c>
      <c r="I1127" s="236">
        <f t="shared" si="18"/>
        <v>-9.0991223541558863E-3</v>
      </c>
    </row>
    <row r="1128" spans="1:9" ht="16">
      <c r="A1128" s="132">
        <v>43175</v>
      </c>
      <c r="B1128" s="79">
        <v>4.63</v>
      </c>
      <c r="E1128" s="81"/>
      <c r="F1128" s="82"/>
      <c r="G1128" s="81">
        <v>43196</v>
      </c>
      <c r="H1128" s="82">
        <v>302.58999999999997</v>
      </c>
      <c r="I1128" s="236">
        <f t="shared" si="18"/>
        <v>-1.4685770107456975E-2</v>
      </c>
    </row>
    <row r="1129" spans="1:9" ht="16">
      <c r="A1129" s="132">
        <v>43176</v>
      </c>
      <c r="B1129" s="79">
        <v>4.6100000000000003</v>
      </c>
      <c r="E1129" s="81"/>
      <c r="F1129" s="82"/>
      <c r="G1129" s="81">
        <v>43197</v>
      </c>
      <c r="H1129" s="82">
        <v>303.61</v>
      </c>
      <c r="I1129" s="236">
        <f t="shared" si="18"/>
        <v>3.3708979146700457E-3</v>
      </c>
    </row>
    <row r="1130" spans="1:9" ht="16">
      <c r="A1130" s="132">
        <v>43179</v>
      </c>
      <c r="B1130" s="79">
        <v>4.66</v>
      </c>
      <c r="E1130" s="81"/>
      <c r="F1130" s="82"/>
      <c r="G1130" s="81">
        <v>43200</v>
      </c>
      <c r="H1130" s="82">
        <v>299.58</v>
      </c>
      <c r="I1130" s="236">
        <f t="shared" si="18"/>
        <v>-1.3273607588682901E-2</v>
      </c>
    </row>
    <row r="1131" spans="1:9" ht="16">
      <c r="A1131" s="132">
        <v>43180</v>
      </c>
      <c r="B1131" s="79">
        <v>4.74</v>
      </c>
      <c r="E1131" s="81"/>
      <c r="F1131" s="82"/>
      <c r="G1131" s="81">
        <v>43201</v>
      </c>
      <c r="H1131" s="82">
        <v>299.17</v>
      </c>
      <c r="I1131" s="236">
        <f t="shared" si="18"/>
        <v>-1.3685826824219038E-3</v>
      </c>
    </row>
    <row r="1132" spans="1:9" ht="16">
      <c r="A1132" s="132">
        <v>43181</v>
      </c>
      <c r="B1132" s="79">
        <v>4.7300000000000004</v>
      </c>
      <c r="E1132" s="81"/>
      <c r="F1132" s="82"/>
      <c r="G1132" s="81">
        <v>43202</v>
      </c>
      <c r="H1132" s="82">
        <v>300.61</v>
      </c>
      <c r="I1132" s="236">
        <f t="shared" si="18"/>
        <v>4.8133168432664686E-3</v>
      </c>
    </row>
    <row r="1133" spans="1:9" ht="16">
      <c r="A1133" s="132">
        <v>43182</v>
      </c>
      <c r="B1133" s="79">
        <v>4.72</v>
      </c>
      <c r="E1133" s="81"/>
      <c r="F1133" s="82"/>
      <c r="G1133" s="81">
        <v>43203</v>
      </c>
      <c r="H1133" s="82">
        <v>299.93</v>
      </c>
      <c r="I1133" s="236">
        <f t="shared" si="18"/>
        <v>-2.2620671301686324E-3</v>
      </c>
    </row>
    <row r="1134" spans="1:9" ht="16">
      <c r="A1134" s="132">
        <v>43183</v>
      </c>
      <c r="B1134" s="79">
        <v>4.75</v>
      </c>
      <c r="E1134" s="81"/>
      <c r="F1134" s="82"/>
      <c r="G1134" s="81">
        <v>43204</v>
      </c>
      <c r="H1134" s="82">
        <v>299.17</v>
      </c>
      <c r="I1134" s="236">
        <f t="shared" si="18"/>
        <v>-2.5339245824025358E-3</v>
      </c>
    </row>
    <row r="1135" spans="1:9" ht="16">
      <c r="A1135" s="132">
        <v>43186</v>
      </c>
      <c r="B1135" s="79">
        <v>4.8099999999999996</v>
      </c>
      <c r="E1135" s="81"/>
      <c r="F1135" s="82"/>
      <c r="G1135" s="81">
        <v>43207</v>
      </c>
      <c r="H1135" s="82">
        <v>297.58999999999997</v>
      </c>
      <c r="I1135" s="236">
        <f t="shared" si="18"/>
        <v>-5.2812782030284833E-3</v>
      </c>
    </row>
    <row r="1136" spans="1:9" ht="16">
      <c r="A1136" s="132">
        <v>43187</v>
      </c>
      <c r="B1136" s="79">
        <v>4.7699999999999996</v>
      </c>
      <c r="E1136" s="81"/>
      <c r="F1136" s="82"/>
      <c r="G1136" s="81">
        <v>43208</v>
      </c>
      <c r="H1136" s="82">
        <v>294.92</v>
      </c>
      <c r="I1136" s="236">
        <f t="shared" si="18"/>
        <v>-8.9720756745856889E-3</v>
      </c>
    </row>
    <row r="1137" spans="1:9" ht="16">
      <c r="A1137" s="132">
        <v>43188</v>
      </c>
      <c r="B1137" s="79">
        <v>4.72</v>
      </c>
      <c r="E1137" s="81"/>
      <c r="F1137" s="82"/>
      <c r="G1137" s="81">
        <v>43209</v>
      </c>
      <c r="H1137" s="82">
        <v>294.33999999999997</v>
      </c>
      <c r="I1137" s="236">
        <f t="shared" si="18"/>
        <v>-1.9666350196665405E-3</v>
      </c>
    </row>
    <row r="1138" spans="1:9" ht="16">
      <c r="A1138" s="132">
        <v>43189</v>
      </c>
      <c r="B1138" s="79">
        <v>4.29</v>
      </c>
      <c r="E1138" s="81"/>
      <c r="F1138" s="82"/>
      <c r="G1138" s="81">
        <v>43210</v>
      </c>
      <c r="H1138" s="82">
        <v>291.91000000000003</v>
      </c>
      <c r="I1138" s="236">
        <f t="shared" si="18"/>
        <v>-8.2557586464631072E-3</v>
      </c>
    </row>
    <row r="1139" spans="1:9" ht="16">
      <c r="A1139" s="132">
        <v>43190</v>
      </c>
      <c r="B1139" s="79">
        <v>4.34</v>
      </c>
      <c r="E1139" s="81"/>
      <c r="F1139" s="82"/>
      <c r="G1139" s="81">
        <v>43211</v>
      </c>
      <c r="H1139" s="82">
        <v>288.94</v>
      </c>
      <c r="I1139" s="236">
        <f t="shared" si="18"/>
        <v>-1.0174368812305268E-2</v>
      </c>
    </row>
    <row r="1140" spans="1:9" ht="16">
      <c r="A1140" s="132">
        <v>43193</v>
      </c>
      <c r="B1140" s="79">
        <v>4.32</v>
      </c>
      <c r="E1140" s="81"/>
      <c r="F1140" s="82"/>
      <c r="G1140" s="81">
        <v>43214</v>
      </c>
      <c r="H1140" s="82">
        <v>281.29000000000002</v>
      </c>
      <c r="I1140" s="236">
        <f t="shared" si="18"/>
        <v>-2.6476085000346039E-2</v>
      </c>
    </row>
    <row r="1141" spans="1:9" ht="16">
      <c r="A1141" s="132">
        <v>43194</v>
      </c>
      <c r="B1141" s="79">
        <v>4.37</v>
      </c>
      <c r="E1141" s="81"/>
      <c r="F1141" s="82"/>
      <c r="G1141" s="81">
        <v>43215</v>
      </c>
      <c r="H1141" s="82">
        <v>281.32</v>
      </c>
      <c r="I1141" s="236">
        <f t="shared" si="18"/>
        <v>1.0665149845334732E-4</v>
      </c>
    </row>
    <row r="1142" spans="1:9" ht="16">
      <c r="A1142" s="132">
        <v>43195</v>
      </c>
      <c r="B1142" s="79">
        <v>4.42</v>
      </c>
      <c r="E1142" s="81"/>
      <c r="F1142" s="82"/>
      <c r="G1142" s="81">
        <v>43216</v>
      </c>
      <c r="H1142" s="82">
        <v>281.36</v>
      </c>
      <c r="I1142" s="236">
        <f t="shared" si="18"/>
        <v>1.4218683349920269E-4</v>
      </c>
    </row>
    <row r="1143" spans="1:9" ht="16">
      <c r="A1143" s="132">
        <v>43196</v>
      </c>
      <c r="B1143" s="79">
        <v>4.4000000000000004</v>
      </c>
      <c r="E1143" s="81"/>
      <c r="F1143" s="82"/>
      <c r="G1143" s="81">
        <v>43217</v>
      </c>
      <c r="H1143" s="82">
        <v>283.63</v>
      </c>
      <c r="I1143" s="236">
        <f t="shared" si="18"/>
        <v>8.0679556440146349E-3</v>
      </c>
    </row>
    <row r="1144" spans="1:9" ht="16">
      <c r="A1144" s="132">
        <v>43197</v>
      </c>
      <c r="B1144" s="79">
        <v>4.46</v>
      </c>
      <c r="E1144" s="81"/>
      <c r="F1144" s="82"/>
      <c r="G1144" s="81">
        <v>43218</v>
      </c>
      <c r="H1144" s="82">
        <v>287.7</v>
      </c>
      <c r="I1144" s="236">
        <f t="shared" si="18"/>
        <v>1.4349680922328467E-2</v>
      </c>
    </row>
    <row r="1145" spans="1:9" ht="16">
      <c r="A1145" s="132">
        <v>43200</v>
      </c>
      <c r="B1145" s="79">
        <v>4.54</v>
      </c>
      <c r="E1145" s="81"/>
      <c r="F1145" s="82"/>
      <c r="G1145" s="81">
        <v>43221</v>
      </c>
      <c r="H1145" s="82">
        <v>287.11</v>
      </c>
      <c r="I1145" s="236">
        <f t="shared" si="18"/>
        <v>-2.0507473062216786E-3</v>
      </c>
    </row>
    <row r="1146" spans="1:9" ht="16">
      <c r="A1146" s="132">
        <v>43201</v>
      </c>
      <c r="B1146" s="79">
        <v>4.55</v>
      </c>
      <c r="E1146" s="81"/>
      <c r="F1146" s="82"/>
      <c r="G1146" s="81">
        <v>43222</v>
      </c>
      <c r="H1146" s="82">
        <v>286.72000000000003</v>
      </c>
      <c r="I1146" s="236">
        <f t="shared" si="18"/>
        <v>-1.358364389955069E-3</v>
      </c>
    </row>
    <row r="1147" spans="1:9" ht="16">
      <c r="A1147" s="132">
        <v>43202</v>
      </c>
      <c r="B1147" s="79">
        <v>4.51</v>
      </c>
      <c r="E1147" s="81"/>
      <c r="F1147" s="82"/>
      <c r="G1147" s="81">
        <v>43223</v>
      </c>
      <c r="H1147" s="82">
        <v>285.45</v>
      </c>
      <c r="I1147" s="236">
        <f t="shared" si="18"/>
        <v>-4.4294084821430157E-3</v>
      </c>
    </row>
    <row r="1148" spans="1:9" ht="16">
      <c r="A1148" s="132">
        <v>43203</v>
      </c>
      <c r="B1148" s="79">
        <v>4.51</v>
      </c>
      <c r="E1148" s="81"/>
      <c r="F1148" s="82"/>
      <c r="G1148" s="81">
        <v>43224</v>
      </c>
      <c r="H1148" s="82">
        <v>283.43</v>
      </c>
      <c r="I1148" s="236">
        <f t="shared" si="18"/>
        <v>-7.076545804869494E-3</v>
      </c>
    </row>
    <row r="1149" spans="1:9" ht="16">
      <c r="A1149" s="132">
        <v>43204</v>
      </c>
      <c r="B1149" s="209">
        <v>4.51</v>
      </c>
      <c r="E1149" s="81"/>
      <c r="F1149" s="82"/>
      <c r="G1149" s="81">
        <v>43225</v>
      </c>
      <c r="H1149" s="82">
        <v>276.92</v>
      </c>
      <c r="I1149" s="236">
        <f t="shared" si="18"/>
        <v>-2.296863423067419E-2</v>
      </c>
    </row>
    <row r="1150" spans="1:9" ht="16">
      <c r="A1150" s="132">
        <v>43207</v>
      </c>
      <c r="B1150" s="79">
        <v>4.5599999999999996</v>
      </c>
      <c r="E1150" s="81"/>
      <c r="F1150" s="82"/>
      <c r="G1150" s="81">
        <v>43228</v>
      </c>
      <c r="H1150" s="82">
        <v>271.36</v>
      </c>
      <c r="I1150" s="236">
        <f t="shared" si="18"/>
        <v>-2.0078000866676327E-2</v>
      </c>
    </row>
    <row r="1151" spans="1:9" ht="16">
      <c r="A1151" s="132">
        <v>43208</v>
      </c>
      <c r="B1151" s="79">
        <v>4.62</v>
      </c>
      <c r="E1151" s="81"/>
      <c r="F1151" s="82"/>
      <c r="G1151" s="81">
        <v>43229</v>
      </c>
      <c r="H1151" s="82">
        <v>269.69</v>
      </c>
      <c r="I1151" s="236">
        <f t="shared" si="18"/>
        <v>-6.1541863207548175E-3</v>
      </c>
    </row>
    <row r="1152" spans="1:9" ht="16">
      <c r="A1152" s="132">
        <v>43209</v>
      </c>
      <c r="B1152" s="79">
        <v>4.63</v>
      </c>
      <c r="E1152" s="81"/>
      <c r="F1152" s="82"/>
      <c r="G1152" s="81">
        <v>43230</v>
      </c>
      <c r="H1152" s="82">
        <v>270.10000000000002</v>
      </c>
      <c r="I1152" s="236">
        <f t="shared" si="18"/>
        <v>1.5202640068228135E-3</v>
      </c>
    </row>
    <row r="1153" spans="1:9" ht="16">
      <c r="A1153" s="132">
        <v>43210</v>
      </c>
      <c r="B1153" s="79">
        <v>4.68</v>
      </c>
      <c r="E1153" s="81"/>
      <c r="F1153" s="82"/>
      <c r="G1153" s="81">
        <v>43231</v>
      </c>
      <c r="H1153" s="82">
        <v>264.83999999999997</v>
      </c>
      <c r="I1153" s="236">
        <f t="shared" si="18"/>
        <v>-1.9474268789337446E-2</v>
      </c>
    </row>
    <row r="1154" spans="1:9" ht="16">
      <c r="A1154" s="132">
        <v>43211</v>
      </c>
      <c r="B1154" s="79">
        <v>4.74</v>
      </c>
      <c r="E1154" s="81"/>
      <c r="F1154" s="82"/>
      <c r="G1154" s="81">
        <v>43232</v>
      </c>
      <c r="H1154" s="82">
        <v>269.27999999999997</v>
      </c>
      <c r="I1154" s="236">
        <f t="shared" si="18"/>
        <v>1.6764839148164956E-2</v>
      </c>
    </row>
    <row r="1155" spans="1:9" ht="16">
      <c r="A1155" s="132">
        <v>43214</v>
      </c>
      <c r="B1155" s="79">
        <v>4.6900000000000004</v>
      </c>
      <c r="E1155" s="81"/>
      <c r="F1155" s="82"/>
      <c r="G1155" s="81">
        <v>43235</v>
      </c>
      <c r="H1155" s="82">
        <v>269.89999999999998</v>
      </c>
      <c r="I1155" s="236">
        <f t="shared" si="18"/>
        <v>2.3024361259655901E-3</v>
      </c>
    </row>
    <row r="1156" spans="1:9" ht="16">
      <c r="A1156" s="132">
        <v>43215</v>
      </c>
      <c r="B1156" s="79">
        <v>4.68</v>
      </c>
      <c r="E1156" s="81"/>
      <c r="F1156" s="82"/>
      <c r="G1156" s="81">
        <v>43236</v>
      </c>
      <c r="H1156" s="82">
        <v>275.8</v>
      </c>
      <c r="I1156" s="236">
        <f t="shared" si="18"/>
        <v>2.1859948128936768E-2</v>
      </c>
    </row>
    <row r="1157" spans="1:9" ht="16">
      <c r="A1157" s="132">
        <v>43216</v>
      </c>
      <c r="B1157" s="79">
        <v>4.6900000000000004</v>
      </c>
      <c r="E1157" s="81"/>
      <c r="F1157" s="82"/>
      <c r="G1157" s="81">
        <v>43237</v>
      </c>
      <c r="H1157" s="82">
        <v>275.45999999999998</v>
      </c>
      <c r="I1157" s="236">
        <f t="shared" si="18"/>
        <v>-1.232777374909455E-3</v>
      </c>
    </row>
    <row r="1158" spans="1:9" ht="16">
      <c r="A1158" s="132">
        <v>43217</v>
      </c>
      <c r="B1158" s="79">
        <v>4.74</v>
      </c>
      <c r="E1158" s="81"/>
      <c r="F1158" s="82"/>
      <c r="G1158" s="81">
        <v>43238</v>
      </c>
      <c r="H1158" s="82">
        <v>272.17</v>
      </c>
      <c r="I1158" s="236">
        <f t="shared" si="18"/>
        <v>-1.194365788136198E-2</v>
      </c>
    </row>
    <row r="1159" spans="1:9" ht="16">
      <c r="A1159" s="132">
        <v>43218</v>
      </c>
      <c r="B1159" s="79">
        <v>4.78</v>
      </c>
      <c r="E1159" s="81"/>
      <c r="F1159" s="82"/>
      <c r="G1159" s="81">
        <v>43239</v>
      </c>
      <c r="H1159" s="82">
        <v>276.56</v>
      </c>
      <c r="I1159" s="236">
        <f t="shared" si="18"/>
        <v>1.6129624866811243E-2</v>
      </c>
    </row>
    <row r="1160" spans="1:9" ht="16">
      <c r="A1160" s="132">
        <v>43219</v>
      </c>
      <c r="B1160" s="79">
        <v>4.78</v>
      </c>
      <c r="E1160" s="81"/>
      <c r="F1160" s="82"/>
      <c r="G1160" s="81">
        <v>43242</v>
      </c>
      <c r="H1160" s="82">
        <v>276.66000000000003</v>
      </c>
      <c r="I1160" s="236">
        <f t="shared" si="18"/>
        <v>3.615851894707145E-4</v>
      </c>
    </row>
    <row r="1161" spans="1:9" ht="16">
      <c r="A1161" s="132">
        <v>43221</v>
      </c>
      <c r="B1161" s="79">
        <v>4.8600000000000003</v>
      </c>
      <c r="E1161" s="81"/>
      <c r="F1161" s="82"/>
      <c r="G1161" s="81">
        <v>43243</v>
      </c>
      <c r="H1161" s="82">
        <v>272.01</v>
      </c>
      <c r="I1161" s="236">
        <f t="shared" si="18"/>
        <v>-1.6807633918889731E-2</v>
      </c>
    </row>
    <row r="1162" spans="1:9" ht="16">
      <c r="A1162" s="132">
        <v>43222</v>
      </c>
      <c r="B1162" s="79">
        <v>4.88</v>
      </c>
      <c r="E1162" s="81"/>
      <c r="F1162" s="82"/>
      <c r="G1162" s="81">
        <v>43244</v>
      </c>
      <c r="H1162" s="82">
        <v>272.47000000000003</v>
      </c>
      <c r="I1162" s="236">
        <f t="shared" si="18"/>
        <v>1.6911142972686477E-3</v>
      </c>
    </row>
    <row r="1163" spans="1:9" ht="16">
      <c r="A1163" s="132">
        <v>43223</v>
      </c>
      <c r="B1163" s="79">
        <v>4.88</v>
      </c>
      <c r="E1163" s="81"/>
      <c r="F1163" s="82"/>
      <c r="G1163" s="81">
        <v>43245</v>
      </c>
      <c r="H1163" s="82">
        <v>274.97000000000003</v>
      </c>
      <c r="I1163" s="236">
        <f t="shared" si="18"/>
        <v>9.1753220538040026E-3</v>
      </c>
    </row>
    <row r="1164" spans="1:9" ht="16">
      <c r="A1164" s="132">
        <v>43224</v>
      </c>
      <c r="B1164" s="79">
        <v>4.88</v>
      </c>
      <c r="E1164" s="81"/>
      <c r="F1164" s="82"/>
      <c r="G1164" s="81">
        <v>43246</v>
      </c>
      <c r="H1164" s="82">
        <v>278.89999999999998</v>
      </c>
      <c r="I1164" s="236">
        <f t="shared" si="18"/>
        <v>1.4292468269265557E-2</v>
      </c>
    </row>
    <row r="1165" spans="1:9" ht="16">
      <c r="A1165" s="132">
        <v>43225</v>
      </c>
      <c r="B1165" s="79">
        <v>4.95</v>
      </c>
      <c r="E1165" s="81"/>
      <c r="F1165" s="82"/>
      <c r="G1165" s="81">
        <v>43249</v>
      </c>
      <c r="H1165" s="82">
        <v>283.68</v>
      </c>
      <c r="I1165" s="236">
        <f t="shared" si="18"/>
        <v>1.7138759411975624E-2</v>
      </c>
    </row>
    <row r="1166" spans="1:9" ht="16">
      <c r="A1166" s="132">
        <v>43228</v>
      </c>
      <c r="B1166" s="79">
        <v>4.9800000000000004</v>
      </c>
      <c r="E1166" s="81"/>
      <c r="F1166" s="82"/>
      <c r="G1166" s="81">
        <v>43250</v>
      </c>
      <c r="H1166" s="82">
        <v>286.8</v>
      </c>
      <c r="I1166" s="236">
        <f t="shared" si="18"/>
        <v>1.0998307952622799E-2</v>
      </c>
    </row>
    <row r="1167" spans="1:9" ht="16">
      <c r="A1167" s="132">
        <v>43229</v>
      </c>
      <c r="B1167" s="79">
        <v>4.9400000000000004</v>
      </c>
      <c r="E1167" s="81"/>
      <c r="F1167" s="82"/>
      <c r="G1167" s="81">
        <v>43251</v>
      </c>
      <c r="H1167" s="82">
        <v>284.32</v>
      </c>
      <c r="I1167" s="236">
        <f t="shared" si="18"/>
        <v>-8.6471408647141867E-3</v>
      </c>
    </row>
    <row r="1168" spans="1:9" ht="16">
      <c r="A1168" s="132">
        <v>43230</v>
      </c>
      <c r="B1168" s="79">
        <v>4.93</v>
      </c>
      <c r="E1168" s="81"/>
      <c r="F1168" s="82"/>
      <c r="G1168" s="81">
        <v>43252</v>
      </c>
      <c r="H1168" s="82">
        <v>284.52</v>
      </c>
      <c r="I1168" s="236">
        <f t="shared" ref="I1168:I1231" si="19">H1168/H1167-1</f>
        <v>7.0343275182893628E-4</v>
      </c>
    </row>
    <row r="1169" spans="1:9" ht="16">
      <c r="A1169" s="132">
        <v>43231</v>
      </c>
      <c r="B1169" s="79">
        <v>4.91</v>
      </c>
      <c r="E1169" s="81"/>
      <c r="F1169" s="82"/>
      <c r="G1169" s="81">
        <v>43253</v>
      </c>
      <c r="H1169" s="82">
        <v>283.41000000000003</v>
      </c>
      <c r="I1169" s="236">
        <f t="shared" si="19"/>
        <v>-3.901307465204451E-3</v>
      </c>
    </row>
    <row r="1170" spans="1:9" ht="16">
      <c r="A1170" s="132">
        <v>43232</v>
      </c>
      <c r="B1170" s="79">
        <v>4.9400000000000004</v>
      </c>
      <c r="E1170" s="81"/>
      <c r="F1170" s="82"/>
      <c r="G1170" s="81">
        <v>43256</v>
      </c>
      <c r="H1170" s="82">
        <v>286.02999999999997</v>
      </c>
      <c r="I1170" s="236">
        <f t="shared" si="19"/>
        <v>9.2445573550683502E-3</v>
      </c>
    </row>
    <row r="1171" spans="1:9" ht="16">
      <c r="A1171" s="132">
        <v>43235</v>
      </c>
      <c r="B1171" s="79">
        <v>4.93</v>
      </c>
      <c r="E1171" s="81"/>
      <c r="F1171" s="82"/>
      <c r="G1171" s="81">
        <v>43257</v>
      </c>
      <c r="H1171" s="82">
        <v>284.61</v>
      </c>
      <c r="I1171" s="236">
        <f t="shared" si="19"/>
        <v>-4.9645142117957786E-3</v>
      </c>
    </row>
    <row r="1172" spans="1:9" ht="16">
      <c r="A1172" s="132">
        <v>43236</v>
      </c>
      <c r="B1172" s="79">
        <v>4.97</v>
      </c>
      <c r="E1172" s="81"/>
      <c r="F1172" s="82"/>
      <c r="G1172" s="81">
        <v>43258</v>
      </c>
      <c r="H1172" s="82">
        <v>287.77999999999997</v>
      </c>
      <c r="I1172" s="236">
        <f t="shared" si="19"/>
        <v>1.1138048557675306E-2</v>
      </c>
    </row>
    <row r="1173" spans="1:9" ht="16">
      <c r="A1173" s="132">
        <v>43237</v>
      </c>
      <c r="B1173" s="79">
        <v>5</v>
      </c>
      <c r="E1173" s="81"/>
      <c r="F1173" s="82"/>
      <c r="G1173" s="81">
        <v>43259</v>
      </c>
      <c r="H1173" s="82">
        <v>284.72000000000003</v>
      </c>
      <c r="I1173" s="236">
        <f t="shared" si="19"/>
        <v>-1.0633122524150163E-2</v>
      </c>
    </row>
    <row r="1174" spans="1:9" ht="16">
      <c r="A1174" s="132">
        <v>43238</v>
      </c>
      <c r="B1174" s="79">
        <v>4.97</v>
      </c>
      <c r="E1174" s="81"/>
      <c r="F1174" s="82"/>
      <c r="G1174" s="81">
        <v>43260</v>
      </c>
      <c r="H1174" s="82">
        <v>281.85000000000002</v>
      </c>
      <c r="I1174" s="236">
        <f t="shared" si="19"/>
        <v>-1.0080078673784798E-2</v>
      </c>
    </row>
    <row r="1175" spans="1:9" ht="16">
      <c r="A1175" s="132">
        <v>43239</v>
      </c>
      <c r="B1175" s="79">
        <v>4.96</v>
      </c>
      <c r="E1175" s="81"/>
      <c r="F1175" s="82"/>
      <c r="G1175" s="81">
        <v>43263</v>
      </c>
      <c r="H1175" s="82">
        <v>272.14</v>
      </c>
      <c r="I1175" s="236">
        <f t="shared" si="19"/>
        <v>-3.4450949086393567E-2</v>
      </c>
    </row>
    <row r="1176" spans="1:9" ht="16">
      <c r="A1176" s="132">
        <v>43242</v>
      </c>
      <c r="B1176" s="79">
        <v>4.95</v>
      </c>
      <c r="E1176" s="81"/>
      <c r="F1176" s="82"/>
      <c r="G1176" s="81">
        <v>43264</v>
      </c>
      <c r="H1176" s="82">
        <v>273.58999999999997</v>
      </c>
      <c r="I1176" s="236">
        <f t="shared" si="19"/>
        <v>5.3281399279783148E-3</v>
      </c>
    </row>
    <row r="1177" spans="1:9" ht="16">
      <c r="A1177" s="132">
        <v>43243</v>
      </c>
      <c r="B1177" s="79">
        <v>4.91</v>
      </c>
      <c r="E1177" s="81"/>
      <c r="F1177" s="82"/>
      <c r="G1177" s="81">
        <v>43265</v>
      </c>
      <c r="H1177" s="82">
        <v>274.91000000000003</v>
      </c>
      <c r="I1177" s="236">
        <f t="shared" si="19"/>
        <v>4.8247377462629082E-3</v>
      </c>
    </row>
    <row r="1178" spans="1:9" ht="16">
      <c r="A1178" s="132">
        <v>43244</v>
      </c>
      <c r="B1178" s="79">
        <v>4.84</v>
      </c>
      <c r="E1178" s="81"/>
      <c r="F1178" s="82"/>
      <c r="G1178" s="81">
        <v>43266</v>
      </c>
      <c r="H1178" s="82">
        <v>270.70999999999998</v>
      </c>
      <c r="I1178" s="236">
        <f t="shared" si="19"/>
        <v>-1.5277727256193141E-2</v>
      </c>
    </row>
    <row r="1179" spans="1:9" ht="16">
      <c r="A1179" s="132">
        <v>43245</v>
      </c>
      <c r="B1179" s="79">
        <v>4.8</v>
      </c>
      <c r="E1179" s="81"/>
      <c r="F1179" s="82"/>
      <c r="G1179" s="81">
        <v>43267</v>
      </c>
      <c r="H1179" s="82">
        <v>269.87</v>
      </c>
      <c r="I1179" s="236">
        <f t="shared" si="19"/>
        <v>-3.1029514979128425E-3</v>
      </c>
    </row>
    <row r="1180" spans="1:9" ht="16">
      <c r="A1180" s="132">
        <v>43246</v>
      </c>
      <c r="B1180" s="79">
        <v>4.78</v>
      </c>
      <c r="E1180" s="81"/>
      <c r="F1180" s="82"/>
      <c r="G1180" s="81">
        <v>43270</v>
      </c>
      <c r="H1180" s="82">
        <v>268.97000000000003</v>
      </c>
      <c r="I1180" s="236">
        <f t="shared" si="19"/>
        <v>-3.3349390447251492E-3</v>
      </c>
    </row>
    <row r="1181" spans="1:9" ht="16">
      <c r="A1181" s="132">
        <v>43249</v>
      </c>
      <c r="B1181" s="79">
        <v>4.78</v>
      </c>
      <c r="E1181" s="81"/>
      <c r="F1181" s="82"/>
      <c r="G1181" s="81">
        <v>43271</v>
      </c>
      <c r="H1181" s="82">
        <v>273.79000000000002</v>
      </c>
      <c r="I1181" s="236">
        <f t="shared" si="19"/>
        <v>1.7920214150277003E-2</v>
      </c>
    </row>
    <row r="1182" spans="1:9" ht="16">
      <c r="A1182" s="132">
        <v>43250</v>
      </c>
      <c r="B1182" s="79">
        <v>4.8600000000000003</v>
      </c>
      <c r="E1182" s="81"/>
      <c r="F1182" s="82"/>
      <c r="G1182" s="81">
        <v>43272</v>
      </c>
      <c r="H1182" s="82">
        <v>268.32</v>
      </c>
      <c r="I1182" s="236">
        <f t="shared" si="19"/>
        <v>-1.9978815880784651E-2</v>
      </c>
    </row>
    <row r="1183" spans="1:9" ht="16">
      <c r="A1183" s="132">
        <v>43251</v>
      </c>
      <c r="B1183" s="79">
        <v>4.9000000000000004</v>
      </c>
      <c r="E1183" s="81"/>
      <c r="F1183" s="82"/>
      <c r="G1183" s="81">
        <v>43273</v>
      </c>
      <c r="H1183" s="82">
        <v>269.44</v>
      </c>
      <c r="I1183" s="236">
        <f t="shared" si="19"/>
        <v>4.174120453190211E-3</v>
      </c>
    </row>
    <row r="1184" spans="1:9" ht="16">
      <c r="A1184" s="132">
        <v>43252</v>
      </c>
      <c r="B1184" s="79">
        <v>4.91</v>
      </c>
      <c r="E1184" s="81"/>
      <c r="F1184" s="82"/>
      <c r="G1184" s="81">
        <v>43274</v>
      </c>
      <c r="H1184" s="82">
        <v>273.14999999999998</v>
      </c>
      <c r="I1184" s="236">
        <f t="shared" si="19"/>
        <v>1.3769299287410774E-2</v>
      </c>
    </row>
    <row r="1185" spans="1:9" ht="16">
      <c r="A1185" s="132">
        <v>43253</v>
      </c>
      <c r="B1185" s="79">
        <v>4.93</v>
      </c>
      <c r="E1185" s="81"/>
      <c r="F1185" s="82"/>
      <c r="G1185" s="81">
        <v>43277</v>
      </c>
      <c r="H1185" s="82">
        <v>276.75</v>
      </c>
      <c r="I1185" s="236">
        <f t="shared" si="19"/>
        <v>1.3179571663920919E-2</v>
      </c>
    </row>
    <row r="1186" spans="1:9" ht="16">
      <c r="A1186" s="132">
        <v>43256</v>
      </c>
      <c r="B1186" s="79">
        <v>4.96</v>
      </c>
      <c r="E1186" s="81"/>
      <c r="F1186" s="82"/>
      <c r="G1186" s="81">
        <v>43278</v>
      </c>
      <c r="H1186" s="82">
        <v>276.66000000000003</v>
      </c>
      <c r="I1186" s="236">
        <f t="shared" si="19"/>
        <v>-3.252032520324466E-4</v>
      </c>
    </row>
    <row r="1187" spans="1:9" ht="16">
      <c r="A1187" s="132">
        <v>43257</v>
      </c>
      <c r="B1187" s="79">
        <v>4.96</v>
      </c>
      <c r="E1187" s="81"/>
      <c r="F1187" s="82"/>
      <c r="G1187" s="81">
        <v>43279</v>
      </c>
      <c r="H1187" s="82">
        <v>273.39</v>
      </c>
      <c r="I1187" s="236">
        <f t="shared" si="19"/>
        <v>-1.1819561917154719E-2</v>
      </c>
    </row>
    <row r="1188" spans="1:9" ht="16">
      <c r="A1188" s="132">
        <v>43258</v>
      </c>
      <c r="B1188" s="79">
        <v>4.9800000000000004</v>
      </c>
      <c r="E1188" s="81"/>
      <c r="F1188" s="82"/>
      <c r="G1188" s="81">
        <v>43280</v>
      </c>
      <c r="H1188" s="82">
        <v>270.16000000000003</v>
      </c>
      <c r="I1188" s="236">
        <f t="shared" si="19"/>
        <v>-1.1814623797505308E-2</v>
      </c>
    </row>
    <row r="1189" spans="1:9" ht="16">
      <c r="A1189" s="132">
        <v>43259</v>
      </c>
      <c r="B1189" s="79">
        <v>5.01</v>
      </c>
      <c r="E1189" s="81"/>
      <c r="F1189" s="82"/>
      <c r="G1189" s="81">
        <v>43281</v>
      </c>
      <c r="H1189" s="82">
        <v>268.42</v>
      </c>
      <c r="I1189" s="236">
        <f t="shared" si="19"/>
        <v>-6.4406277761327457E-3</v>
      </c>
    </row>
    <row r="1190" spans="1:9" ht="16">
      <c r="A1190" s="132">
        <v>43260</v>
      </c>
      <c r="B1190" s="79">
        <v>5.09</v>
      </c>
      <c r="E1190" s="81"/>
      <c r="F1190" s="82"/>
      <c r="G1190" s="81">
        <v>43284</v>
      </c>
      <c r="H1190" s="82">
        <v>268.43</v>
      </c>
      <c r="I1190" s="236">
        <f t="shared" si="19"/>
        <v>3.7255048058959517E-5</v>
      </c>
    </row>
    <row r="1191" spans="1:9" ht="16">
      <c r="A1191" s="132">
        <v>43263</v>
      </c>
      <c r="B1191" s="79">
        <v>5.35</v>
      </c>
      <c r="E1191" s="81"/>
      <c r="F1191" s="82"/>
      <c r="G1191" s="81">
        <v>43285</v>
      </c>
      <c r="H1191" s="82">
        <v>267.56</v>
      </c>
      <c r="I1191" s="236">
        <f t="shared" si="19"/>
        <v>-3.2410684349737373E-3</v>
      </c>
    </row>
    <row r="1192" spans="1:9" ht="16">
      <c r="A1192" s="132">
        <v>43264</v>
      </c>
      <c r="B1192" s="79">
        <v>5.44</v>
      </c>
      <c r="E1192" s="81"/>
      <c r="F1192" s="82"/>
      <c r="G1192" s="81">
        <v>43286</v>
      </c>
      <c r="H1192" s="82">
        <v>264.97000000000003</v>
      </c>
      <c r="I1192" s="236">
        <f t="shared" si="19"/>
        <v>-9.6800717596052799E-3</v>
      </c>
    </row>
    <row r="1193" spans="1:9" ht="16">
      <c r="A1193" s="132">
        <v>43265</v>
      </c>
      <c r="B1193" s="79">
        <v>5.48</v>
      </c>
      <c r="E1193" s="81"/>
      <c r="F1193" s="82"/>
      <c r="G1193" s="81">
        <v>43287</v>
      </c>
      <c r="H1193" s="82">
        <v>268.51</v>
      </c>
      <c r="I1193" s="236">
        <f t="shared" si="19"/>
        <v>1.3360003019209588E-2</v>
      </c>
    </row>
    <row r="1194" spans="1:9" ht="16">
      <c r="A1194" s="132">
        <v>43266</v>
      </c>
      <c r="B1194" s="79">
        <v>5.46</v>
      </c>
      <c r="E1194" s="81"/>
      <c r="F1194" s="82"/>
      <c r="G1194" s="81">
        <v>43288</v>
      </c>
      <c r="H1194" s="82">
        <v>269.23</v>
      </c>
      <c r="I1194" s="236">
        <f t="shared" si="19"/>
        <v>2.6814643774906166E-3</v>
      </c>
    </row>
    <row r="1195" spans="1:9" ht="16">
      <c r="A1195" s="132">
        <v>43267</v>
      </c>
      <c r="B1195" s="79">
        <v>5.4</v>
      </c>
      <c r="E1195" s="81"/>
      <c r="F1195" s="82"/>
      <c r="G1195" s="81">
        <v>43291</v>
      </c>
      <c r="H1195" s="82">
        <v>264.19</v>
      </c>
      <c r="I1195" s="236">
        <f t="shared" si="19"/>
        <v>-1.8720053485867139E-2</v>
      </c>
    </row>
    <row r="1196" spans="1:9" ht="16">
      <c r="A1196" s="132">
        <v>43270</v>
      </c>
      <c r="B1196" s="79">
        <v>5.41</v>
      </c>
      <c r="E1196" s="81"/>
      <c r="F1196" s="82"/>
      <c r="G1196" s="81">
        <v>43292</v>
      </c>
      <c r="H1196" s="82">
        <v>261.17</v>
      </c>
      <c r="I1196" s="236">
        <f t="shared" si="19"/>
        <v>-1.1431166963170369E-2</v>
      </c>
    </row>
    <row r="1197" spans="1:9" ht="16">
      <c r="A1197" s="132">
        <v>43271</v>
      </c>
      <c r="B1197" s="79">
        <v>5.44</v>
      </c>
      <c r="E1197" s="81"/>
      <c r="F1197" s="82"/>
      <c r="G1197" s="81">
        <v>43293</v>
      </c>
      <c r="H1197" s="82">
        <v>261.8</v>
      </c>
      <c r="I1197" s="236">
        <f t="shared" si="19"/>
        <v>2.4122219244169241E-3</v>
      </c>
    </row>
    <row r="1198" spans="1:9" ht="16">
      <c r="A1198" s="132">
        <v>43272</v>
      </c>
      <c r="B1198" s="79">
        <v>5.41</v>
      </c>
      <c r="E1198" s="81"/>
      <c r="F1198" s="82"/>
      <c r="G1198" s="81">
        <v>43294</v>
      </c>
      <c r="H1198" s="82">
        <v>259.8</v>
      </c>
      <c r="I1198" s="236">
        <f t="shared" si="19"/>
        <v>-7.6394194041252694E-3</v>
      </c>
    </row>
    <row r="1199" spans="1:9" ht="16">
      <c r="A1199" s="132">
        <v>43273</v>
      </c>
      <c r="B1199" s="79">
        <v>5.33</v>
      </c>
      <c r="E1199" s="81"/>
      <c r="F1199" s="82"/>
      <c r="G1199" s="81">
        <v>43295</v>
      </c>
      <c r="H1199" s="82">
        <v>259.3</v>
      </c>
      <c r="I1199" s="236">
        <f t="shared" si="19"/>
        <v>-1.9245573518090753E-3</v>
      </c>
    </row>
    <row r="1200" spans="1:9" ht="16">
      <c r="A1200" s="132">
        <v>43274</v>
      </c>
      <c r="B1200" s="79">
        <v>5.35</v>
      </c>
      <c r="E1200" s="81"/>
      <c r="F1200" s="82"/>
      <c r="G1200" s="81">
        <v>43298</v>
      </c>
      <c r="H1200" s="82">
        <v>263.72000000000003</v>
      </c>
      <c r="I1200" s="236">
        <f t="shared" si="19"/>
        <v>1.7045892788276173E-2</v>
      </c>
    </row>
    <row r="1201" spans="1:9" ht="16">
      <c r="A1201" s="132">
        <v>43277</v>
      </c>
      <c r="B1201" s="79">
        <v>5.4</v>
      </c>
      <c r="E1201" s="81"/>
      <c r="F1201" s="82"/>
      <c r="G1201" s="81">
        <v>43299</v>
      </c>
      <c r="H1201" s="82">
        <v>264.39999999999998</v>
      </c>
      <c r="I1201" s="236">
        <f t="shared" si="19"/>
        <v>2.5784923403608939E-3</v>
      </c>
    </row>
    <row r="1202" spans="1:9" ht="16">
      <c r="A1202" s="132">
        <v>43278</v>
      </c>
      <c r="B1202" s="79">
        <v>5.45</v>
      </c>
      <c r="E1202" s="81"/>
      <c r="F1202" s="82"/>
      <c r="G1202" s="81">
        <v>43300</v>
      </c>
      <c r="H1202" s="82">
        <v>265.77999999999997</v>
      </c>
      <c r="I1202" s="236">
        <f t="shared" si="19"/>
        <v>5.2193645990923354E-3</v>
      </c>
    </row>
    <row r="1203" spans="1:9" ht="16">
      <c r="A1203" s="132">
        <v>43279</v>
      </c>
      <c r="B1203" s="79">
        <v>5.44</v>
      </c>
      <c r="E1203" s="81"/>
      <c r="F1203" s="82"/>
      <c r="G1203" s="81">
        <v>43301</v>
      </c>
      <c r="H1203" s="82">
        <v>266.7</v>
      </c>
      <c r="I1203" s="236">
        <f t="shared" si="19"/>
        <v>3.4615095191512513E-3</v>
      </c>
    </row>
    <row r="1204" spans="1:9" ht="16">
      <c r="A1204" s="132">
        <v>43280</v>
      </c>
      <c r="B1204" s="79">
        <v>5.41</v>
      </c>
      <c r="E1204" s="81"/>
      <c r="F1204" s="82"/>
      <c r="G1204" s="81">
        <v>43302</v>
      </c>
      <c r="H1204" s="82">
        <v>266.48</v>
      </c>
      <c r="I1204" s="236">
        <f t="shared" si="19"/>
        <v>-8.2489688788889293E-4</v>
      </c>
    </row>
    <row r="1205" spans="1:9" ht="16">
      <c r="A1205" s="132">
        <v>43281</v>
      </c>
      <c r="B1205" s="79">
        <v>5.33</v>
      </c>
      <c r="E1205" s="81"/>
      <c r="F1205" s="82"/>
      <c r="G1205" s="81">
        <v>43305</v>
      </c>
      <c r="H1205" s="82">
        <v>265.98</v>
      </c>
      <c r="I1205" s="236">
        <f t="shared" si="19"/>
        <v>-1.8763134193935382E-3</v>
      </c>
    </row>
    <row r="1206" spans="1:9" ht="16">
      <c r="A1206" s="132">
        <v>43284</v>
      </c>
      <c r="B1206" s="79">
        <v>5.33</v>
      </c>
      <c r="E1206" s="81"/>
      <c r="F1206" s="82"/>
      <c r="G1206" s="81">
        <v>43306</v>
      </c>
      <c r="H1206" s="82">
        <v>265.77999999999997</v>
      </c>
      <c r="I1206" s="236">
        <f t="shared" si="19"/>
        <v>-7.5193623580738223E-4</v>
      </c>
    </row>
    <row r="1207" spans="1:9" ht="16">
      <c r="A1207" s="132">
        <v>43285</v>
      </c>
      <c r="B1207" s="79">
        <v>5.33</v>
      </c>
      <c r="E1207" s="81"/>
      <c r="F1207" s="82"/>
      <c r="G1207" s="81">
        <v>43307</v>
      </c>
      <c r="H1207" s="82">
        <v>266.66000000000003</v>
      </c>
      <c r="I1207" s="236">
        <f t="shared" si="19"/>
        <v>3.3110091052752644E-3</v>
      </c>
    </row>
    <row r="1208" spans="1:9" ht="16">
      <c r="A1208" s="132">
        <v>43286</v>
      </c>
      <c r="B1208" s="79">
        <v>5.34</v>
      </c>
      <c r="E1208" s="81"/>
      <c r="F1208" s="82"/>
      <c r="G1208" s="81">
        <v>43308</v>
      </c>
      <c r="H1208" s="82">
        <v>268.45</v>
      </c>
      <c r="I1208" s="236">
        <f t="shared" si="19"/>
        <v>6.712667816695328E-3</v>
      </c>
    </row>
    <row r="1209" spans="1:9" ht="16">
      <c r="A1209" s="132">
        <v>43287</v>
      </c>
      <c r="B1209" s="79">
        <v>5.43</v>
      </c>
      <c r="E1209" s="81"/>
      <c r="F1209" s="82"/>
      <c r="G1209" s="81">
        <v>43309</v>
      </c>
      <c r="H1209" s="82">
        <v>267.32</v>
      </c>
      <c r="I1209" s="236">
        <f t="shared" si="19"/>
        <v>-4.2093499720617933E-3</v>
      </c>
    </row>
    <row r="1210" spans="1:9" ht="16">
      <c r="A1210" s="132">
        <v>43288</v>
      </c>
      <c r="B1210" s="79">
        <v>5.44</v>
      </c>
      <c r="E1210" s="81"/>
      <c r="F1210" s="82"/>
      <c r="G1210" s="81">
        <v>43312</v>
      </c>
      <c r="H1210" s="82">
        <v>268.36</v>
      </c>
      <c r="I1210" s="236">
        <f t="shared" si="19"/>
        <v>3.8904683525362582E-3</v>
      </c>
    </row>
    <row r="1211" spans="1:9" ht="16">
      <c r="A1211" s="132">
        <v>43291</v>
      </c>
      <c r="B1211" s="79">
        <v>5.46</v>
      </c>
      <c r="E1211" s="81"/>
      <c r="F1211" s="82"/>
      <c r="G1211" s="81">
        <v>43313</v>
      </c>
      <c r="H1211" s="82">
        <v>265.89</v>
      </c>
      <c r="I1211" s="236">
        <f t="shared" si="19"/>
        <v>-9.2040542554777671E-3</v>
      </c>
    </row>
    <row r="1212" spans="1:9" ht="16">
      <c r="A1212" s="132">
        <v>43292</v>
      </c>
      <c r="B1212" s="79">
        <v>5.46</v>
      </c>
      <c r="E1212" s="81"/>
      <c r="F1212" s="82"/>
      <c r="G1212" s="81">
        <v>43314</v>
      </c>
      <c r="H1212" s="82">
        <v>265.88</v>
      </c>
      <c r="I1212" s="236">
        <f t="shared" si="19"/>
        <v>-3.7609537778759972E-5</v>
      </c>
    </row>
    <row r="1213" spans="1:9" ht="16">
      <c r="A1213" s="132">
        <v>43293</v>
      </c>
      <c r="B1213" s="79">
        <v>5.5</v>
      </c>
      <c r="E1213" s="81"/>
      <c r="F1213" s="82"/>
      <c r="G1213" s="81">
        <v>43315</v>
      </c>
      <c r="H1213" s="82">
        <v>267.97000000000003</v>
      </c>
      <c r="I1213" s="236">
        <f t="shared" si="19"/>
        <v>7.8606890326464729E-3</v>
      </c>
    </row>
    <row r="1214" spans="1:9" ht="16">
      <c r="A1214" s="132">
        <v>43294</v>
      </c>
      <c r="B1214" s="79">
        <v>5.58</v>
      </c>
      <c r="E1214" s="81"/>
      <c r="F1214" s="82"/>
      <c r="G1214" s="81">
        <v>43316</v>
      </c>
      <c r="H1214" s="82">
        <v>269.67</v>
      </c>
      <c r="I1214" s="236">
        <f t="shared" si="19"/>
        <v>6.3439937306415395E-3</v>
      </c>
    </row>
    <row r="1215" spans="1:9" ht="16">
      <c r="A1215" s="132">
        <v>43295</v>
      </c>
      <c r="B1215" s="79">
        <v>5.57</v>
      </c>
      <c r="E1215" s="81"/>
      <c r="F1215" s="82"/>
      <c r="G1215" s="81">
        <v>43319</v>
      </c>
      <c r="H1215" s="82">
        <v>269.98</v>
      </c>
      <c r="I1215" s="236">
        <f t="shared" si="19"/>
        <v>1.1495531575629325E-3</v>
      </c>
    </row>
    <row r="1216" spans="1:9" ht="16">
      <c r="A1216" s="132">
        <v>43298</v>
      </c>
      <c r="B1216" s="79">
        <v>5.58</v>
      </c>
      <c r="E1216" s="81"/>
      <c r="F1216" s="82"/>
      <c r="G1216" s="81">
        <v>43320</v>
      </c>
      <c r="H1216" s="82">
        <v>269.94</v>
      </c>
      <c r="I1216" s="236">
        <f t="shared" si="19"/>
        <v>-1.4815912289811717E-4</v>
      </c>
    </row>
    <row r="1217" spans="1:9" ht="16">
      <c r="A1217" s="132">
        <v>43299</v>
      </c>
      <c r="B1217" s="79">
        <v>5.59</v>
      </c>
      <c r="E1217" s="81"/>
      <c r="F1217" s="82"/>
      <c r="G1217" s="81">
        <v>43321</v>
      </c>
      <c r="H1217" s="82">
        <v>269.95999999999998</v>
      </c>
      <c r="I1217" s="236">
        <f t="shared" si="19"/>
        <v>7.4090538638049708E-5</v>
      </c>
    </row>
    <row r="1218" spans="1:9" ht="16">
      <c r="A1218" s="132">
        <v>43300</v>
      </c>
      <c r="B1218" s="79">
        <v>5.58</v>
      </c>
      <c r="E1218" s="81"/>
      <c r="F1218" s="82"/>
      <c r="G1218" s="81">
        <v>43322</v>
      </c>
      <c r="H1218" s="82">
        <v>273.68</v>
      </c>
      <c r="I1218" s="236">
        <f t="shared" si="19"/>
        <v>1.3779819232478951E-2</v>
      </c>
    </row>
    <row r="1219" spans="1:9" ht="16">
      <c r="A1219" s="132">
        <v>43301</v>
      </c>
      <c r="B1219" s="79">
        <v>5.55</v>
      </c>
      <c r="E1219" s="81"/>
      <c r="F1219" s="82"/>
      <c r="G1219" s="81">
        <v>43323</v>
      </c>
      <c r="H1219" s="82">
        <v>274.43</v>
      </c>
      <c r="I1219" s="236">
        <f t="shared" si="19"/>
        <v>2.7404267757964451E-3</v>
      </c>
    </row>
    <row r="1220" spans="1:9" ht="16">
      <c r="A1220" s="132">
        <v>43302</v>
      </c>
      <c r="B1220" s="79">
        <v>5.4</v>
      </c>
      <c r="E1220" s="81"/>
      <c r="F1220" s="82"/>
      <c r="G1220" s="81">
        <v>43326</v>
      </c>
      <c r="H1220" s="82">
        <v>274.16000000000003</v>
      </c>
      <c r="I1220" s="236">
        <f t="shared" si="19"/>
        <v>-9.8385744998719105E-4</v>
      </c>
    </row>
    <row r="1221" spans="1:9" ht="16">
      <c r="A1221" s="132">
        <v>43305</v>
      </c>
      <c r="B1221" s="79">
        <v>5.37</v>
      </c>
      <c r="E1221" s="81"/>
      <c r="F1221" s="82"/>
      <c r="G1221" s="81">
        <v>43327</v>
      </c>
      <c r="H1221" s="82">
        <v>274.02999999999997</v>
      </c>
      <c r="I1221" s="236">
        <f t="shared" si="19"/>
        <v>-4.7417566384611032E-4</v>
      </c>
    </row>
    <row r="1222" spans="1:9" ht="16">
      <c r="A1222" s="132">
        <v>43306</v>
      </c>
      <c r="B1222" s="79">
        <v>5.35</v>
      </c>
      <c r="E1222" s="81"/>
      <c r="F1222" s="82"/>
      <c r="G1222" s="81">
        <v>43328</v>
      </c>
      <c r="H1222" s="82">
        <v>274.42</v>
      </c>
      <c r="I1222" s="236">
        <f t="shared" si="19"/>
        <v>1.4232018392148493E-3</v>
      </c>
    </row>
    <row r="1223" spans="1:9" ht="16">
      <c r="A1223" s="132">
        <v>43307</v>
      </c>
      <c r="B1223" s="79">
        <v>5.35</v>
      </c>
      <c r="E1223" s="81"/>
      <c r="F1223" s="82"/>
      <c r="G1223" s="81">
        <v>43329</v>
      </c>
      <c r="H1223" s="82">
        <v>273.38</v>
      </c>
      <c r="I1223" s="236">
        <f t="shared" si="19"/>
        <v>-3.7898112382480642E-3</v>
      </c>
    </row>
    <row r="1224" spans="1:9" ht="16">
      <c r="A1224" s="132">
        <v>43308</v>
      </c>
      <c r="B1224" s="79">
        <v>5.26</v>
      </c>
      <c r="E1224" s="81"/>
      <c r="F1224" s="82"/>
      <c r="G1224" s="81">
        <v>43330</v>
      </c>
      <c r="H1224" s="82">
        <v>271.13</v>
      </c>
      <c r="I1224" s="236">
        <f t="shared" si="19"/>
        <v>-8.2303021435364832E-3</v>
      </c>
    </row>
    <row r="1225" spans="1:9" ht="16">
      <c r="A1225" s="132">
        <v>43309</v>
      </c>
      <c r="B1225" s="79">
        <v>5.16</v>
      </c>
      <c r="E1225" s="81"/>
      <c r="F1225" s="82"/>
      <c r="G1225" s="81">
        <v>43333</v>
      </c>
      <c r="H1225" s="82">
        <v>269.26</v>
      </c>
      <c r="I1225" s="236">
        <f t="shared" si="19"/>
        <v>-6.8970604507063715E-3</v>
      </c>
    </row>
    <row r="1226" spans="1:9" ht="16">
      <c r="A1226" s="132">
        <v>43311</v>
      </c>
      <c r="B1226" s="79">
        <v>5.19</v>
      </c>
      <c r="E1226" s="81"/>
      <c r="F1226" s="82"/>
      <c r="G1226" s="81">
        <v>43334</v>
      </c>
      <c r="H1226" s="82">
        <v>269.58</v>
      </c>
      <c r="I1226" s="236">
        <f t="shared" si="19"/>
        <v>1.1884423976824543E-3</v>
      </c>
    </row>
    <row r="1227" spans="1:9" ht="16">
      <c r="A1227" s="132">
        <v>43312</v>
      </c>
      <c r="B1227" s="79">
        <v>5.18</v>
      </c>
      <c r="E1227" s="81"/>
      <c r="F1227" s="82"/>
      <c r="G1227" s="81">
        <v>43335</v>
      </c>
      <c r="H1227" s="82">
        <v>268.7</v>
      </c>
      <c r="I1227" s="236">
        <f t="shared" si="19"/>
        <v>-3.2643371169968072E-3</v>
      </c>
    </row>
    <row r="1228" spans="1:9" ht="16">
      <c r="A1228" s="132">
        <v>43313</v>
      </c>
      <c r="B1228" s="79">
        <v>5.17</v>
      </c>
      <c r="E1228" s="81"/>
      <c r="F1228" s="82"/>
      <c r="G1228" s="81">
        <v>43336</v>
      </c>
      <c r="H1228" s="82">
        <v>273.05</v>
      </c>
      <c r="I1228" s="236">
        <f t="shared" si="19"/>
        <v>1.6189058429475267E-2</v>
      </c>
    </row>
    <row r="1229" spans="1:9" ht="16">
      <c r="A1229" s="132">
        <v>43314</v>
      </c>
      <c r="B1229" s="79">
        <v>5.25</v>
      </c>
      <c r="E1229" s="81"/>
      <c r="F1229" s="82"/>
      <c r="G1229" s="81">
        <v>43337</v>
      </c>
      <c r="H1229" s="82">
        <v>273.3</v>
      </c>
      <c r="I1229" s="236">
        <f t="shared" si="19"/>
        <v>9.155832265153041E-4</v>
      </c>
    </row>
    <row r="1230" spans="1:9" ht="16">
      <c r="A1230" s="132">
        <v>43315</v>
      </c>
      <c r="B1230" s="79">
        <v>5.2</v>
      </c>
      <c r="E1230" s="81"/>
      <c r="F1230" s="82"/>
      <c r="G1230" s="81">
        <v>43340</v>
      </c>
      <c r="H1230" s="82">
        <v>270.16000000000003</v>
      </c>
      <c r="I1230" s="236">
        <f t="shared" si="19"/>
        <v>-1.1489206000731778E-2</v>
      </c>
    </row>
    <row r="1231" spans="1:9" ht="16">
      <c r="A1231" s="132">
        <v>43316</v>
      </c>
      <c r="B1231" s="79">
        <v>5.22</v>
      </c>
      <c r="E1231" s="81"/>
      <c r="F1231" s="82"/>
      <c r="G1231" s="81">
        <v>43341</v>
      </c>
      <c r="H1231" s="82">
        <v>270.04000000000002</v>
      </c>
      <c r="I1231" s="236">
        <f t="shared" si="19"/>
        <v>-4.4418122594025444E-4</v>
      </c>
    </row>
    <row r="1232" spans="1:9" ht="16">
      <c r="A1232" s="132">
        <v>43319</v>
      </c>
      <c r="B1232" s="79">
        <v>5.23</v>
      </c>
      <c r="E1232" s="81"/>
      <c r="F1232" s="82"/>
      <c r="G1232" s="81">
        <v>43342</v>
      </c>
      <c r="H1232" s="82">
        <v>270.04000000000002</v>
      </c>
      <c r="I1232" s="236">
        <f t="shared" ref="I1232:I1295" si="20">H1232/H1231-1</f>
        <v>0</v>
      </c>
    </row>
    <row r="1233" spans="1:9" ht="16">
      <c r="A1233" s="132">
        <v>43320</v>
      </c>
      <c r="B1233" s="79">
        <v>5.25</v>
      </c>
      <c r="E1233" s="81"/>
      <c r="F1233" s="82"/>
      <c r="G1233" s="81">
        <v>43343</v>
      </c>
      <c r="H1233" s="82">
        <v>266.43</v>
      </c>
      <c r="I1233" s="236">
        <f t="shared" si="20"/>
        <v>-1.3368389868167685E-2</v>
      </c>
    </row>
    <row r="1234" spans="1:9" ht="16">
      <c r="A1234" s="132">
        <v>43321</v>
      </c>
      <c r="B1234" s="79">
        <v>5.22</v>
      </c>
      <c r="E1234" s="81"/>
      <c r="F1234" s="82"/>
      <c r="G1234" s="81">
        <v>43344</v>
      </c>
      <c r="H1234" s="82">
        <v>265.77999999999997</v>
      </c>
      <c r="I1234" s="236">
        <f t="shared" si="20"/>
        <v>-2.4396652028676469E-3</v>
      </c>
    </row>
    <row r="1235" spans="1:9" ht="16">
      <c r="A1235" s="132">
        <v>43322</v>
      </c>
      <c r="B1235" s="79">
        <v>5.18</v>
      </c>
      <c r="E1235" s="81"/>
      <c r="F1235" s="82"/>
      <c r="G1235" s="81">
        <v>43347</v>
      </c>
      <c r="H1235" s="82">
        <v>265.18</v>
      </c>
      <c r="I1235" s="236">
        <f t="shared" si="20"/>
        <v>-2.2575062081419128E-3</v>
      </c>
    </row>
    <row r="1236" spans="1:9" ht="16">
      <c r="A1236" s="132">
        <v>43323</v>
      </c>
      <c r="B1236" s="79">
        <v>5.2</v>
      </c>
      <c r="E1236" s="81"/>
      <c r="F1236" s="82"/>
      <c r="G1236" s="81">
        <v>43348</v>
      </c>
      <c r="H1236" s="82">
        <v>264.02</v>
      </c>
      <c r="I1236" s="236">
        <f t="shared" si="20"/>
        <v>-4.374387208688546E-3</v>
      </c>
    </row>
    <row r="1237" spans="1:9" ht="16">
      <c r="A1237" s="132">
        <v>43326</v>
      </c>
      <c r="B1237" s="79">
        <v>5.18</v>
      </c>
      <c r="E1237" s="81"/>
      <c r="F1237" s="82"/>
      <c r="G1237" s="81">
        <v>43349</v>
      </c>
      <c r="H1237" s="82">
        <v>262.8</v>
      </c>
      <c r="I1237" s="236">
        <f t="shared" si="20"/>
        <v>-4.6208620559047286E-3</v>
      </c>
    </row>
    <row r="1238" spans="1:9" ht="16">
      <c r="A1238" s="132">
        <v>43327</v>
      </c>
      <c r="B1238" s="79">
        <v>5.18</v>
      </c>
      <c r="E1238" s="81"/>
      <c r="F1238" s="82"/>
      <c r="G1238" s="81">
        <v>43350</v>
      </c>
      <c r="H1238" s="82">
        <v>263.10000000000002</v>
      </c>
      <c r="I1238" s="236">
        <f t="shared" si="20"/>
        <v>1.1415525114155667E-3</v>
      </c>
    </row>
    <row r="1239" spans="1:9" ht="16">
      <c r="A1239" s="132">
        <v>43328</v>
      </c>
      <c r="B1239" s="79">
        <v>5.25</v>
      </c>
      <c r="E1239" s="81"/>
      <c r="F1239" s="82"/>
      <c r="G1239" s="81">
        <v>43351</v>
      </c>
      <c r="H1239" s="82">
        <v>266.70999999999998</v>
      </c>
      <c r="I1239" s="236">
        <f t="shared" si="20"/>
        <v>1.3721018624097026E-2</v>
      </c>
    </row>
    <row r="1240" spans="1:9" ht="16">
      <c r="A1240" s="132">
        <v>43329</v>
      </c>
      <c r="B1240" s="79">
        <v>5.24</v>
      </c>
      <c r="E1240" s="81"/>
      <c r="F1240" s="82"/>
      <c r="G1240" s="81">
        <v>43354</v>
      </c>
      <c r="H1240" s="82">
        <v>269.52</v>
      </c>
      <c r="I1240" s="236">
        <f t="shared" si="20"/>
        <v>1.053578793446075E-2</v>
      </c>
    </row>
    <row r="1241" spans="1:9" ht="16">
      <c r="A1241" s="132">
        <v>43330</v>
      </c>
      <c r="B1241" s="79">
        <v>5.29</v>
      </c>
      <c r="E1241" s="81"/>
      <c r="F1241" s="82"/>
      <c r="G1241" s="81">
        <v>43355</v>
      </c>
      <c r="H1241" s="82">
        <v>267.82</v>
      </c>
      <c r="I1241" s="236">
        <f t="shared" si="20"/>
        <v>-6.3075096467793967E-3</v>
      </c>
    </row>
    <row r="1242" spans="1:9" ht="16">
      <c r="A1242" s="132">
        <v>43333</v>
      </c>
      <c r="B1242" s="79">
        <v>5.34</v>
      </c>
      <c r="E1242" s="81"/>
      <c r="F1242" s="82"/>
      <c r="G1242" s="81">
        <v>43356</v>
      </c>
      <c r="H1242" s="82">
        <v>264.52</v>
      </c>
      <c r="I1242" s="236">
        <f t="shared" si="20"/>
        <v>-1.2321708610260718E-2</v>
      </c>
    </row>
    <row r="1243" spans="1:9" ht="16">
      <c r="A1243" s="132">
        <v>43334</v>
      </c>
      <c r="B1243" s="79">
        <v>5.36</v>
      </c>
      <c r="E1243" s="81"/>
      <c r="F1243" s="82"/>
      <c r="G1243" s="81">
        <v>43357</v>
      </c>
      <c r="H1243" s="82">
        <v>263.36</v>
      </c>
      <c r="I1243" s="236">
        <f t="shared" si="20"/>
        <v>-4.3853016785119214E-3</v>
      </c>
    </row>
    <row r="1244" spans="1:9" ht="16">
      <c r="A1244" s="132">
        <v>43335</v>
      </c>
      <c r="B1244" s="79">
        <v>5.35</v>
      </c>
      <c r="E1244" s="81"/>
      <c r="F1244" s="82"/>
      <c r="G1244" s="81">
        <v>43358</v>
      </c>
      <c r="H1244" s="82">
        <v>258.70999999999998</v>
      </c>
      <c r="I1244" s="236">
        <f t="shared" si="20"/>
        <v>-1.7656439854192074E-2</v>
      </c>
    </row>
    <row r="1245" spans="1:9" ht="16">
      <c r="A1245" s="132">
        <v>43336</v>
      </c>
      <c r="B1245" s="79">
        <v>5.34</v>
      </c>
      <c r="E1245" s="81"/>
      <c r="F1245" s="82"/>
      <c r="G1245" s="81">
        <v>43361</v>
      </c>
      <c r="H1245" s="82">
        <v>257.75</v>
      </c>
      <c r="I1245" s="236">
        <f t="shared" si="20"/>
        <v>-3.7107185651887864E-3</v>
      </c>
    </row>
    <row r="1246" spans="1:9" ht="16">
      <c r="A1246" s="132">
        <v>43337</v>
      </c>
      <c r="B1246" s="79">
        <v>5.36</v>
      </c>
      <c r="E1246" s="81"/>
      <c r="F1246" s="82"/>
      <c r="G1246" s="81">
        <v>43362</v>
      </c>
      <c r="H1246" s="82">
        <v>259.27</v>
      </c>
      <c r="I1246" s="236">
        <f t="shared" si="20"/>
        <v>5.8971871968962475E-3</v>
      </c>
    </row>
    <row r="1247" spans="1:9" ht="16">
      <c r="A1247" s="132">
        <v>43340</v>
      </c>
      <c r="B1247" s="79">
        <v>5.43</v>
      </c>
      <c r="E1247" s="81"/>
      <c r="F1247" s="82"/>
      <c r="G1247" s="81">
        <v>43363</v>
      </c>
      <c r="H1247" s="82">
        <v>255.58</v>
      </c>
      <c r="I1247" s="236">
        <f t="shared" si="20"/>
        <v>-1.4232267520345454E-2</v>
      </c>
    </row>
    <row r="1248" spans="1:9" ht="16">
      <c r="A1248" s="132">
        <v>43341</v>
      </c>
      <c r="B1248" s="79">
        <v>5.42</v>
      </c>
      <c r="E1248" s="81"/>
      <c r="F1248" s="82"/>
      <c r="G1248" s="81">
        <v>43364</v>
      </c>
      <c r="H1248" s="82">
        <v>253.71</v>
      </c>
      <c r="I1248" s="236">
        <f t="shared" si="20"/>
        <v>-7.3166914469050548E-3</v>
      </c>
    </row>
    <row r="1249" spans="1:9" ht="16">
      <c r="A1249" s="132">
        <v>43342</v>
      </c>
      <c r="B1249" s="79">
        <v>5.47</v>
      </c>
      <c r="E1249" s="81"/>
      <c r="F1249" s="82"/>
      <c r="G1249" s="81">
        <v>43365</v>
      </c>
      <c r="H1249" s="82">
        <v>249.03</v>
      </c>
      <c r="I1249" s="236">
        <f t="shared" si="20"/>
        <v>-1.8446257538134114E-2</v>
      </c>
    </row>
    <row r="1250" spans="1:9" ht="16">
      <c r="A1250" s="132">
        <v>43343</v>
      </c>
      <c r="B1250" s="79">
        <v>5.55</v>
      </c>
      <c r="E1250" s="81"/>
      <c r="F1250" s="82"/>
      <c r="G1250" s="81">
        <v>43368</v>
      </c>
      <c r="H1250" s="82">
        <v>244.28</v>
      </c>
      <c r="I1250" s="236">
        <f t="shared" si="20"/>
        <v>-1.9074007147733218E-2</v>
      </c>
    </row>
    <row r="1251" spans="1:9" ht="16">
      <c r="A1251" s="132">
        <v>43344</v>
      </c>
      <c r="B1251" s="79">
        <v>5.53</v>
      </c>
      <c r="E1251" s="81"/>
      <c r="F1251" s="82"/>
      <c r="G1251" s="81">
        <v>43369</v>
      </c>
      <c r="H1251" s="82">
        <v>245.01</v>
      </c>
      <c r="I1251" s="236">
        <f t="shared" si="20"/>
        <v>2.9883739970524292E-3</v>
      </c>
    </row>
    <row r="1252" spans="1:9" ht="16">
      <c r="A1252" s="132">
        <v>43347</v>
      </c>
      <c r="B1252" s="79">
        <v>5.54</v>
      </c>
      <c r="E1252" s="81"/>
      <c r="F1252" s="82"/>
      <c r="G1252" s="81">
        <v>43370</v>
      </c>
      <c r="H1252" s="82">
        <v>241.76</v>
      </c>
      <c r="I1252" s="236">
        <f t="shared" si="20"/>
        <v>-1.326476470348148E-2</v>
      </c>
    </row>
    <row r="1253" spans="1:9" ht="16">
      <c r="A1253" s="132">
        <v>43348</v>
      </c>
      <c r="B1253" s="79">
        <v>5.58</v>
      </c>
      <c r="E1253" s="81"/>
      <c r="F1253" s="82"/>
      <c r="G1253" s="81">
        <v>43371</v>
      </c>
      <c r="H1253" s="82">
        <v>240.73</v>
      </c>
      <c r="I1253" s="236">
        <f t="shared" si="20"/>
        <v>-4.2604235605558927E-3</v>
      </c>
    </row>
    <row r="1254" spans="1:9" ht="16">
      <c r="A1254" s="132">
        <v>43349</v>
      </c>
      <c r="B1254" s="79">
        <v>5.58</v>
      </c>
      <c r="E1254" s="81"/>
      <c r="F1254" s="82"/>
      <c r="G1254" s="81">
        <v>43372</v>
      </c>
      <c r="H1254" s="82">
        <v>241.86</v>
      </c>
      <c r="I1254" s="236">
        <f t="shared" si="20"/>
        <v>4.6940555809413809E-3</v>
      </c>
    </row>
    <row r="1255" spans="1:9" ht="16">
      <c r="A1255" s="132">
        <v>43350</v>
      </c>
      <c r="B1255" s="79">
        <v>5.56</v>
      </c>
      <c r="E1255" s="81"/>
      <c r="F1255" s="82"/>
      <c r="G1255" s="81">
        <v>43375</v>
      </c>
      <c r="H1255" s="82">
        <v>242.13</v>
      </c>
      <c r="I1255" s="236">
        <f t="shared" si="20"/>
        <v>1.1163483006697561E-3</v>
      </c>
    </row>
    <row r="1256" spans="1:9" ht="16">
      <c r="A1256" s="132">
        <v>43351</v>
      </c>
      <c r="B1256" s="79">
        <v>5.58</v>
      </c>
      <c r="E1256" s="81"/>
      <c r="F1256" s="82"/>
      <c r="G1256" s="81">
        <v>43376</v>
      </c>
      <c r="H1256" s="82">
        <v>247.15</v>
      </c>
      <c r="I1256" s="236">
        <f t="shared" si="20"/>
        <v>2.0732664271259305E-2</v>
      </c>
    </row>
    <row r="1257" spans="1:9" ht="16">
      <c r="A1257" s="132">
        <v>43354</v>
      </c>
      <c r="B1257" s="79">
        <v>5.58</v>
      </c>
      <c r="E1257" s="81"/>
      <c r="F1257" s="82"/>
      <c r="G1257" s="81">
        <v>43377</v>
      </c>
      <c r="H1257" s="82">
        <v>249.7</v>
      </c>
      <c r="I1257" s="236">
        <f t="shared" si="20"/>
        <v>1.0317620878009137E-2</v>
      </c>
    </row>
    <row r="1258" spans="1:9" ht="16">
      <c r="A1258" s="132">
        <v>43355</v>
      </c>
      <c r="B1258" s="79">
        <v>5.63</v>
      </c>
      <c r="E1258" s="81"/>
      <c r="F1258" s="82"/>
      <c r="G1258" s="81">
        <v>43378</v>
      </c>
      <c r="H1258" s="82">
        <v>249.86</v>
      </c>
      <c r="I1258" s="236">
        <f t="shared" si="20"/>
        <v>6.4076892270725772E-4</v>
      </c>
    </row>
    <row r="1259" spans="1:9" ht="16">
      <c r="A1259" s="132">
        <v>43356</v>
      </c>
      <c r="B1259" s="79">
        <v>5.71</v>
      </c>
      <c r="E1259" s="81"/>
      <c r="F1259" s="82"/>
      <c r="G1259" s="81">
        <v>43379</v>
      </c>
      <c r="H1259" s="82">
        <v>246.52</v>
      </c>
      <c r="I1259" s="236">
        <f t="shared" si="20"/>
        <v>-1.336748579204361E-2</v>
      </c>
    </row>
    <row r="1260" spans="1:9" ht="16">
      <c r="A1260" s="132">
        <v>43357</v>
      </c>
      <c r="B1260" s="79">
        <v>5.74</v>
      </c>
      <c r="E1260" s="81"/>
      <c r="F1260" s="82"/>
      <c r="G1260" s="81">
        <v>43382</v>
      </c>
      <c r="H1260" s="82">
        <v>242.76</v>
      </c>
      <c r="I1260" s="236">
        <f t="shared" si="20"/>
        <v>-1.5252312185623951E-2</v>
      </c>
    </row>
    <row r="1261" spans="1:9" ht="16">
      <c r="A1261" s="132">
        <v>43358</v>
      </c>
      <c r="B1261" s="79">
        <v>5.79</v>
      </c>
      <c r="E1261" s="81"/>
      <c r="F1261" s="82"/>
      <c r="G1261" s="81">
        <v>43383</v>
      </c>
      <c r="H1261" s="82">
        <v>238.05</v>
      </c>
      <c r="I1261" s="236">
        <f t="shared" si="20"/>
        <v>-1.9401878398418115E-2</v>
      </c>
    </row>
    <row r="1262" spans="1:9" ht="16">
      <c r="A1262" s="132">
        <v>43361</v>
      </c>
      <c r="B1262" s="79">
        <v>5.79</v>
      </c>
      <c r="E1262" s="81"/>
      <c r="F1262" s="82"/>
      <c r="G1262" s="81">
        <v>43384</v>
      </c>
      <c r="H1262" s="82">
        <v>238.2</v>
      </c>
      <c r="I1262" s="236">
        <f t="shared" si="20"/>
        <v>6.3011972274717998E-4</v>
      </c>
    </row>
    <row r="1263" spans="1:9" ht="16">
      <c r="A1263" s="132">
        <v>43362</v>
      </c>
      <c r="B1263" s="79">
        <v>5.86</v>
      </c>
      <c r="E1263" s="81"/>
      <c r="F1263" s="82"/>
      <c r="G1263" s="81">
        <v>43385</v>
      </c>
      <c r="H1263" s="82">
        <v>235.74</v>
      </c>
      <c r="I1263" s="236">
        <f t="shared" si="20"/>
        <v>-1.0327455919395434E-2</v>
      </c>
    </row>
    <row r="1264" spans="1:9" ht="16">
      <c r="A1264" s="132">
        <v>43363</v>
      </c>
      <c r="B1264" s="79">
        <v>5.86</v>
      </c>
      <c r="E1264" s="81"/>
      <c r="F1264" s="82"/>
      <c r="G1264" s="81">
        <v>43386</v>
      </c>
      <c r="H1264" s="82">
        <v>237.27</v>
      </c>
      <c r="I1264" s="236">
        <f t="shared" si="20"/>
        <v>6.490201068974244E-3</v>
      </c>
    </row>
    <row r="1265" spans="1:9" ht="16">
      <c r="A1265" s="132">
        <v>43364</v>
      </c>
      <c r="B1265" s="79">
        <v>5.96</v>
      </c>
      <c r="E1265" s="81"/>
      <c r="F1265" s="82"/>
      <c r="G1265" s="81">
        <v>43389</v>
      </c>
      <c r="H1265" s="82">
        <v>238.83</v>
      </c>
      <c r="I1265" s="236">
        <f t="shared" si="20"/>
        <v>6.574788215956584E-3</v>
      </c>
    </row>
    <row r="1266" spans="1:9" ht="16">
      <c r="A1266" s="132">
        <v>43365</v>
      </c>
      <c r="B1266" s="79">
        <v>6.05</v>
      </c>
      <c r="E1266" s="81"/>
      <c r="F1266" s="82"/>
      <c r="G1266" s="81">
        <v>43390</v>
      </c>
      <c r="H1266" s="82">
        <v>241.48</v>
      </c>
      <c r="I1266" s="236">
        <f t="shared" si="20"/>
        <v>1.1095758489301888E-2</v>
      </c>
    </row>
    <row r="1267" spans="1:9" ht="16">
      <c r="A1267" s="132">
        <v>43368</v>
      </c>
      <c r="B1267" s="79">
        <v>6.19</v>
      </c>
      <c r="E1267" s="81"/>
      <c r="F1267" s="82"/>
      <c r="G1267" s="81">
        <v>43391</v>
      </c>
      <c r="H1267" s="82">
        <v>237.94</v>
      </c>
      <c r="I1267" s="236">
        <f t="shared" si="20"/>
        <v>-1.4659599138645008E-2</v>
      </c>
    </row>
    <row r="1268" spans="1:9" ht="16">
      <c r="A1268" s="132">
        <v>43369</v>
      </c>
      <c r="B1268" s="79">
        <v>6.27</v>
      </c>
      <c r="E1268" s="81"/>
      <c r="F1268" s="82"/>
      <c r="G1268" s="81">
        <v>43392</v>
      </c>
      <c r="H1268" s="82">
        <v>238.47</v>
      </c>
      <c r="I1268" s="236">
        <f t="shared" si="20"/>
        <v>2.2274522988989798E-3</v>
      </c>
    </row>
    <row r="1269" spans="1:9" ht="16">
      <c r="A1269" s="132">
        <v>43370</v>
      </c>
      <c r="B1269" s="79">
        <v>6.33</v>
      </c>
      <c r="E1269" s="81"/>
      <c r="F1269" s="82"/>
      <c r="G1269" s="81">
        <v>43393</v>
      </c>
      <c r="H1269" s="82">
        <v>238.58</v>
      </c>
      <c r="I1269" s="236">
        <f t="shared" si="20"/>
        <v>4.6127395479511613E-4</v>
      </c>
    </row>
    <row r="1270" spans="1:9" ht="16">
      <c r="A1270" s="132">
        <v>43371</v>
      </c>
      <c r="B1270" s="79">
        <v>6.33</v>
      </c>
      <c r="E1270" s="81"/>
      <c r="F1270" s="82"/>
      <c r="G1270" s="81">
        <v>43396</v>
      </c>
      <c r="H1270" s="82">
        <v>232.55</v>
      </c>
      <c r="I1270" s="236">
        <f t="shared" si="20"/>
        <v>-2.5274541034453812E-2</v>
      </c>
    </row>
    <row r="1271" spans="1:9" ht="16">
      <c r="A1271" s="132">
        <v>43372</v>
      </c>
      <c r="B1271" s="79">
        <v>6.32</v>
      </c>
      <c r="E1271" s="81"/>
      <c r="F1271" s="82"/>
      <c r="G1271" s="81">
        <v>43397</v>
      </c>
      <c r="H1271" s="82">
        <v>232.64</v>
      </c>
      <c r="I1271" s="236">
        <f t="shared" si="20"/>
        <v>3.8701354547399092E-4</v>
      </c>
    </row>
    <row r="1272" spans="1:9" ht="16">
      <c r="A1272" s="132">
        <v>43375</v>
      </c>
      <c r="B1272" s="79">
        <v>6.31</v>
      </c>
      <c r="E1272" s="81"/>
      <c r="F1272" s="82"/>
      <c r="G1272" s="81">
        <v>43398</v>
      </c>
      <c r="H1272" s="82">
        <v>235.08</v>
      </c>
      <c r="I1272" s="236">
        <f t="shared" si="20"/>
        <v>1.0488308115543354E-2</v>
      </c>
    </row>
    <row r="1273" spans="1:9" ht="16">
      <c r="A1273" s="132">
        <v>43376</v>
      </c>
      <c r="B1273" s="79">
        <v>6.19</v>
      </c>
      <c r="E1273" s="81"/>
      <c r="F1273" s="82"/>
      <c r="G1273" s="81">
        <v>43399</v>
      </c>
      <c r="H1273" s="82">
        <v>236.08</v>
      </c>
      <c r="I1273" s="236">
        <f t="shared" si="20"/>
        <v>4.2538710226305287E-3</v>
      </c>
    </row>
    <row r="1274" spans="1:9" ht="16">
      <c r="A1274" s="132">
        <v>43377</v>
      </c>
      <c r="B1274" s="79">
        <v>6.27</v>
      </c>
      <c r="E1274" s="81"/>
      <c r="F1274" s="82"/>
      <c r="G1274" s="81">
        <v>43400</v>
      </c>
      <c r="H1274" s="82">
        <v>232.7</v>
      </c>
      <c r="I1274" s="236">
        <f t="shared" si="20"/>
        <v>-1.4317180616740144E-2</v>
      </c>
    </row>
    <row r="1275" spans="1:9" ht="16">
      <c r="A1275" s="132">
        <v>43378</v>
      </c>
      <c r="B1275" s="79">
        <v>6.3</v>
      </c>
      <c r="E1275" s="81"/>
      <c r="F1275" s="82"/>
      <c r="G1275" s="81">
        <v>43403</v>
      </c>
      <c r="H1275" s="82">
        <v>233.14</v>
      </c>
      <c r="I1275" s="236">
        <f t="shared" si="20"/>
        <v>1.8908465835840715E-3</v>
      </c>
    </row>
    <row r="1276" spans="1:9" ht="16">
      <c r="A1276" s="132">
        <v>43379</v>
      </c>
      <c r="B1276" s="79">
        <v>6.37</v>
      </c>
      <c r="E1276" s="81"/>
      <c r="F1276" s="82"/>
      <c r="G1276" s="81">
        <v>43404</v>
      </c>
      <c r="H1276" s="82">
        <v>237.78</v>
      </c>
      <c r="I1276" s="236">
        <f t="shared" si="20"/>
        <v>1.9902204683881042E-2</v>
      </c>
    </row>
    <row r="1277" spans="1:9" ht="16">
      <c r="A1277" s="132">
        <v>43382</v>
      </c>
      <c r="B1277" s="79">
        <v>6.38</v>
      </c>
      <c r="E1277" s="81"/>
      <c r="F1277" s="82"/>
      <c r="G1277" s="81">
        <v>43405</v>
      </c>
      <c r="H1277" s="82">
        <v>239.09</v>
      </c>
      <c r="I1277" s="236">
        <f t="shared" si="20"/>
        <v>5.5092943056607169E-3</v>
      </c>
    </row>
    <row r="1278" spans="1:9" ht="16">
      <c r="A1278" s="132">
        <v>43383</v>
      </c>
      <c r="B1278" s="79">
        <v>6.47</v>
      </c>
      <c r="E1278" s="81"/>
      <c r="F1278" s="82"/>
      <c r="G1278" s="81">
        <v>43406</v>
      </c>
      <c r="H1278" s="82">
        <v>237.17</v>
      </c>
      <c r="I1278" s="236">
        <f t="shared" si="20"/>
        <v>-8.030448784976385E-3</v>
      </c>
    </row>
    <row r="1279" spans="1:9" ht="16">
      <c r="A1279" s="132">
        <v>43384</v>
      </c>
      <c r="B1279" s="79">
        <v>6.49</v>
      </c>
      <c r="E1279" s="81"/>
      <c r="F1279" s="82"/>
      <c r="G1279" s="81">
        <v>43407</v>
      </c>
      <c r="H1279" s="82">
        <v>243.36</v>
      </c>
      <c r="I1279" s="236">
        <f t="shared" si="20"/>
        <v>2.6099422355272628E-2</v>
      </c>
    </row>
    <row r="1280" spans="1:9" ht="16">
      <c r="A1280" s="132">
        <v>43385</v>
      </c>
      <c r="B1280" s="79">
        <v>6.54</v>
      </c>
      <c r="E1280" s="81"/>
      <c r="F1280" s="82"/>
      <c r="G1280" s="81">
        <v>43410</v>
      </c>
      <c r="H1280" s="82">
        <v>245.9</v>
      </c>
      <c r="I1280" s="236">
        <f t="shared" si="20"/>
        <v>1.0437212360289161E-2</v>
      </c>
    </row>
    <row r="1281" spans="1:9" ht="16">
      <c r="A1281" s="132">
        <v>43386</v>
      </c>
      <c r="B1281" s="79">
        <v>6.58</v>
      </c>
      <c r="E1281" s="81"/>
      <c r="F1281" s="82"/>
      <c r="G1281" s="81">
        <v>43411</v>
      </c>
      <c r="H1281" s="82">
        <v>245.9</v>
      </c>
      <c r="I1281" s="236">
        <f t="shared" si="20"/>
        <v>0</v>
      </c>
    </row>
    <row r="1282" spans="1:9" ht="16">
      <c r="A1282" s="132">
        <v>43389</v>
      </c>
      <c r="B1282" s="79">
        <v>6.6</v>
      </c>
      <c r="E1282" s="81"/>
      <c r="F1282" s="82"/>
      <c r="G1282" s="81">
        <v>43412</v>
      </c>
      <c r="H1282" s="82">
        <v>244.96</v>
      </c>
      <c r="I1282" s="236">
        <f t="shared" si="20"/>
        <v>-3.8226921512809486E-3</v>
      </c>
    </row>
    <row r="1283" spans="1:9" ht="16">
      <c r="A1283" s="132">
        <v>43390</v>
      </c>
      <c r="B1283" s="79">
        <v>6.63</v>
      </c>
      <c r="E1283" s="81"/>
      <c r="F1283" s="82"/>
      <c r="G1283" s="81">
        <v>43413</v>
      </c>
      <c r="H1283" s="82">
        <v>243.72</v>
      </c>
      <c r="I1283" s="236">
        <f t="shared" si="20"/>
        <v>-5.0620509470934438E-3</v>
      </c>
    </row>
    <row r="1284" spans="1:9" ht="16">
      <c r="A1284" s="132">
        <v>43391</v>
      </c>
      <c r="B1284" s="79">
        <v>6.69</v>
      </c>
      <c r="E1284" s="81"/>
      <c r="F1284" s="82"/>
      <c r="G1284" s="81">
        <v>43414</v>
      </c>
      <c r="H1284" s="82">
        <v>252.99</v>
      </c>
      <c r="I1284" s="236">
        <f t="shared" si="20"/>
        <v>3.8035450516986646E-2</v>
      </c>
    </row>
    <row r="1285" spans="1:9" ht="16">
      <c r="A1285" s="132">
        <v>43392</v>
      </c>
      <c r="B1285" s="79">
        <v>6.78</v>
      </c>
      <c r="E1285" s="81"/>
      <c r="F1285" s="82"/>
      <c r="G1285" s="81">
        <v>43417</v>
      </c>
      <c r="H1285" s="82">
        <v>254.5</v>
      </c>
      <c r="I1285" s="236">
        <f t="shared" si="20"/>
        <v>5.9686153602909187E-3</v>
      </c>
    </row>
    <row r="1286" spans="1:9" ht="16">
      <c r="A1286" s="132">
        <v>43393</v>
      </c>
      <c r="B1286" s="79">
        <v>6.82</v>
      </c>
      <c r="E1286" s="81"/>
      <c r="F1286" s="82"/>
      <c r="G1286" s="81">
        <v>43418</v>
      </c>
      <c r="H1286" s="82">
        <v>259.58</v>
      </c>
      <c r="I1286" s="236">
        <f t="shared" si="20"/>
        <v>1.996070726915522E-2</v>
      </c>
    </row>
    <row r="1287" spans="1:9" ht="16">
      <c r="A1287" s="132">
        <v>43396</v>
      </c>
      <c r="B1287" s="79">
        <v>6.79</v>
      </c>
      <c r="E1287" s="81"/>
      <c r="F1287" s="82"/>
      <c r="G1287" s="81">
        <v>43419</v>
      </c>
      <c r="H1287" s="82">
        <v>257.61</v>
      </c>
      <c r="I1287" s="236">
        <f t="shared" si="20"/>
        <v>-7.5891825256182432E-3</v>
      </c>
    </row>
    <row r="1288" spans="1:9" ht="16">
      <c r="A1288" s="132">
        <v>43397</v>
      </c>
      <c r="B1288" s="79">
        <v>6.74</v>
      </c>
      <c r="E1288" s="81"/>
      <c r="F1288" s="82"/>
      <c r="G1288" s="81">
        <v>43420</v>
      </c>
      <c r="H1288" s="82">
        <v>255.93</v>
      </c>
      <c r="I1288" s="236">
        <f t="shared" si="20"/>
        <v>-6.5214859671597347E-3</v>
      </c>
    </row>
    <row r="1289" spans="1:9" ht="16">
      <c r="A1289" s="132">
        <v>43398</v>
      </c>
      <c r="B1289" s="79">
        <v>6.68</v>
      </c>
      <c r="E1289" s="81"/>
      <c r="F1289" s="82"/>
      <c r="G1289" s="81">
        <v>43421</v>
      </c>
      <c r="H1289" s="82">
        <v>255.38</v>
      </c>
      <c r="I1289" s="236">
        <f t="shared" si="20"/>
        <v>-2.1490251240574576E-3</v>
      </c>
    </row>
    <row r="1290" spans="1:9" ht="16">
      <c r="A1290" s="132">
        <v>43399</v>
      </c>
      <c r="B1290" s="79">
        <v>6.67</v>
      </c>
      <c r="E1290" s="81"/>
      <c r="F1290" s="82"/>
      <c r="G1290" s="81">
        <v>43424</v>
      </c>
      <c r="H1290" s="82">
        <v>252.71</v>
      </c>
      <c r="I1290" s="236">
        <f t="shared" si="20"/>
        <v>-1.045500822304013E-2</v>
      </c>
    </row>
    <row r="1291" spans="1:9" ht="16">
      <c r="A1291" s="132">
        <v>43400</v>
      </c>
      <c r="B1291" s="79">
        <v>6.65</v>
      </c>
      <c r="E1291" s="81"/>
      <c r="F1291" s="82"/>
      <c r="G1291" s="81">
        <v>43425</v>
      </c>
      <c r="H1291" s="82">
        <v>252.28</v>
      </c>
      <c r="I1291" s="236">
        <f t="shared" si="20"/>
        <v>-1.7015551422580044E-3</v>
      </c>
    </row>
    <row r="1292" spans="1:9" ht="16">
      <c r="A1292" s="132">
        <v>43403</v>
      </c>
      <c r="B1292" s="79">
        <v>6.73</v>
      </c>
      <c r="E1292" s="81"/>
      <c r="F1292" s="82"/>
      <c r="G1292" s="81">
        <v>43426</v>
      </c>
      <c r="H1292" s="82">
        <v>253.28</v>
      </c>
      <c r="I1292" s="236">
        <f t="shared" si="20"/>
        <v>3.963849690819643E-3</v>
      </c>
    </row>
    <row r="1293" spans="1:9" ht="16">
      <c r="A1293" s="132">
        <v>43404</v>
      </c>
      <c r="B1293" s="79">
        <v>6.67</v>
      </c>
      <c r="E1293" s="81"/>
      <c r="F1293" s="82"/>
      <c r="G1293" s="81">
        <v>43427</v>
      </c>
      <c r="H1293" s="82">
        <v>256.19</v>
      </c>
      <c r="I1293" s="236">
        <f t="shared" si="20"/>
        <v>1.1489260897030951E-2</v>
      </c>
    </row>
    <row r="1294" spans="1:9" ht="16">
      <c r="A1294" s="132">
        <v>43405</v>
      </c>
      <c r="B1294" s="79">
        <v>6.7</v>
      </c>
      <c r="E1294" s="81"/>
      <c r="F1294" s="82"/>
      <c r="G1294" s="81">
        <v>43428</v>
      </c>
      <c r="H1294" s="82">
        <v>254.73</v>
      </c>
      <c r="I1294" s="236">
        <f t="shared" si="20"/>
        <v>-5.6988953511066809E-3</v>
      </c>
    </row>
    <row r="1295" spans="1:9" ht="16">
      <c r="A1295" s="132">
        <v>43406</v>
      </c>
      <c r="B1295" s="79">
        <v>6.81</v>
      </c>
      <c r="E1295" s="81"/>
      <c r="F1295" s="82"/>
      <c r="G1295" s="81">
        <v>43431</v>
      </c>
      <c r="H1295" s="82">
        <v>253.35</v>
      </c>
      <c r="I1295" s="236">
        <f t="shared" si="20"/>
        <v>-5.4175008832881844E-3</v>
      </c>
    </row>
    <row r="1296" spans="1:9" ht="16">
      <c r="A1296" s="132">
        <v>43407</v>
      </c>
      <c r="B1296" s="79">
        <v>6.81</v>
      </c>
      <c r="E1296" s="81"/>
      <c r="F1296" s="82"/>
      <c r="G1296" s="81">
        <v>43432</v>
      </c>
      <c r="H1296" s="82">
        <v>258.19</v>
      </c>
      <c r="I1296" s="236">
        <f t="shared" ref="I1296:I1319" si="21">H1296/H1295-1</f>
        <v>1.9104006315374011E-2</v>
      </c>
    </row>
    <row r="1297" spans="1:9" ht="16">
      <c r="A1297" s="132">
        <v>43410</v>
      </c>
      <c r="B1297" s="79">
        <v>6.81</v>
      </c>
      <c r="E1297" s="81"/>
      <c r="F1297" s="82"/>
      <c r="G1297" s="81">
        <v>43433</v>
      </c>
      <c r="H1297" s="82">
        <v>263.56</v>
      </c>
      <c r="I1297" s="236">
        <f t="shared" si="21"/>
        <v>2.0798636662922698E-2</v>
      </c>
    </row>
    <row r="1298" spans="1:9" ht="16">
      <c r="A1298" s="132">
        <v>43411</v>
      </c>
      <c r="B1298" s="79">
        <v>6.81</v>
      </c>
      <c r="E1298" s="81"/>
      <c r="F1298" s="82"/>
      <c r="G1298" s="81">
        <v>43434</v>
      </c>
      <c r="H1298" s="82">
        <v>264.58</v>
      </c>
      <c r="I1298" s="236">
        <f t="shared" si="21"/>
        <v>3.8700865078160618E-3</v>
      </c>
    </row>
    <row r="1299" spans="1:9" ht="16">
      <c r="A1299" s="132">
        <v>43412</v>
      </c>
      <c r="B1299" s="79">
        <v>6.75</v>
      </c>
      <c r="E1299" s="81"/>
      <c r="F1299" s="82"/>
      <c r="G1299" s="81">
        <v>43435</v>
      </c>
      <c r="H1299" s="82">
        <v>264.83999999999997</v>
      </c>
      <c r="I1299" s="236">
        <f t="shared" si="21"/>
        <v>9.8268954569502576E-4</v>
      </c>
    </row>
    <row r="1300" spans="1:9" ht="16">
      <c r="A1300" s="132">
        <v>43413</v>
      </c>
      <c r="B1300" s="79">
        <v>6.62</v>
      </c>
      <c r="E1300" s="81"/>
      <c r="F1300" s="82"/>
      <c r="G1300" s="81">
        <v>43438</v>
      </c>
      <c r="H1300" s="82">
        <v>266.39</v>
      </c>
      <c r="I1300" s="236">
        <f t="shared" si="21"/>
        <v>5.8525902431656451E-3</v>
      </c>
    </row>
    <row r="1301" spans="1:9" ht="16">
      <c r="A1301" s="132">
        <v>43414</v>
      </c>
      <c r="B1301" s="79">
        <v>6.61</v>
      </c>
      <c r="E1301" s="81"/>
      <c r="F1301" s="82"/>
      <c r="G1301" s="81">
        <v>43439</v>
      </c>
      <c r="H1301" s="82">
        <v>264.55</v>
      </c>
      <c r="I1301" s="236">
        <f t="shared" si="21"/>
        <v>-6.9071661849167132E-3</v>
      </c>
    </row>
    <row r="1302" spans="1:9" ht="16">
      <c r="A1302" s="132">
        <v>43417</v>
      </c>
      <c r="B1302" s="79">
        <v>6.44</v>
      </c>
      <c r="E1302" s="81"/>
      <c r="F1302" s="82"/>
      <c r="G1302" s="81">
        <v>43440</v>
      </c>
      <c r="H1302" s="82">
        <v>261.37</v>
      </c>
      <c r="I1302" s="236">
        <f t="shared" si="21"/>
        <v>-1.2020412020412041E-2</v>
      </c>
    </row>
    <row r="1303" spans="1:9" ht="16">
      <c r="A1303" s="132">
        <v>43418</v>
      </c>
      <c r="B1303" s="79">
        <v>6.37</v>
      </c>
      <c r="E1303" s="81"/>
      <c r="F1303" s="82"/>
      <c r="G1303" s="81">
        <v>43441</v>
      </c>
      <c r="H1303" s="82">
        <v>264.12</v>
      </c>
      <c r="I1303" s="236">
        <f t="shared" si="21"/>
        <v>1.0521482955197614E-2</v>
      </c>
    </row>
    <row r="1304" spans="1:9" ht="16">
      <c r="A1304" s="132">
        <v>43419</v>
      </c>
      <c r="B1304" s="79">
        <v>6.32</v>
      </c>
      <c r="E1304" s="81"/>
      <c r="F1304" s="82"/>
      <c r="G1304" s="81">
        <v>43442</v>
      </c>
      <c r="H1304" s="82">
        <v>265</v>
      </c>
      <c r="I1304" s="236">
        <f t="shared" si="21"/>
        <v>3.3318188702105012E-3</v>
      </c>
    </row>
    <row r="1305" spans="1:9" ht="16">
      <c r="A1305" s="132">
        <v>43420</v>
      </c>
      <c r="B1305" s="79">
        <v>6.33</v>
      </c>
      <c r="E1305" s="81"/>
      <c r="F1305" s="82"/>
      <c r="G1305" s="81">
        <v>43445</v>
      </c>
      <c r="H1305" s="82">
        <v>261.68</v>
      </c>
      <c r="I1305" s="236">
        <f t="shared" si="21"/>
        <v>-1.2528301886792437E-2</v>
      </c>
    </row>
    <row r="1306" spans="1:9" ht="16">
      <c r="A1306" s="132">
        <v>43421</v>
      </c>
      <c r="B1306" s="79">
        <v>6.37</v>
      </c>
      <c r="E1306" s="81"/>
      <c r="F1306" s="82"/>
      <c r="G1306" s="81">
        <v>43446</v>
      </c>
      <c r="H1306" s="82">
        <v>262.49</v>
      </c>
      <c r="I1306" s="236">
        <f t="shared" si="21"/>
        <v>3.0953836747171781E-3</v>
      </c>
    </row>
    <row r="1307" spans="1:9" ht="16">
      <c r="A1307" s="132">
        <v>43424</v>
      </c>
      <c r="B1307" s="79">
        <v>6.4</v>
      </c>
      <c r="E1307" s="81"/>
      <c r="F1307" s="82"/>
      <c r="G1307" s="81">
        <v>43447</v>
      </c>
      <c r="H1307" s="82">
        <v>264.10000000000002</v>
      </c>
      <c r="I1307" s="236">
        <f t="shared" si="21"/>
        <v>6.1335669930282499E-3</v>
      </c>
    </row>
    <row r="1308" spans="1:9" ht="16">
      <c r="A1308" s="132">
        <v>43425</v>
      </c>
      <c r="B1308" s="79">
        <v>6.39</v>
      </c>
      <c r="E1308" s="81"/>
      <c r="F1308" s="82"/>
      <c r="G1308" s="81">
        <v>43448</v>
      </c>
      <c r="H1308" s="82">
        <v>260.86</v>
      </c>
      <c r="I1308" s="236">
        <f t="shared" si="21"/>
        <v>-1.2268080272624049E-2</v>
      </c>
    </row>
    <row r="1309" spans="1:9" ht="16">
      <c r="A1309" s="132">
        <v>43426</v>
      </c>
      <c r="B1309" s="79">
        <v>6.36</v>
      </c>
      <c r="E1309" s="81"/>
      <c r="F1309" s="82"/>
      <c r="G1309" s="81">
        <v>43449</v>
      </c>
      <c r="H1309" s="82">
        <v>259.95</v>
      </c>
      <c r="I1309" s="236">
        <f t="shared" si="21"/>
        <v>-3.4884612435790441E-3</v>
      </c>
    </row>
    <row r="1310" spans="1:9" ht="16">
      <c r="A1310" s="132">
        <v>43427</v>
      </c>
      <c r="B1310" s="79">
        <v>6.36</v>
      </c>
      <c r="E1310" s="81"/>
      <c r="F1310" s="82"/>
      <c r="G1310" s="81">
        <v>43452</v>
      </c>
      <c r="H1310" s="82">
        <v>259.83</v>
      </c>
      <c r="I1310" s="236">
        <f t="shared" si="21"/>
        <v>-4.6162723600695621E-4</v>
      </c>
    </row>
    <row r="1311" spans="1:9" ht="16">
      <c r="A1311" s="132">
        <v>43428</v>
      </c>
      <c r="B1311" s="79">
        <v>6.28</v>
      </c>
      <c r="E1311" s="81"/>
      <c r="F1311" s="82"/>
      <c r="G1311" s="81">
        <v>43453</v>
      </c>
      <c r="H1311" s="82">
        <v>258.14999999999998</v>
      </c>
      <c r="I1311" s="236">
        <f t="shared" si="21"/>
        <v>-6.4657660778201231E-3</v>
      </c>
    </row>
    <row r="1312" spans="1:9" ht="16">
      <c r="A1312" s="132">
        <v>43431</v>
      </c>
      <c r="B1312" s="79">
        <v>6.26</v>
      </c>
      <c r="E1312" s="81"/>
      <c r="F1312" s="82"/>
      <c r="G1312" s="81">
        <v>43454</v>
      </c>
      <c r="H1312" s="82">
        <v>258.75</v>
      </c>
      <c r="I1312" s="236">
        <f t="shared" si="21"/>
        <v>2.3242300987798004E-3</v>
      </c>
    </row>
    <row r="1313" spans="1:9" ht="16">
      <c r="A1313" s="132">
        <v>43432</v>
      </c>
      <c r="B1313" s="79">
        <v>6.25</v>
      </c>
      <c r="E1313" s="81"/>
      <c r="F1313" s="82"/>
      <c r="G1313" s="81">
        <v>43455</v>
      </c>
      <c r="H1313" s="82">
        <v>260.16000000000003</v>
      </c>
      <c r="I1313" s="236">
        <f t="shared" si="21"/>
        <v>5.4492753623189838E-3</v>
      </c>
    </row>
    <row r="1314" spans="1:9" ht="16">
      <c r="A1314" s="132">
        <v>43433</v>
      </c>
      <c r="B1314" s="79">
        <v>6.2</v>
      </c>
      <c r="E1314" s="81"/>
      <c r="F1314" s="82"/>
      <c r="G1314" s="81">
        <v>43456</v>
      </c>
      <c r="H1314" s="82">
        <v>258.07</v>
      </c>
      <c r="I1314" s="236">
        <f t="shared" si="21"/>
        <v>-8.033517835178472E-3</v>
      </c>
    </row>
    <row r="1315" spans="1:9" ht="16">
      <c r="A1315" s="132">
        <v>43434</v>
      </c>
      <c r="B1315" s="79">
        <v>6.06</v>
      </c>
      <c r="E1315" s="81"/>
      <c r="F1315" s="82"/>
      <c r="G1315" s="81">
        <v>43459</v>
      </c>
      <c r="H1315" s="82">
        <v>258.76</v>
      </c>
      <c r="I1315" s="236">
        <f t="shared" si="21"/>
        <v>2.6736931840198874E-3</v>
      </c>
    </row>
    <row r="1316" spans="1:9" ht="16">
      <c r="A1316" s="132">
        <v>43435</v>
      </c>
      <c r="B1316" s="79">
        <v>6</v>
      </c>
      <c r="G1316" s="81">
        <v>43460</v>
      </c>
      <c r="H1316" s="82">
        <v>259.57</v>
      </c>
      <c r="I1316" s="236">
        <f t="shared" si="21"/>
        <v>3.1303138042975132E-3</v>
      </c>
    </row>
    <row r="1317" spans="1:9" ht="16">
      <c r="A1317" s="132">
        <v>43438</v>
      </c>
      <c r="B1317" s="79">
        <v>6.02</v>
      </c>
      <c r="G1317" s="81">
        <v>43461</v>
      </c>
      <c r="H1317" s="82">
        <v>259.97000000000003</v>
      </c>
      <c r="I1317" s="236">
        <f t="shared" si="21"/>
        <v>1.5410101321418068E-3</v>
      </c>
    </row>
    <row r="1318" spans="1:9" ht="16">
      <c r="A1318" s="132">
        <v>43439</v>
      </c>
      <c r="B1318" s="79">
        <v>6.04</v>
      </c>
      <c r="G1318" s="81">
        <v>43462</v>
      </c>
      <c r="H1318" s="82">
        <v>260.64</v>
      </c>
      <c r="I1318" s="236">
        <f t="shared" si="21"/>
        <v>2.5772204485130512E-3</v>
      </c>
    </row>
    <row r="1319" spans="1:9" ht="16">
      <c r="A1319" s="132">
        <v>43440</v>
      </c>
      <c r="B1319" s="79">
        <v>6</v>
      </c>
      <c r="G1319" s="81">
        <v>43463</v>
      </c>
      <c r="H1319" s="82">
        <v>260.42</v>
      </c>
      <c r="I1319" s="236">
        <f t="shared" si="21"/>
        <v>-8.4407612031911494E-4</v>
      </c>
    </row>
    <row r="1320" spans="1:9">
      <c r="A1320" s="132">
        <v>43441</v>
      </c>
      <c r="B1320" s="79">
        <v>5.96</v>
      </c>
    </row>
    <row r="1321" spans="1:9">
      <c r="A1321" s="132">
        <v>43442</v>
      </c>
      <c r="B1321" s="79">
        <v>5.98</v>
      </c>
    </row>
    <row r="1322" spans="1:9">
      <c r="A1322" s="132">
        <v>43445</v>
      </c>
      <c r="B1322" s="79">
        <v>6</v>
      </c>
    </row>
    <row r="1323" spans="1:9">
      <c r="A1323" s="132">
        <v>43446</v>
      </c>
      <c r="B1323" s="79">
        <v>5.97</v>
      </c>
    </row>
    <row r="1324" spans="1:9">
      <c r="A1324" s="132">
        <v>43447</v>
      </c>
      <c r="B1324" s="79">
        <v>5.9</v>
      </c>
    </row>
    <row r="1325" spans="1:9">
      <c r="A1325" s="132">
        <v>43448</v>
      </c>
      <c r="B1325" s="79">
        <v>5.91</v>
      </c>
    </row>
    <row r="1326" spans="1:9">
      <c r="A1326" s="132">
        <v>43449</v>
      </c>
      <c r="B1326" s="79">
        <v>5.94</v>
      </c>
    </row>
    <row r="1327" spans="1:9">
      <c r="A1327" s="132">
        <v>43452</v>
      </c>
      <c r="B1327" s="79">
        <v>5.96</v>
      </c>
    </row>
    <row r="1328" spans="1:9">
      <c r="A1328" s="132">
        <v>43453</v>
      </c>
      <c r="B1328" s="79">
        <v>6.03</v>
      </c>
    </row>
    <row r="1329" spans="1:2">
      <c r="A1329" s="132">
        <v>43454</v>
      </c>
      <c r="B1329" s="79">
        <v>6.01</v>
      </c>
    </row>
    <row r="1330" spans="1:2">
      <c r="A1330" s="132">
        <v>43455</v>
      </c>
      <c r="B1330" s="79">
        <v>6</v>
      </c>
    </row>
    <row r="1331" spans="1:2">
      <c r="A1331" s="132">
        <v>43456</v>
      </c>
      <c r="B1331" s="79">
        <v>6.03</v>
      </c>
    </row>
    <row r="1332" spans="1:2">
      <c r="A1332" s="132">
        <v>43459</v>
      </c>
      <c r="B1332" s="209">
        <v>6.03</v>
      </c>
    </row>
    <row r="1333" spans="1:2">
      <c r="A1333" s="132">
        <v>43460</v>
      </c>
      <c r="B1333" s="79">
        <v>6.07</v>
      </c>
    </row>
    <row r="1334" spans="1:2">
      <c r="A1334" s="132">
        <v>43461</v>
      </c>
      <c r="B1334" s="79">
        <v>6.1</v>
      </c>
    </row>
    <row r="1335" spans="1:2">
      <c r="A1335" s="132">
        <v>43462</v>
      </c>
      <c r="B1335" s="79">
        <v>6.1</v>
      </c>
    </row>
    <row r="1336" spans="1:2">
      <c r="A1336" s="132">
        <v>43463</v>
      </c>
      <c r="B1336" s="79">
        <v>6.12</v>
      </c>
    </row>
    <row r="1337" spans="1:2">
      <c r="A1337" s="132">
        <v>43464</v>
      </c>
      <c r="B1337" s="79">
        <v>6.14</v>
      </c>
    </row>
  </sheetData>
  <mergeCells count="1">
    <mergeCell ref="J1:Q5"/>
  </mergeCells>
  <pageMargins left="0.75" right="0.75" top="1" bottom="1"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D11" sqref="D11"/>
    </sheetView>
  </sheetViews>
  <sheetFormatPr baseColWidth="10" defaultRowHeight="13"/>
  <cols>
    <col min="1" max="1" width="22" bestFit="1" customWidth="1"/>
    <col min="2" max="2" width="23.5" bestFit="1" customWidth="1"/>
    <col min="3" max="3" width="25.1640625" bestFit="1" customWidth="1"/>
    <col min="4" max="4" width="24" bestFit="1" customWidth="1"/>
    <col min="5" max="5" width="23.5" bestFit="1" customWidth="1"/>
  </cols>
  <sheetData>
    <row r="3" spans="1:5">
      <c r="B3" s="22" t="s">
        <v>174</v>
      </c>
    </row>
    <row r="4" spans="1:5">
      <c r="A4" s="22" t="s">
        <v>171</v>
      </c>
      <c r="B4" t="s">
        <v>173</v>
      </c>
      <c r="C4" t="s">
        <v>175</v>
      </c>
      <c r="D4" t="s">
        <v>466</v>
      </c>
      <c r="E4" t="s">
        <v>468</v>
      </c>
    </row>
    <row r="5" spans="1:5">
      <c r="A5" s="19" t="s">
        <v>128</v>
      </c>
      <c r="B5" s="23">
        <v>7.3460756089844981E-2</v>
      </c>
      <c r="C5" s="23">
        <v>0.10362554961543749</v>
      </c>
      <c r="D5" s="23">
        <v>0.16302554961543744</v>
      </c>
      <c r="E5" s="23">
        <v>0.26083793103448277</v>
      </c>
    </row>
    <row r="6" spans="1:5">
      <c r="A6" s="19" t="s">
        <v>129</v>
      </c>
      <c r="B6" s="23">
        <v>4.593990825688074E-2</v>
      </c>
      <c r="C6" s="23">
        <v>6.4803964671691208E-2</v>
      </c>
      <c r="D6" s="23">
        <v>0.1242039646716912</v>
      </c>
      <c r="E6" s="23">
        <v>0.23619545454545454</v>
      </c>
    </row>
    <row r="7" spans="1:5">
      <c r="A7" s="19" t="s">
        <v>53</v>
      </c>
      <c r="B7" s="23">
        <v>1.8359403669724769E-2</v>
      </c>
      <c r="C7" s="23">
        <v>2.5898226442974296E-2</v>
      </c>
      <c r="D7" s="23">
        <v>8.5298226442974301E-2</v>
      </c>
      <c r="E7" s="23">
        <v>0.28810000000000002</v>
      </c>
    </row>
    <row r="8" spans="1:5">
      <c r="A8" s="19" t="s">
        <v>54</v>
      </c>
      <c r="B8" s="23">
        <v>4.7774852555701179E-2</v>
      </c>
      <c r="C8" s="23">
        <v>6.7392382237750889E-2</v>
      </c>
      <c r="D8" s="23">
        <v>0.12679238223775088</v>
      </c>
      <c r="E8" s="23">
        <v>0.17372857142857143</v>
      </c>
    </row>
    <row r="9" spans="1:5">
      <c r="A9" s="19" t="s">
        <v>51</v>
      </c>
      <c r="B9" s="23">
        <v>6.1917048929663619E-2</v>
      </c>
      <c r="C9" s="23">
        <v>8.7341712329439006E-2</v>
      </c>
      <c r="D9" s="23">
        <v>0.146741712329439</v>
      </c>
      <c r="E9" s="23">
        <v>0.27982222222222214</v>
      </c>
    </row>
    <row r="10" spans="1:5">
      <c r="A10" s="19" t="s">
        <v>125</v>
      </c>
      <c r="B10" s="23">
        <v>4.5528338430173294E-2</v>
      </c>
      <c r="C10" s="23">
        <v>6.42233941498533E-2</v>
      </c>
      <c r="D10" s="23">
        <v>0.12362339414985328</v>
      </c>
      <c r="E10" s="23">
        <v>0.16111111111111109</v>
      </c>
    </row>
    <row r="11" spans="1:5">
      <c r="A11" s="19" t="s">
        <v>127</v>
      </c>
      <c r="B11" s="23">
        <v>4.0287138320395204E-2</v>
      </c>
      <c r="C11" s="23">
        <v>5.6830028345722601E-2</v>
      </c>
      <c r="D11" s="23">
        <v>0.11623002834572257</v>
      </c>
      <c r="E11" s="23">
        <v>0.11538461538461539</v>
      </c>
    </row>
    <row r="12" spans="1:5">
      <c r="A12" s="19" t="s">
        <v>130</v>
      </c>
      <c r="B12" s="23">
        <v>0</v>
      </c>
      <c r="C12" s="23">
        <v>0</v>
      </c>
      <c r="D12" s="23">
        <v>5.9400000000000001E-2</v>
      </c>
      <c r="E12" s="23">
        <v>0.25</v>
      </c>
    </row>
    <row r="13" spans="1:5">
      <c r="A13" s="19" t="s">
        <v>126</v>
      </c>
      <c r="B13" s="23">
        <v>1.2090878616796049E-2</v>
      </c>
      <c r="C13" s="23">
        <v>1.7055690802673776E-2</v>
      </c>
      <c r="D13" s="23">
        <v>7.645569080267374E-2</v>
      </c>
      <c r="E13" s="23">
        <v>0.19570000000000004</v>
      </c>
    </row>
    <row r="14" spans="1:5">
      <c r="A14" s="19" t="s">
        <v>172</v>
      </c>
      <c r="B14" s="23">
        <v>4.5758660490885256E-2</v>
      </c>
      <c r="C14" s="23">
        <v>6.4548292114429681E-2</v>
      </c>
      <c r="D14" s="23">
        <v>0.12394829211442976</v>
      </c>
      <c r="E14" s="23">
        <v>0.21124740259740254</v>
      </c>
    </row>
  </sheetData>
  <pageMargins left="0.75" right="0.75" top="1" bottom="1" header="0.5" footer="0.5"/>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4"/>
  <sheetViews>
    <sheetView tabSelected="1" topLeftCell="A155" zoomScaleNormal="100" workbookViewId="0">
      <selection activeCell="B190" sqref="B190"/>
    </sheetView>
  </sheetViews>
  <sheetFormatPr baseColWidth="10" defaultRowHeight="13"/>
  <cols>
    <col min="1" max="1" width="24.6640625" bestFit="1" customWidth="1"/>
    <col min="2" max="2" width="20.83203125" style="25" bestFit="1" customWidth="1"/>
    <col min="3" max="6" width="20.83203125" style="25" customWidth="1"/>
    <col min="7" max="7" width="26.1640625" style="25" customWidth="1"/>
    <col min="8" max="8" width="37" customWidth="1"/>
    <col min="9" max="9" width="20.83203125" customWidth="1"/>
    <col min="10" max="10" width="25.1640625" bestFit="1" customWidth="1"/>
    <col min="11" max="11" width="23.6640625" bestFit="1" customWidth="1"/>
    <col min="12" max="13" width="20.33203125" bestFit="1" customWidth="1"/>
  </cols>
  <sheetData>
    <row r="1" spans="1:13" s="59" customFormat="1" ht="16">
      <c r="A1" s="51" t="s">
        <v>75</v>
      </c>
      <c r="B1" s="125" t="s">
        <v>545</v>
      </c>
      <c r="C1" s="9" t="s">
        <v>271</v>
      </c>
      <c r="D1" s="51" t="s">
        <v>36</v>
      </c>
      <c r="E1" s="51" t="s">
        <v>456</v>
      </c>
      <c r="F1" s="52" t="s">
        <v>37</v>
      </c>
      <c r="G1" s="52" t="s">
        <v>358</v>
      </c>
      <c r="H1" s="51" t="s">
        <v>52</v>
      </c>
      <c r="I1" s="59" t="s">
        <v>295</v>
      </c>
      <c r="J1" s="59" t="s">
        <v>301</v>
      </c>
      <c r="K1" s="59" t="s">
        <v>296</v>
      </c>
      <c r="L1" s="59" t="s">
        <v>297</v>
      </c>
      <c r="M1" s="59" t="s">
        <v>359</v>
      </c>
    </row>
    <row r="2" spans="1:13" s="38" customFormat="1" ht="16">
      <c r="A2" s="8" t="str">
        <f>'Sovereign Ratings (Moody''s,S&amp;P)'!A5</f>
        <v>Angola</v>
      </c>
      <c r="B2" s="125">
        <f>'Country GDP'!B5</f>
        <v>72546.98570857069</v>
      </c>
      <c r="C2" s="11">
        <f>'10-year CDS Spreads'!C5</f>
        <v>6.5500000000000003E-2</v>
      </c>
      <c r="D2" s="21">
        <f>'ERPs by country'!D11</f>
        <v>7.9525458715596339E-2</v>
      </c>
      <c r="E2" s="10">
        <f>'ERPs by country'!E11</f>
        <v>0.17158056832609495</v>
      </c>
      <c r="F2" s="14">
        <f>'ERPs by country'!F11</f>
        <v>0.11218056832609494</v>
      </c>
      <c r="G2" s="14">
        <f>'Country Tax Rates'!C5</f>
        <v>0.25</v>
      </c>
      <c r="H2" s="15" t="s">
        <v>128</v>
      </c>
      <c r="I2" s="60">
        <f t="shared" ref="I2:I29" si="0">B2/$B$32</f>
        <v>3.1187824317542568E-2</v>
      </c>
      <c r="J2" s="60">
        <f t="shared" ref="J2:J29" si="1">I2*D2</f>
        <v>2.480226035194003E-3</v>
      </c>
      <c r="K2" s="60">
        <f t="shared" ref="K2:K29" si="2">I2*E2</f>
        <v>5.351224621258358E-3</v>
      </c>
      <c r="L2" s="60">
        <f t="shared" ref="L2:L29" si="3">I2*F2</f>
        <v>3.4986678567963292E-3</v>
      </c>
      <c r="M2" s="60">
        <f>I2*G2</f>
        <v>7.796956079385642E-3</v>
      </c>
    </row>
    <row r="3" spans="1:13" s="38" customFormat="1" ht="16">
      <c r="A3" s="8" t="str">
        <f>'Sovereign Ratings (Moody''s,S&amp;P)'!A19</f>
        <v>Benin</v>
      </c>
      <c r="B3" s="125">
        <f>'Country GDP'!B19</f>
        <v>17785.640079119097</v>
      </c>
      <c r="C3" s="11" t="str">
        <f>'10-year CDS Spreads'!C19</f>
        <v>NA</v>
      </c>
      <c r="D3" s="21">
        <f>'ERPs by country'!D25</f>
        <v>5.5078211009174309E-2</v>
      </c>
      <c r="E3" s="10">
        <f>'ERPs by country'!E25</f>
        <v>0.13709467932892289</v>
      </c>
      <c r="F3" s="14">
        <f>'ERPs by country'!F25</f>
        <v>7.7694679328922892E-2</v>
      </c>
      <c r="G3" s="14">
        <f>'Country Tax Rates'!C19</f>
        <v>0.3</v>
      </c>
      <c r="H3" s="15" t="s">
        <v>128</v>
      </c>
      <c r="I3" s="60">
        <f t="shared" ref="I3" si="4">B3/$B$32</f>
        <v>7.6460160645527506E-3</v>
      </c>
      <c r="J3" s="60">
        <f t="shared" ref="J3" si="5">I3*D3</f>
        <v>4.2112888618297292E-4</v>
      </c>
      <c r="K3" s="60">
        <f t="shared" ref="K3" si="6">I3*E3</f>
        <v>1.0482281205136522E-3</v>
      </c>
      <c r="L3" s="60">
        <f t="shared" ref="L3" si="7">I3*F3</f>
        <v>5.940547662792189E-4</v>
      </c>
      <c r="M3" s="60">
        <f>I3*G3</f>
        <v>2.2938048193658252E-3</v>
      </c>
    </row>
    <row r="4" spans="1:13" s="38" customFormat="1" ht="16">
      <c r="A4" s="8" t="str">
        <f>'Sovereign Ratings (Moody''s,S&amp;P)'!A23</f>
        <v>Botswana</v>
      </c>
      <c r="B4" s="125">
        <f>'Country GDP'!B23</f>
        <v>17613.846472991601</v>
      </c>
      <c r="C4" s="11" t="str">
        <f>'10-year CDS Spreads'!C23</f>
        <v>NA</v>
      </c>
      <c r="D4" s="21">
        <f>'ERPs by country'!D29</f>
        <v>1.4668348623853212E-2</v>
      </c>
      <c r="E4" s="10">
        <f>'ERPs by country'!E29</f>
        <v>8.009153339830323E-2</v>
      </c>
      <c r="F4" s="14">
        <f>'ERPs by country'!F29</f>
        <v>2.0691533398303225E-2</v>
      </c>
      <c r="G4" s="14">
        <f>'Country Tax Rates'!C23</f>
        <v>0.22</v>
      </c>
      <c r="H4" s="15" t="s">
        <v>128</v>
      </c>
      <c r="I4" s="60">
        <f t="shared" si="0"/>
        <v>7.572162288900312E-3</v>
      </c>
      <c r="J4" s="60">
        <f t="shared" si="1"/>
        <v>1.1107111628998408E-4</v>
      </c>
      <c r="K4" s="60">
        <f t="shared" si="2"/>
        <v>6.0646608885883159E-4</v>
      </c>
      <c r="L4" s="60">
        <f t="shared" si="3"/>
        <v>1.5667964889815299E-4</v>
      </c>
      <c r="M4" s="60">
        <f t="shared" ref="M4:M76" si="8">I4*G4</f>
        <v>1.6658757035580686E-3</v>
      </c>
    </row>
    <row r="5" spans="1:13" s="38" customFormat="1" ht="16">
      <c r="A5" s="8" t="str">
        <f>'Sovereign Ratings (Moody''s,S&amp;P)'!A26</f>
        <v>Burkina Faso</v>
      </c>
      <c r="B5" s="125">
        <f>'Country GDP'!B26</f>
        <v>19737.615114366101</v>
      </c>
      <c r="C5" s="11" t="str">
        <f>'10-year CDS Spreads'!C26</f>
        <v>NA</v>
      </c>
      <c r="D5" s="21">
        <f>'ERPs by country'!D32</f>
        <v>9.1749082568807344E-2</v>
      </c>
      <c r="E5" s="10">
        <f>'ERPs by country'!E32</f>
        <v>0.18882351282468096</v>
      </c>
      <c r="F5" s="14">
        <f>'ERPs by country'!F32</f>
        <v>0.12942351282468095</v>
      </c>
      <c r="G5" s="14">
        <f>'Country Tax Rates'!C26</f>
        <v>0.28000000000000003</v>
      </c>
      <c r="H5" s="15" t="s">
        <v>128</v>
      </c>
      <c r="I5" s="60">
        <f t="shared" si="0"/>
        <v>8.4851667732543587E-3</v>
      </c>
      <c r="J5" s="60">
        <f t="shared" si="1"/>
        <v>7.7850626688941475E-4</v>
      </c>
      <c r="K5" s="60">
        <f t="shared" si="2"/>
        <v>1.6021989970291511E-3</v>
      </c>
      <c r="L5" s="60">
        <f t="shared" si="3"/>
        <v>1.0981800906978423E-3</v>
      </c>
      <c r="M5" s="60">
        <f t="shared" si="8"/>
        <v>2.3758466965112207E-3</v>
      </c>
    </row>
    <row r="6" spans="1:13" s="38" customFormat="1" ht="16">
      <c r="A6" s="8" t="str">
        <f>'Sovereign Ratings (Moody''s,S&amp;P)'!A28</f>
        <v>Cameroon</v>
      </c>
      <c r="B6" s="125">
        <f>'Country GDP'!B28</f>
        <v>45238.613479830805</v>
      </c>
      <c r="C6" s="11">
        <f>'10-year CDS Spreads'!C28</f>
        <v>6.6799999999999998E-2</v>
      </c>
      <c r="D6" s="21">
        <f>'ERPs by country'!D34</f>
        <v>6.7301834862385335E-2</v>
      </c>
      <c r="E6" s="10">
        <f>'ERPs by country'!E34</f>
        <v>0.15433762382750893</v>
      </c>
      <c r="F6" s="14">
        <f>'ERPs by country'!F34</f>
        <v>9.4937623827508935E-2</v>
      </c>
      <c r="G6" s="14">
        <f>'Country Tax Rates'!C28</f>
        <v>0.33</v>
      </c>
      <c r="H6" s="15" t="s">
        <v>128</v>
      </c>
      <c r="I6" s="60">
        <f t="shared" si="0"/>
        <v>1.9448002088548435E-2</v>
      </c>
      <c r="J6" s="60">
        <f t="shared" si="1"/>
        <v>1.3088862249668119E-3</v>
      </c>
      <c r="K6" s="60">
        <f t="shared" si="2"/>
        <v>3.0015584305389965E-3</v>
      </c>
      <c r="L6" s="60">
        <f t="shared" si="3"/>
        <v>1.8463471064792195E-3</v>
      </c>
      <c r="M6" s="60">
        <f t="shared" si="8"/>
        <v>6.4178406892209834E-3</v>
      </c>
    </row>
    <row r="7" spans="1:13" s="38" customFormat="1" ht="16">
      <c r="A7" s="8" t="str">
        <f>'Sovereign Ratings (Moody''s,S&amp;P)'!A30</f>
        <v>Cape Verde</v>
      </c>
      <c r="B7" s="125">
        <f>'Country GDP'!B30</f>
        <v>1.7</v>
      </c>
      <c r="C7" s="11" t="str">
        <f>'10-year CDS Spreads'!C30</f>
        <v>NA</v>
      </c>
      <c r="D7" s="21">
        <f>'ERPs by country'!D36</f>
        <v>7.9525458715596339E-2</v>
      </c>
      <c r="E7" s="10">
        <f>'ERPs by country'!E36</f>
        <v>0.17158056832609495</v>
      </c>
      <c r="F7" s="14">
        <f>'ERPs by country'!F36</f>
        <v>0.11218056832609494</v>
      </c>
      <c r="G7" s="14">
        <f>'Country Tax Rates'!C30</f>
        <v>0</v>
      </c>
      <c r="H7" s="15" t="s">
        <v>128</v>
      </c>
      <c r="I7" s="60">
        <f t="shared" si="0"/>
        <v>7.3082707464658547E-7</v>
      </c>
      <c r="J7" s="60">
        <f t="shared" si="1"/>
        <v>5.8119358353047079E-8</v>
      </c>
      <c r="K7" s="60">
        <f t="shared" si="2"/>
        <v>1.2539572481595856E-7</v>
      </c>
      <c r="L7" s="60">
        <f t="shared" si="3"/>
        <v>8.1984596581951372E-8</v>
      </c>
      <c r="M7" s="60">
        <f t="shared" si="8"/>
        <v>0</v>
      </c>
    </row>
    <row r="8" spans="1:13" s="38" customFormat="1" ht="16">
      <c r="A8" s="8" t="str">
        <f>'Sovereign Ratings (Moody''s,S&amp;P)'!A35</f>
        <v>Congo (Democratic Republic of)</v>
      </c>
      <c r="B8" s="125">
        <f>'Country GDP'!B35</f>
        <v>53958.573693051301</v>
      </c>
      <c r="C8" s="11" t="str">
        <f>'10-year CDS Spreads'!C35</f>
        <v>NA</v>
      </c>
      <c r="D8" s="21">
        <f>'ERPs by country'!D41</f>
        <v>7.9525458715596339E-2</v>
      </c>
      <c r="E8" s="10">
        <f>'ERPs by country'!E41</f>
        <v>0.17158056832609495</v>
      </c>
      <c r="F8" s="14">
        <f>'ERPs by country'!F41</f>
        <v>0.11218056832609494</v>
      </c>
      <c r="G8" s="14">
        <f>'Country Tax Rates'!C35</f>
        <v>0.3</v>
      </c>
      <c r="H8" s="15" t="s">
        <v>128</v>
      </c>
      <c r="I8" s="60">
        <f t="shared" si="0"/>
        <v>2.3196697978938169E-2</v>
      </c>
      <c r="J8" s="60">
        <f t="shared" si="1"/>
        <v>1.8447280474622044E-3</v>
      </c>
      <c r="K8" s="60">
        <f t="shared" si="2"/>
        <v>3.9801026225149893E-3</v>
      </c>
      <c r="L8" s="60">
        <f t="shared" si="3"/>
        <v>2.6022187625660614E-3</v>
      </c>
      <c r="M8" s="60">
        <f t="shared" si="8"/>
        <v>6.9590093936814507E-3</v>
      </c>
    </row>
    <row r="9" spans="1:13" s="38" customFormat="1" ht="16">
      <c r="A9" s="8" t="str">
        <f>'Sovereign Ratings (Moody''s,S&amp;P)'!A36</f>
        <v>Congo (Republic of)</v>
      </c>
      <c r="B9" s="125">
        <f>'Country GDP'!B36</f>
        <v>12523.9616772966</v>
      </c>
      <c r="C9" s="11" t="str">
        <f>'10-year CDS Spreads'!C36</f>
        <v>NA</v>
      </c>
      <c r="D9" s="21">
        <f>'ERPs by country'!D42</f>
        <v>0.11015642201834862</v>
      </c>
      <c r="E9" s="10">
        <f>'ERPs by country'!E42</f>
        <v>0.21478935865784579</v>
      </c>
      <c r="F9" s="14">
        <f>'ERPs by country'!F42</f>
        <v>0.15538935865784578</v>
      </c>
      <c r="G9" s="14">
        <f>'Country Tax Rates'!C36</f>
        <v>0.28000000000000003</v>
      </c>
      <c r="H9" s="15" t="s">
        <v>128</v>
      </c>
      <c r="I9" s="60">
        <f t="shared" si="0"/>
        <v>5.3840295738850699E-3</v>
      </c>
      <c r="J9" s="60">
        <f t="shared" si="1"/>
        <v>5.9308543390015347E-4</v>
      </c>
      <c r="K9" s="60">
        <f t="shared" si="2"/>
        <v>1.1564322591696488E-3</v>
      </c>
      <c r="L9" s="60">
        <f t="shared" si="3"/>
        <v>8.3662090248087578E-4</v>
      </c>
      <c r="M9" s="60">
        <f t="shared" si="8"/>
        <v>1.5075282806878197E-3</v>
      </c>
    </row>
    <row r="10" spans="1:13" s="38" customFormat="1" ht="16">
      <c r="A10" s="8" t="str">
        <f>'Sovereign Ratings (Moody''s,S&amp;P)'!A39</f>
        <v>Côte d'Ivoire</v>
      </c>
      <c r="B10" s="125">
        <f>'Country GDP'!B39</f>
        <v>69764.827467442301</v>
      </c>
      <c r="C10" s="11" t="str">
        <f>'10-year CDS Spreads'!C39</f>
        <v>NA</v>
      </c>
      <c r="D10" s="21">
        <f>'ERPs by country'!D45</f>
        <v>4.4005045871559637E-2</v>
      </c>
      <c r="E10" s="10">
        <f>'ERPs by country'!E45</f>
        <v>0.12147460019490969</v>
      </c>
      <c r="F10" s="14">
        <f>'ERPs by country'!F45</f>
        <v>6.2074600194909679E-2</v>
      </c>
      <c r="G10" s="14">
        <f>'Country Tax Rates'!C39</f>
        <v>0.25</v>
      </c>
      <c r="H10" s="15" t="s">
        <v>128</v>
      </c>
      <c r="I10" s="60">
        <f t="shared" si="0"/>
        <v>2.9991779277208596E-2</v>
      </c>
      <c r="J10" s="60">
        <f t="shared" si="1"/>
        <v>1.319789622863256E-3</v>
      </c>
      <c r="K10" s="60">
        <f t="shared" si="2"/>
        <v>3.6432393968328916E-3</v>
      </c>
      <c r="L10" s="60">
        <f t="shared" si="3"/>
        <v>1.8617277077667008E-3</v>
      </c>
      <c r="M10" s="60">
        <f t="shared" si="8"/>
        <v>7.497944819302149E-3</v>
      </c>
    </row>
    <row r="11" spans="1:13" s="38" customFormat="1" ht="16">
      <c r="A11" s="8" t="str">
        <f>'Sovereign Ratings (Moody''s,S&amp;P)'!A48</f>
        <v>Egypt</v>
      </c>
      <c r="B11" s="125">
        <f>'Country GDP'!B48</f>
        <v>404142.76609305298</v>
      </c>
      <c r="C11" s="11">
        <f>'10-year CDS Spreads'!C48</f>
        <v>8.0100000000000005E-2</v>
      </c>
      <c r="D11" s="21">
        <f>'ERPs by country'!D54</f>
        <v>6.7301834862385335E-2</v>
      </c>
      <c r="E11" s="10">
        <f>'ERPs by country'!E54</f>
        <v>0.15433762382750893</v>
      </c>
      <c r="F11" s="14">
        <f>'ERPs by country'!F54</f>
        <v>9.4937623827508935E-2</v>
      </c>
      <c r="G11" s="14">
        <f>'Country Tax Rates'!C48</f>
        <v>0.22500000000000001</v>
      </c>
      <c r="H11" s="15" t="s">
        <v>128</v>
      </c>
      <c r="I11" s="60">
        <f t="shared" si="0"/>
        <v>0.17374027969609718</v>
      </c>
      <c r="J11" s="60">
        <f t="shared" si="1"/>
        <v>1.1693039613051372E-2</v>
      </c>
      <c r="K11" s="60">
        <f t="shared" si="2"/>
        <v>2.6814661931422432E-2</v>
      </c>
      <c r="L11" s="60">
        <f t="shared" si="3"/>
        <v>1.6494489317474263E-2</v>
      </c>
      <c r="M11" s="60">
        <f t="shared" si="8"/>
        <v>3.9091562931621866E-2</v>
      </c>
    </row>
    <row r="12" spans="1:13" s="38" customFormat="1" ht="16">
      <c r="A12" s="8" t="str">
        <f>'Sovereign Ratings (Moody''s,S&amp;P)'!A51</f>
        <v>Ethiopia</v>
      </c>
      <c r="B12" s="125">
        <f>'Country GDP'!B51</f>
        <v>111271.112329975</v>
      </c>
      <c r="C12" s="11">
        <f>'10-year CDS Spreads'!C51</f>
        <v>0.2833</v>
      </c>
      <c r="D12" s="21">
        <f>'ERPs by country'!D57</f>
        <v>0.11015642201834862</v>
      </c>
      <c r="E12" s="10">
        <f>'ERPs by country'!E57</f>
        <v>0.21478935865784579</v>
      </c>
      <c r="F12" s="14">
        <f>'ERPs by country'!F57</f>
        <v>0.15538935865784578</v>
      </c>
      <c r="G12" s="14">
        <f>'Country Tax Rates'!C51</f>
        <v>0.3</v>
      </c>
      <c r="H12" s="15" t="s">
        <v>128</v>
      </c>
      <c r="I12" s="60">
        <f t="shared" si="0"/>
        <v>4.7835259715757202E-2</v>
      </c>
      <c r="J12" s="60">
        <f t="shared" si="1"/>
        <v>5.2693610566062615E-3</v>
      </c>
      <c r="K12" s="60">
        <f t="shared" si="2"/>
        <v>1.0274504755578976E-2</v>
      </c>
      <c r="L12" s="60">
        <f t="shared" si="3"/>
        <v>7.433090328462998E-3</v>
      </c>
      <c r="M12" s="60">
        <f t="shared" si="8"/>
        <v>1.435057791472716E-2</v>
      </c>
    </row>
    <row r="13" spans="1:13" s="38" customFormat="1" ht="16">
      <c r="A13" s="8" t="str">
        <f>'Sovereign Ratings (Moody''s,S&amp;P)'!A55</f>
        <v>Gabon</v>
      </c>
      <c r="B13" s="125">
        <f>'Country GDP'!B55</f>
        <v>18269.350433799198</v>
      </c>
      <c r="C13" s="11" t="str">
        <f>'10-year CDS Spreads'!C55</f>
        <v>NA</v>
      </c>
      <c r="D13" s="21">
        <f>'ERPs by country'!D61</f>
        <v>9.1749082568807344E-2</v>
      </c>
      <c r="E13" s="10">
        <f>'ERPs by country'!E61</f>
        <v>0.18882351282468096</v>
      </c>
      <c r="F13" s="14">
        <f>'ERPs by country'!F61</f>
        <v>0.12942351282468095</v>
      </c>
      <c r="G13" s="14">
        <f>'Country Tax Rates'!C55</f>
        <v>0.3</v>
      </c>
      <c r="H13" s="15" t="s">
        <v>128</v>
      </c>
      <c r="I13" s="60">
        <f t="shared" si="0"/>
        <v>7.8539623136628205E-3</v>
      </c>
      <c r="J13" s="60">
        <f t="shared" si="1"/>
        <v>7.2059383680855133E-4</v>
      </c>
      <c r="K13" s="60">
        <f t="shared" si="2"/>
        <v>1.4830127536584726E-3</v>
      </c>
      <c r="L13" s="60">
        <f t="shared" si="3"/>
        <v>1.0164873922269009E-3</v>
      </c>
      <c r="M13" s="60">
        <f t="shared" si="8"/>
        <v>2.3561886940988461E-3</v>
      </c>
    </row>
    <row r="14" spans="1:13" s="38" customFormat="1" ht="16">
      <c r="A14" s="8" t="str">
        <f>'Sovereign Ratings (Moody''s,S&amp;P)'!A58</f>
        <v>Ghana</v>
      </c>
      <c r="B14" s="125">
        <f>'Country GDP'!B58</f>
        <v>77594.279054879502</v>
      </c>
      <c r="C14" s="11" t="str">
        <f>'10-year CDS Spreads'!C58</f>
        <v>NA</v>
      </c>
      <c r="D14" s="21">
        <f>'ERPs by country'!D64</f>
        <v>0.14682729357798166</v>
      </c>
      <c r="E14" s="10">
        <f>'ERPs by country'!E64</f>
        <v>0.26651819215360384</v>
      </c>
      <c r="F14" s="14">
        <f>'ERPs by country'!F64</f>
        <v>0.20711819215360386</v>
      </c>
      <c r="G14" s="14">
        <f>'Country Tax Rates'!C58</f>
        <v>0.25</v>
      </c>
      <c r="H14" s="15" t="s">
        <v>128</v>
      </c>
      <c r="I14" s="60">
        <f t="shared" si="0"/>
        <v>3.3357647041757886E-2</v>
      </c>
      <c r="J14" s="60">
        <f t="shared" si="1"/>
        <v>4.8978130352708765E-3</v>
      </c>
      <c r="K14" s="60">
        <f t="shared" si="2"/>
        <v>8.8904197840673233E-3</v>
      </c>
      <c r="L14" s="60">
        <f t="shared" si="3"/>
        <v>6.9089755497869047E-3</v>
      </c>
      <c r="M14" s="60">
        <f t="shared" si="8"/>
        <v>8.3394117604394715E-3</v>
      </c>
    </row>
    <row r="15" spans="1:13" s="38" customFormat="1" ht="16">
      <c r="A15" s="8" t="str">
        <f>'Sovereign Ratings (Moody''s,S&amp;P)'!A78</f>
        <v>Kenya</v>
      </c>
      <c r="B15" s="125">
        <f>'Country GDP'!B78</f>
        <v>110347.079517356</v>
      </c>
      <c r="C15" s="11">
        <f>'10-year CDS Spreads'!C78</f>
        <v>7.5999999999999998E-2</v>
      </c>
      <c r="D15" s="21">
        <f>'ERPs by country'!D84</f>
        <v>6.7301834862385335E-2</v>
      </c>
      <c r="E15" s="10">
        <f>'ERPs by country'!E84</f>
        <v>0.15433762382750893</v>
      </c>
      <c r="F15" s="14">
        <f>'ERPs by country'!F84</f>
        <v>9.4937623827508935E-2</v>
      </c>
      <c r="G15" s="14">
        <f>'Country Tax Rates'!C78</f>
        <v>0.3</v>
      </c>
      <c r="H15" s="15" t="s">
        <v>128</v>
      </c>
      <c r="I15" s="60">
        <f t="shared" si="0"/>
        <v>4.7438019599684376E-2</v>
      </c>
      <c r="J15" s="60">
        <f t="shared" si="1"/>
        <v>3.192665761296557E-3</v>
      </c>
      <c r="K15" s="60">
        <f t="shared" si="2"/>
        <v>7.3214712240980834E-3</v>
      </c>
      <c r="L15" s="60">
        <f t="shared" si="3"/>
        <v>4.5036528598768315E-3</v>
      </c>
      <c r="M15" s="60">
        <f t="shared" si="8"/>
        <v>1.4231405879905313E-2</v>
      </c>
    </row>
    <row r="16" spans="1:13" s="38" customFormat="1" ht="16">
      <c r="A16" s="8" t="str">
        <f>'Sovereign Ratings (Moody''s,S&amp;P)'!A92</f>
        <v>Mali</v>
      </c>
      <c r="B16" s="125">
        <f>'Country GDP'!B92</f>
        <v>19143.741503148201</v>
      </c>
      <c r="C16" s="11" t="str">
        <f>'10-year CDS Spreads'!C92</f>
        <v>NA</v>
      </c>
      <c r="D16" s="21">
        <f>'ERPs by country'!D98</f>
        <v>0.11015642201834862</v>
      </c>
      <c r="E16" s="10">
        <f>'ERPs by country'!E98</f>
        <v>0.21478935865784579</v>
      </c>
      <c r="F16" s="14">
        <f>'ERPs by country'!F98</f>
        <v>0.15538935865784578</v>
      </c>
      <c r="G16" s="14">
        <f>'Country Tax Rates'!C92</f>
        <v>0.2281</v>
      </c>
      <c r="H16" s="15" t="s">
        <v>128</v>
      </c>
      <c r="I16" s="60">
        <f t="shared" si="0"/>
        <v>8.2298615297271924E-3</v>
      </c>
      <c r="J16" s="60">
        <f t="shared" si="1"/>
        <v>9.065720998212007E-4</v>
      </c>
      <c r="K16" s="60">
        <f t="shared" si="2"/>
        <v>1.7676866798129814E-3</v>
      </c>
      <c r="L16" s="60">
        <f t="shared" si="3"/>
        <v>1.2788329049471861E-3</v>
      </c>
      <c r="M16" s="60">
        <f t="shared" si="8"/>
        <v>1.8772314149307725E-3</v>
      </c>
    </row>
    <row r="17" spans="1:13" s="38" customFormat="1" ht="16">
      <c r="A17" s="8" t="str">
        <f>'Sovereign Ratings (Moody''s,S&amp;P)'!A94</f>
        <v>Mauritius</v>
      </c>
      <c r="B17" s="125">
        <f>'Country GDP'!B94</f>
        <v>11156.6577696974</v>
      </c>
      <c r="C17" s="11" t="str">
        <f>'10-year CDS Spreads'!C94</f>
        <v>NA</v>
      </c>
      <c r="D17" s="21">
        <f>'ERPs by country'!D100</f>
        <v>2.6891972477064225E-2</v>
      </c>
      <c r="E17" s="10">
        <f>'ERPs by country'!E100</f>
        <v>9.733447789688926E-2</v>
      </c>
      <c r="F17" s="14">
        <f>'ERPs by country'!F100</f>
        <v>3.7934477896889252E-2</v>
      </c>
      <c r="G17" s="14">
        <f>'Country Tax Rates'!C94</f>
        <v>0.15</v>
      </c>
      <c r="H17" s="15" t="s">
        <v>128</v>
      </c>
      <c r="I17" s="60">
        <f>B17/$B$32</f>
        <v>4.7962279768594416E-3</v>
      </c>
      <c r="J17" s="60">
        <f t="shared" si="1"/>
        <v>1.2898003074742953E-4</v>
      </c>
      <c r="K17" s="60">
        <f t="shared" si="2"/>
        <v>4.6683834600206719E-4</v>
      </c>
      <c r="L17" s="60">
        <f t="shared" si="3"/>
        <v>1.8194240417661634E-4</v>
      </c>
      <c r="M17" s="60">
        <f t="shared" ref="M17" si="9">I17*G17</f>
        <v>7.1943419652891621E-4</v>
      </c>
    </row>
    <row r="18" spans="1:13" s="38" customFormat="1" ht="16">
      <c r="A18" s="8" t="str">
        <f>'Sovereign Ratings (Moody''s,S&amp;P)'!A100</f>
        <v>Morocco</v>
      </c>
      <c r="B18" s="125">
        <f>'Country GDP'!B100</f>
        <v>132725.261467431</v>
      </c>
      <c r="C18" s="11">
        <f>'10-year CDS Spreads'!C100</f>
        <v>2.53E-2</v>
      </c>
      <c r="D18" s="21">
        <f>'ERPs by country'!D106</f>
        <v>3.0630963302752296E-2</v>
      </c>
      <c r="E18" s="10">
        <f>'ERPs by country'!E106</f>
        <v>0.10260879033175085</v>
      </c>
      <c r="F18" s="14">
        <f>'ERPs by country'!F106</f>
        <v>4.3208790331750853E-2</v>
      </c>
      <c r="G18" s="14">
        <f>'Country Tax Rates'!C100</f>
        <v>0.31</v>
      </c>
      <c r="H18" s="15" t="s">
        <v>128</v>
      </c>
      <c r="I18" s="60">
        <f t="shared" si="0"/>
        <v>5.7058361511732811E-2</v>
      </c>
      <c r="J18" s="60">
        <f t="shared" si="1"/>
        <v>1.7477525775810617E-3</v>
      </c>
      <c r="K18" s="60">
        <f t="shared" si="2"/>
        <v>5.8546894530306344E-3</v>
      </c>
      <c r="L18" s="60">
        <f t="shared" si="3"/>
        <v>2.4654227792337054E-3</v>
      </c>
      <c r="M18" s="60">
        <f t="shared" si="8"/>
        <v>1.7688092068637171E-2</v>
      </c>
    </row>
    <row r="19" spans="1:13" s="38" customFormat="1" ht="16">
      <c r="A19" s="8" t="str">
        <f>'Sovereign Ratings (Moody''s,S&amp;P)'!A101</f>
        <v>Mozambique</v>
      </c>
      <c r="B19" s="125">
        <f>'Country GDP'!B101</f>
        <v>16095.828896634199</v>
      </c>
      <c r="C19" s="11" t="str">
        <f>'10-year CDS Spreads'!C101</f>
        <v>NA</v>
      </c>
      <c r="D19" s="21">
        <f>'ERPs by country'!D107</f>
        <v>0.11015642201834862</v>
      </c>
      <c r="E19" s="10">
        <f>'ERPs by country'!E107</f>
        <v>0.21478935865784579</v>
      </c>
      <c r="F19" s="14">
        <f>'ERPs by country'!F107</f>
        <v>0.15538935865784578</v>
      </c>
      <c r="G19" s="14">
        <f>'Country Tax Rates'!C101</f>
        <v>0.32</v>
      </c>
      <c r="H19" s="15" t="s">
        <v>128</v>
      </c>
      <c r="I19" s="60">
        <f t="shared" si="0"/>
        <v>6.9195691450230296E-3</v>
      </c>
      <c r="J19" s="60">
        <f t="shared" si="1"/>
        <v>7.6223497892430054E-4</v>
      </c>
      <c r="K19" s="60">
        <f t="shared" si="2"/>
        <v>1.4862498188481148E-3</v>
      </c>
      <c r="L19" s="60">
        <f t="shared" si="3"/>
        <v>1.0752274116337468E-3</v>
      </c>
      <c r="M19" s="60">
        <f t="shared" si="8"/>
        <v>2.2142621264073696E-3</v>
      </c>
    </row>
    <row r="20" spans="1:13" s="38" customFormat="1" ht="16">
      <c r="A20" s="8" t="str">
        <f>'Sovereign Ratings (Moody''s,S&amp;P)'!A102</f>
        <v>Namibia</v>
      </c>
      <c r="B20" s="125">
        <f>'Country GDP'!B102</f>
        <v>12236.250784133601</v>
      </c>
      <c r="C20" s="11" t="str">
        <f>'10-year CDS Spreads'!C102</f>
        <v>NA</v>
      </c>
      <c r="D20" s="21">
        <f>'ERPs by country'!D108</f>
        <v>5.5078211009174309E-2</v>
      </c>
      <c r="E20" s="10">
        <f>'ERPs by country'!E108</f>
        <v>0.13709467932892289</v>
      </c>
      <c r="F20" s="14">
        <f>'ERPs by country'!F108</f>
        <v>7.7694679328922892E-2</v>
      </c>
      <c r="G20" s="14">
        <f>'Country Tax Rates'!C102</f>
        <v>0.32</v>
      </c>
      <c r="H20" s="15" t="s">
        <v>128</v>
      </c>
      <c r="I20" s="60">
        <f t="shared" si="0"/>
        <v>5.2603431560060872E-3</v>
      </c>
      <c r="J20" s="60">
        <f t="shared" si="1"/>
        <v>2.8973029032716919E-4</v>
      </c>
      <c r="K20" s="60">
        <f t="shared" si="2"/>
        <v>7.2116505813274868E-4</v>
      </c>
      <c r="L20" s="60">
        <f t="shared" si="3"/>
        <v>4.0870067466598715E-4</v>
      </c>
      <c r="M20" s="60">
        <f t="shared" si="8"/>
        <v>1.6833098099219479E-3</v>
      </c>
    </row>
    <row r="21" spans="1:13" s="38" customFormat="1" ht="16">
      <c r="A21" s="8" t="str">
        <f>'Sovereign Ratings (Moody''s,S&amp;P)'!A106</f>
        <v>Niger</v>
      </c>
      <c r="B21" s="125">
        <f>'Country GDP'!B106</f>
        <v>14950.9498752729</v>
      </c>
      <c r="C21" s="11" t="str">
        <f>'10-year CDS Spreads'!C106</f>
        <v>NA</v>
      </c>
      <c r="D21" s="21">
        <f>'ERPs by country'!D112</f>
        <v>7.9525458715596339E-2</v>
      </c>
      <c r="E21" s="10">
        <f>'ERPs by country'!E112</f>
        <v>0.17158056832609495</v>
      </c>
      <c r="F21" s="14">
        <f>'ERPs by country'!F112</f>
        <v>0.11218056832609494</v>
      </c>
      <c r="G21" s="14">
        <f>'Country Tax Rates'!C106</f>
        <v>0.2281</v>
      </c>
      <c r="H21" s="15" t="s">
        <v>128</v>
      </c>
      <c r="I21" s="60">
        <f t="shared" ref="I21" si="10">B21/$B$32</f>
        <v>6.4273876238431912E-3</v>
      </c>
      <c r="J21" s="60">
        <f t="shared" ref="J21" si="11">I21*D21</f>
        <v>5.1114094912907654E-4</v>
      </c>
      <c r="K21" s="60">
        <f t="shared" ref="K21" si="12">I21*E21</f>
        <v>1.1028148213511238E-3</v>
      </c>
      <c r="L21" s="60">
        <f t="shared" ref="L21" si="13">I21*F21</f>
        <v>7.210279964948381E-4</v>
      </c>
      <c r="M21" s="60">
        <f t="shared" ref="M21" si="14">I21*G21</f>
        <v>1.466087116998632E-3</v>
      </c>
    </row>
    <row r="22" spans="1:13" s="38" customFormat="1" ht="16">
      <c r="A22" s="8" t="str">
        <f>'Sovereign Ratings (Moody''s,S&amp;P)'!A107</f>
        <v>Nigeria</v>
      </c>
      <c r="B22" s="125">
        <f>'Country GDP'!B107</f>
        <v>440776.97153601499</v>
      </c>
      <c r="C22" s="11">
        <f>'10-year CDS Spreads'!C107</f>
        <v>8.5199999999999998E-2</v>
      </c>
      <c r="D22" s="21">
        <f>'ERPs by country'!D113</f>
        <v>7.9525458715596339E-2</v>
      </c>
      <c r="E22" s="10">
        <f>'ERPs by country'!E113</f>
        <v>0.17158056832609495</v>
      </c>
      <c r="F22" s="14">
        <f>'ERPs by country'!F113</f>
        <v>0.11218056832609494</v>
      </c>
      <c r="G22" s="14">
        <f>'Country Tax Rates'!C107</f>
        <v>0.3</v>
      </c>
      <c r="H22" s="15" t="s">
        <v>128</v>
      </c>
      <c r="I22" s="60">
        <f t="shared" si="0"/>
        <v>0.18948926157602772</v>
      </c>
      <c r="J22" s="60">
        <f t="shared" si="1"/>
        <v>1.5069220448513228E-2</v>
      </c>
      <c r="K22" s="60">
        <f t="shared" si="2"/>
        <v>3.2512675192906904E-2</v>
      </c>
      <c r="L22" s="60">
        <f t="shared" si="3"/>
        <v>2.1257013055290853E-2</v>
      </c>
      <c r="M22" s="60">
        <f t="shared" si="8"/>
        <v>5.6846778472808314E-2</v>
      </c>
    </row>
    <row r="23" spans="1:13" s="38" customFormat="1" ht="16">
      <c r="A23" s="8" t="str">
        <f>'Sovereign Ratings (Moody''s,S&amp;P)'!A122</f>
        <v>Rwanda</v>
      </c>
      <c r="B23" s="125">
        <f>'Country GDP'!B122</f>
        <v>11070.3565194804</v>
      </c>
      <c r="C23" s="11">
        <f>'10-year CDS Spreads'!C122</f>
        <v>5.4199999999999998E-2</v>
      </c>
      <c r="D23" s="21">
        <f>'ERPs by country'!D128</f>
        <v>6.7301834862385335E-2</v>
      </c>
      <c r="E23" s="10">
        <f>'ERPs by country'!E128</f>
        <v>0.15433762382750893</v>
      </c>
      <c r="F23" s="14">
        <f>'ERPs by country'!F128</f>
        <v>9.4937623827508935E-2</v>
      </c>
      <c r="G23" s="14">
        <f>'Country Tax Rates'!C122</f>
        <v>0.3</v>
      </c>
      <c r="H23" s="15" t="s">
        <v>128</v>
      </c>
      <c r="I23" s="60">
        <f t="shared" si="0"/>
        <v>4.7591272178980097E-3</v>
      </c>
      <c r="J23" s="60">
        <f t="shared" si="1"/>
        <v>3.2029799410805519E-4</v>
      </c>
      <c r="K23" s="60">
        <f t="shared" si="2"/>
        <v>7.3451238630320209E-4</v>
      </c>
      <c r="L23" s="60">
        <f t="shared" si="3"/>
        <v>4.5182022956006038E-4</v>
      </c>
      <c r="M23" s="60">
        <f t="shared" si="8"/>
        <v>1.4277381653694029E-3</v>
      </c>
    </row>
    <row r="24" spans="1:13" s="38" customFormat="1" ht="16">
      <c r="A24" s="8" t="str">
        <f>'Sovereign Ratings (Moody''s,S&amp;P)'!A124</f>
        <v>Senegal</v>
      </c>
      <c r="B24" s="125">
        <f>'Country GDP'!B124</f>
        <v>27625.3883521688</v>
      </c>
      <c r="C24" s="11">
        <f>'10-year CDS Spreads'!C124</f>
        <v>5.3900000000000003E-2</v>
      </c>
      <c r="D24" s="21">
        <f>'ERPs by country'!D130</f>
        <v>4.4005045871559637E-2</v>
      </c>
      <c r="E24" s="10">
        <f>'ERPs by country'!E130</f>
        <v>0.12147460019490969</v>
      </c>
      <c r="F24" s="14">
        <f>'ERPs by country'!F130</f>
        <v>6.2074600194909679E-2</v>
      </c>
      <c r="G24" s="14">
        <f>'Country Tax Rates'!C124</f>
        <v>0.3</v>
      </c>
      <c r="H24" s="15" t="s">
        <v>128</v>
      </c>
      <c r="I24" s="60">
        <f t="shared" si="0"/>
        <v>1.1876106914936107E-2</v>
      </c>
      <c r="J24" s="60">
        <f t="shared" si="1"/>
        <v>5.2260862956730999E-4</v>
      </c>
      <c r="K24" s="60">
        <f t="shared" si="2"/>
        <v>1.442645339363866E-3</v>
      </c>
      <c r="L24" s="60">
        <f t="shared" si="3"/>
        <v>7.3720458861666104E-4</v>
      </c>
      <c r="M24" s="60">
        <f t="shared" si="8"/>
        <v>3.5628320744808318E-3</v>
      </c>
    </row>
    <row r="25" spans="1:13" s="38" customFormat="1" ht="16">
      <c r="A25" s="8" t="str">
        <f>'Sovereign Ratings (Moody''s,S&amp;P)'!A131</f>
        <v>South Africa</v>
      </c>
      <c r="B25" s="125">
        <f>'Country GDP'!B131</f>
        <v>419946.42812600802</v>
      </c>
      <c r="C25" s="11">
        <f>'10-year CDS Spreads'!C131</f>
        <v>3.5099999999999999E-2</v>
      </c>
      <c r="D25" s="21">
        <f>'ERPs by country'!D137</f>
        <v>3.6814678899082569E-2</v>
      </c>
      <c r="E25" s="10">
        <f>'ERPs by country'!E137</f>
        <v>0.11133169166632967</v>
      </c>
      <c r="F25" s="14">
        <f>'ERPs by country'!F137</f>
        <v>5.193169166632966E-2</v>
      </c>
      <c r="G25" s="14">
        <f>'Country Tax Rates'!C131</f>
        <v>0.27</v>
      </c>
      <c r="H25" s="15" t="s">
        <v>128</v>
      </c>
      <c r="I25" s="60">
        <f t="shared" si="0"/>
        <v>0.18053424680918412</v>
      </c>
      <c r="J25" s="60">
        <f t="shared" si="1"/>
        <v>6.6463103265678352E-3</v>
      </c>
      <c r="K25" s="60">
        <f t="shared" si="2"/>
        <v>2.0099183100973146E-2</v>
      </c>
      <c r="L25" s="60">
        <f t="shared" si="3"/>
        <v>9.3754488405076095E-3</v>
      </c>
      <c r="M25" s="60">
        <f t="shared" si="8"/>
        <v>4.8744246638479719E-2</v>
      </c>
    </row>
    <row r="26" spans="1:13" ht="16">
      <c r="A26" s="8" t="str">
        <f>'Sovereign Ratings (Moody''s,S&amp;P)'!A137</f>
        <v>Swaziland</v>
      </c>
      <c r="B26" s="125">
        <f>'Country GDP'!B137</f>
        <v>4941.3731820826097</v>
      </c>
      <c r="C26" s="11" t="str">
        <f>'10-year CDS Spreads'!C137</f>
        <v>NA</v>
      </c>
      <c r="D26" s="21">
        <f>'ERPs by country'!D143</f>
        <v>7.9525458715596339E-2</v>
      </c>
      <c r="E26" s="10">
        <f>'ERPs by country'!E143</f>
        <v>0.17158056832609495</v>
      </c>
      <c r="F26" s="14">
        <f>'ERPs by country'!F143</f>
        <v>0.11218056832609494</v>
      </c>
      <c r="G26" s="14">
        <f>'Country Tax Rates'!C137</f>
        <v>0.27500000000000002</v>
      </c>
      <c r="H26" s="15" t="s">
        <v>128</v>
      </c>
      <c r="I26" s="60">
        <f t="shared" ref="I26" si="15">B26/$B$32</f>
        <v>2.1242878278814842E-3</v>
      </c>
      <c r="J26" s="60">
        <f t="shared" ref="J26" si="16">I26*D26</f>
        <v>1.6893496395623279E-4</v>
      </c>
      <c r="K26" s="60">
        <f t="shared" ref="K26" si="17">I26*E26</f>
        <v>3.6448651279611082E-4</v>
      </c>
      <c r="L26" s="60">
        <f t="shared" ref="L26" si="18">I26*F26</f>
        <v>2.3830381581995064E-4</v>
      </c>
      <c r="M26" s="60">
        <f t="shared" ref="M26" si="19">I26*G26</f>
        <v>5.8417915266740822E-4</v>
      </c>
    </row>
    <row r="27" spans="1:13" s="38" customFormat="1" ht="16">
      <c r="A27" s="8" t="str">
        <f>'Sovereign Ratings (Moody''s,S&amp;P)'!A142</f>
        <v>Tanzania</v>
      </c>
      <c r="B27" s="125">
        <f>'Country GDP'!B142</f>
        <v>67775.101794347807</v>
      </c>
      <c r="C27" s="11" t="str">
        <f>'10-year CDS Spreads'!C142</f>
        <v>NA</v>
      </c>
      <c r="D27" s="21">
        <f>'ERPs by country'!D148</f>
        <v>6.7301834862385335E-2</v>
      </c>
      <c r="E27" s="10">
        <f>'ERPs by country'!E148</f>
        <v>0.15433762382750893</v>
      </c>
      <c r="F27" s="14">
        <f>'ERPs by country'!F148</f>
        <v>9.4937623827508935E-2</v>
      </c>
      <c r="G27" s="14">
        <f>'Country Tax Rates'!C142</f>
        <v>0.3</v>
      </c>
      <c r="H27" s="15" t="s">
        <v>128</v>
      </c>
      <c r="I27" s="60">
        <f t="shared" si="0"/>
        <v>2.9136399634257504E-2</v>
      </c>
      <c r="J27" s="60">
        <f t="shared" si="1"/>
        <v>1.9609331566692628E-3</v>
      </c>
      <c r="K27" s="60">
        <f t="shared" si="2"/>
        <v>4.4968426864400038E-3</v>
      </c>
      <c r="L27" s="60">
        <f t="shared" si="3"/>
        <v>2.7661405481651078E-3</v>
      </c>
      <c r="M27" s="60">
        <f t="shared" si="8"/>
        <v>8.740919890277251E-3</v>
      </c>
    </row>
    <row r="28" spans="1:13" s="38" customFormat="1" ht="16">
      <c r="A28" s="8" t="str">
        <f>'Sovereign Ratings (Moody''s,S&amp;P)'!A144</f>
        <v>Togo</v>
      </c>
      <c r="B28" s="125">
        <f>'Country GDP'!B144</f>
        <v>8413.2005676151002</v>
      </c>
      <c r="C28" s="11" t="str">
        <f>'10-year CDS Spreads'!C144</f>
        <v>NA</v>
      </c>
      <c r="D28" s="21">
        <f>'ERPs by country'!D150</f>
        <v>7.9525458715596339E-2</v>
      </c>
      <c r="E28" s="10">
        <f>'ERPs by country'!E150</f>
        <v>0.17158056832609495</v>
      </c>
      <c r="F28" s="14">
        <f>'ERPs by country'!F150</f>
        <v>0.11218056832609494</v>
      </c>
      <c r="G28" s="14">
        <f>'Country Tax Rates'!C144</f>
        <v>0.2281</v>
      </c>
      <c r="H28" s="15" t="s">
        <v>128</v>
      </c>
      <c r="I28" s="60">
        <f>B28/$B$32</f>
        <v>3.6168204466147861E-3</v>
      </c>
      <c r="J28" s="60">
        <f>I28*D28</f>
        <v>2.8762930510898888E-4</v>
      </c>
      <c r="K28" s="60">
        <f>I28*E28</f>
        <v>6.2057610776360551E-4</v>
      </c>
      <c r="L28" s="60">
        <f>I28*F28</f>
        <v>4.057369732346872E-4</v>
      </c>
      <c r="M28" s="60">
        <f>I28*G28</f>
        <v>8.2499674387283273E-4</v>
      </c>
    </row>
    <row r="29" spans="1:13" s="38" customFormat="1" ht="16">
      <c r="A29" s="8" t="str">
        <f>'Sovereign Ratings (Moody''s,S&amp;P)'!A146</f>
        <v>Tunisia</v>
      </c>
      <c r="B29" s="125">
        <f>'Country GDP'!B146</f>
        <v>46840.042941492204</v>
      </c>
      <c r="C29" s="11">
        <f>'10-year CDS Spreads'!C146</f>
        <v>8.6900000000000005E-2</v>
      </c>
      <c r="D29" s="21">
        <f>'ERPs by country'!D152</f>
        <v>9.1749082568807344E-2</v>
      </c>
      <c r="E29" s="10">
        <f>'ERPs by country'!E152</f>
        <v>0.18882351282468096</v>
      </c>
      <c r="F29" s="14">
        <f>'ERPs by country'!F152</f>
        <v>0.12942351282468095</v>
      </c>
      <c r="G29" s="14">
        <f>'Country Tax Rates'!C146</f>
        <v>0.15</v>
      </c>
      <c r="H29" s="15" t="s">
        <v>128</v>
      </c>
      <c r="I29" s="60">
        <f t="shared" si="0"/>
        <v>2.0136453858383054E-2</v>
      </c>
      <c r="J29" s="60">
        <f t="shared" si="1"/>
        <v>1.847501167695766E-3</v>
      </c>
      <c r="K29" s="60">
        <f t="shared" si="2"/>
        <v>3.8022359533719892E-3</v>
      </c>
      <c r="L29" s="60">
        <f t="shared" si="3"/>
        <v>2.6061305941840356E-3</v>
      </c>
      <c r="M29" s="60">
        <f t="shared" si="8"/>
        <v>3.0204680787574581E-3</v>
      </c>
    </row>
    <row r="30" spans="1:13" s="38" customFormat="1" ht="16">
      <c r="A30" s="8" t="str">
        <f>'Sovereign Ratings (Moody''s,S&amp;P)'!A149</f>
        <v>Uganda</v>
      </c>
      <c r="B30" s="125">
        <f>'Country GDP'!B149</f>
        <v>40434.701516952795</v>
      </c>
      <c r="C30" s="11" t="str">
        <f>'10-year CDS Spreads'!C149</f>
        <v>NA</v>
      </c>
      <c r="D30" s="21">
        <f>'ERPs by country'!D155</f>
        <v>6.7301834862385335E-2</v>
      </c>
      <c r="E30" s="10">
        <f>'ERPs by country'!E155</f>
        <v>0.15433762382750893</v>
      </c>
      <c r="F30" s="14">
        <f>'ERPs by country'!F155</f>
        <v>9.4937623827508935E-2</v>
      </c>
      <c r="G30" s="14">
        <f>'Country Tax Rates'!C149</f>
        <v>0.3</v>
      </c>
      <c r="H30" s="15" t="s">
        <v>128</v>
      </c>
      <c r="I30" s="60">
        <f t="shared" ref="I30:I31" si="20">B30/$B$32</f>
        <v>1.7382808602260272E-2</v>
      </c>
      <c r="J30" s="60">
        <f t="shared" ref="J30:J31" si="21">I30*D30</f>
        <v>1.169894913993772E-3</v>
      </c>
      <c r="K30" s="60">
        <f t="shared" ref="K30:K31" si="22">I30*E30</f>
        <v>2.6828213751212324E-3</v>
      </c>
      <c r="L30" s="60">
        <f t="shared" ref="L30:L31" si="23">I30*F30</f>
        <v>1.6502825441469722E-3</v>
      </c>
      <c r="M30" s="60">
        <f t="shared" ref="M30:M31" si="24">I30*G30</f>
        <v>5.2148425806780819E-3</v>
      </c>
    </row>
    <row r="31" spans="1:13" s="38" customFormat="1" ht="16">
      <c r="A31" s="8" t="str">
        <f>'Sovereign Ratings (Moody''s,S&amp;P)'!A158</f>
        <v>Zambia</v>
      </c>
      <c r="B31" s="125">
        <f>'Country GDP'!B158</f>
        <v>21203.0590803507</v>
      </c>
      <c r="C31" s="11" t="str">
        <f>'10-year CDS Spreads'!C158</f>
        <v>NA</v>
      </c>
      <c r="D31" s="21">
        <f>'ERPs by country'!D164</f>
        <v>0.14682729357798166</v>
      </c>
      <c r="E31" s="10">
        <f>'ERPs by country'!E164</f>
        <v>0.26651819215360384</v>
      </c>
      <c r="F31" s="14">
        <f>'ERPs by country'!F164</f>
        <v>0.20711819215360386</v>
      </c>
      <c r="G31" s="14">
        <f>'Country Tax Rates'!C158</f>
        <v>0.35</v>
      </c>
      <c r="H31" s="15" t="s">
        <v>128</v>
      </c>
      <c r="I31" s="60">
        <f t="shared" si="20"/>
        <v>9.1151586125008382E-3</v>
      </c>
      <c r="J31" s="60">
        <f t="shared" si="21"/>
        <v>1.3383540696075284E-3</v>
      </c>
      <c r="K31" s="60">
        <f t="shared" si="22"/>
        <v>2.4293555945970754E-3</v>
      </c>
      <c r="L31" s="60">
        <f t="shared" si="23"/>
        <v>1.8879151730145257E-3</v>
      </c>
      <c r="M31" s="60">
        <f t="shared" si="24"/>
        <v>3.1903055143752933E-3</v>
      </c>
    </row>
    <row r="32" spans="1:13" s="32" customFormat="1" ht="16">
      <c r="A32" s="58" t="s">
        <v>128</v>
      </c>
      <c r="B32" s="155">
        <f>SUM(B2:B31)</f>
        <v>2326131.6650345619</v>
      </c>
      <c r="C32" s="53"/>
      <c r="D32" s="54">
        <f>SUM(J2:J31)</f>
        <v>6.830904895845899E-2</v>
      </c>
      <c r="E32" s="54">
        <f>SUM(K2:K31)</f>
        <v>0.15575842480808147</v>
      </c>
      <c r="F32" s="54">
        <f>SUM(L2:L31)</f>
        <v>9.6358424808081405E-2</v>
      </c>
      <c r="G32" s="54">
        <f>SUM(M2:M31)</f>
        <v>0.27268967770769714</v>
      </c>
      <c r="H32" s="58"/>
      <c r="I32" s="61">
        <f>SUM(I2:I31)</f>
        <v>0.99999999999999989</v>
      </c>
    </row>
    <row r="33" spans="1:13" s="38" customFormat="1" ht="16">
      <c r="A33" s="8" t="s">
        <v>132</v>
      </c>
      <c r="B33" s="125">
        <v>416264.94289332599</v>
      </c>
      <c r="C33" s="11" t="s">
        <v>143</v>
      </c>
      <c r="D33" s="21">
        <v>4.4005045871559637E-2</v>
      </c>
      <c r="E33" s="10">
        <v>0.12147460019490969</v>
      </c>
      <c r="F33" s="14">
        <v>6.2074600194909679E-2</v>
      </c>
      <c r="G33" s="14">
        <v>0.32500000000000001</v>
      </c>
      <c r="H33" s="15" t="s">
        <v>129</v>
      </c>
      <c r="I33" s="60">
        <f t="shared" ref="I33:I50" si="25">B33/$B$56</f>
        <v>1.3394958798989704E-2</v>
      </c>
      <c r="J33" s="60">
        <f t="shared" ref="J33:J55" si="26">I33*D33</f>
        <v>5.8944577639719335E-4</v>
      </c>
      <c r="K33" s="60">
        <f t="shared" ref="K33:K55" si="27">I33*E33</f>
        <v>1.627147264734562E-3</v>
      </c>
      <c r="L33" s="60">
        <f t="shared" ref="L33:L55" si="28">I33*F33</f>
        <v>8.3148671207457345E-4</v>
      </c>
      <c r="M33" s="60">
        <f t="shared" si="8"/>
        <v>4.3533616096716543E-3</v>
      </c>
    </row>
    <row r="34" spans="1:13" s="38" customFormat="1" ht="16">
      <c r="A34" s="8" t="s">
        <v>6</v>
      </c>
      <c r="B34" s="125">
        <v>26961.061119795701</v>
      </c>
      <c r="C34" s="11" t="s">
        <v>143</v>
      </c>
      <c r="D34" s="21">
        <v>6.7301834862385335E-2</v>
      </c>
      <c r="E34" s="10">
        <v>0.15433762382750893</v>
      </c>
      <c r="F34" s="14">
        <v>9.4937623827508935E-2</v>
      </c>
      <c r="G34" s="14">
        <v>0.2</v>
      </c>
      <c r="H34" s="15" t="s">
        <v>129</v>
      </c>
      <c r="I34" s="60">
        <f t="shared" si="25"/>
        <v>8.6757799099419872E-4</v>
      </c>
      <c r="J34" s="60">
        <f t="shared" si="26"/>
        <v>5.838959068013159E-5</v>
      </c>
      <c r="K34" s="60">
        <f t="shared" si="27"/>
        <v>1.3389992561508858E-4</v>
      </c>
      <c r="L34" s="60">
        <f t="shared" si="28"/>
        <v>8.2365792950033178E-5</v>
      </c>
      <c r="M34" s="60">
        <f t="shared" si="8"/>
        <v>1.7351559819883976E-4</v>
      </c>
    </row>
    <row r="35" spans="1:13" s="38" customFormat="1" ht="16">
      <c r="A35" s="8" t="s">
        <v>97</v>
      </c>
      <c r="B35" s="125">
        <v>17734062.6453714</v>
      </c>
      <c r="C35" s="11">
        <v>1.11E-2</v>
      </c>
      <c r="D35" s="21">
        <v>8.6284403669724778E-3</v>
      </c>
      <c r="E35" s="10">
        <v>7.1571490234296015E-2</v>
      </c>
      <c r="F35" s="14">
        <v>1.2171490234296015E-2</v>
      </c>
      <c r="G35" s="14">
        <v>0.25</v>
      </c>
      <c r="H35" s="15" t="s">
        <v>129</v>
      </c>
      <c r="I35" s="60">
        <f t="shared" si="25"/>
        <v>0.57066308976763191</v>
      </c>
      <c r="J35" s="60">
        <f t="shared" si="26"/>
        <v>4.9239324396922737E-3</v>
      </c>
      <c r="K35" s="60">
        <f t="shared" si="27"/>
        <v>4.0843207756377259E-2</v>
      </c>
      <c r="L35" s="60">
        <f t="shared" si="28"/>
        <v>6.9458202241799221E-3</v>
      </c>
      <c r="M35" s="60">
        <f t="shared" si="8"/>
        <v>0.14266577244190798</v>
      </c>
    </row>
    <row r="36" spans="1:13" s="38" customFormat="1" ht="16">
      <c r="A36" s="8" t="s">
        <v>219</v>
      </c>
      <c r="B36" s="125">
        <v>4592.1187095527894</v>
      </c>
      <c r="C36" s="11" t="s">
        <v>143</v>
      </c>
      <c r="D36" s="21">
        <v>5.5078211009174309E-2</v>
      </c>
      <c r="E36" s="10">
        <v>0.13709467932892289</v>
      </c>
      <c r="F36" s="14">
        <v>7.7694679328922892E-2</v>
      </c>
      <c r="G36" s="14">
        <v>0.2</v>
      </c>
      <c r="H36" s="15" t="s">
        <v>129</v>
      </c>
      <c r="I36" s="60">
        <f t="shared" si="25"/>
        <v>1.4776944819562321E-4</v>
      </c>
      <c r="J36" s="60">
        <f t="shared" si="26"/>
        <v>8.1388768484277872E-6</v>
      </c>
      <c r="K36" s="60">
        <f t="shared" si="27"/>
        <v>2.0258405114990848E-5</v>
      </c>
      <c r="L36" s="60">
        <f t="shared" si="28"/>
        <v>1.1480899892170829E-5</v>
      </c>
      <c r="M36" s="60">
        <f t="shared" si="8"/>
        <v>2.9553889639124643E-5</v>
      </c>
    </row>
    <row r="37" spans="1:13" s="38" customFormat="1" ht="16">
      <c r="A37" s="8" t="s">
        <v>59</v>
      </c>
      <c r="B37" s="125">
        <v>346600</v>
      </c>
      <c r="C37" s="11">
        <v>7.1000000000000004E-3</v>
      </c>
      <c r="D37" s="21">
        <v>7.3341743119266058E-3</v>
      </c>
      <c r="E37" s="10">
        <v>6.9745766699151612E-2</v>
      </c>
      <c r="F37" s="14">
        <v>1.0345766699151613E-2</v>
      </c>
      <c r="G37" s="14">
        <v>0.16500000000000001</v>
      </c>
      <c r="H37" s="15" t="s">
        <v>129</v>
      </c>
      <c r="I37" s="60">
        <f t="shared" si="25"/>
        <v>1.1153215755955672E-2</v>
      </c>
      <c r="J37" s="60">
        <f t="shared" si="26"/>
        <v>8.1799628492705166E-5</v>
      </c>
      <c r="K37" s="60">
        <f t="shared" si="27"/>
        <v>7.7788958406018621E-4</v>
      </c>
      <c r="L37" s="60">
        <f t="shared" si="28"/>
        <v>1.1538856815641928E-4</v>
      </c>
      <c r="M37" s="60">
        <f t="shared" si="8"/>
        <v>1.8402805997326859E-3</v>
      </c>
    </row>
    <row r="38" spans="1:13" s="38" customFormat="1" ht="16">
      <c r="A38" s="8" t="s">
        <v>111</v>
      </c>
      <c r="B38" s="125">
        <v>3173397.5908169104</v>
      </c>
      <c r="C38" s="11">
        <v>1.67E-2</v>
      </c>
      <c r="D38" s="21">
        <v>2.6891972477064225E-2</v>
      </c>
      <c r="E38" s="10">
        <v>9.733447789688926E-2</v>
      </c>
      <c r="F38" s="14">
        <v>3.7934477896889252E-2</v>
      </c>
      <c r="G38" s="14">
        <v>0.3</v>
      </c>
      <c r="H38" s="15" t="s">
        <v>129</v>
      </c>
      <c r="I38" s="60">
        <f t="shared" si="25"/>
        <v>0.10211652628335527</v>
      </c>
      <c r="J38" s="60">
        <f t="shared" si="26"/>
        <v>2.7461148142653956E-3</v>
      </c>
      <c r="K38" s="60">
        <f t="shared" si="27"/>
        <v>9.9394587704343552E-3</v>
      </c>
      <c r="L38" s="60">
        <f t="shared" si="28"/>
        <v>3.8737371092030506E-3</v>
      </c>
      <c r="M38" s="60">
        <f t="shared" si="8"/>
        <v>3.0634957885006579E-2</v>
      </c>
    </row>
    <row r="39" spans="1:13" s="38" customFormat="1" ht="16">
      <c r="A39" s="8" t="s">
        <v>112</v>
      </c>
      <c r="B39" s="125">
        <v>1186092.9913200401</v>
      </c>
      <c r="C39" s="11">
        <v>1.7500000000000002E-2</v>
      </c>
      <c r="D39" s="21">
        <v>2.3296788990825688E-2</v>
      </c>
      <c r="E39" s="10">
        <v>9.2263023632599236E-2</v>
      </c>
      <c r="F39" s="14">
        <v>3.2863023632599235E-2</v>
      </c>
      <c r="G39" s="14">
        <v>0.15</v>
      </c>
      <c r="H39" s="15" t="s">
        <v>129</v>
      </c>
      <c r="I39" s="60">
        <f t="shared" si="25"/>
        <v>3.8167198611711674E-2</v>
      </c>
      <c r="J39" s="60">
        <f t="shared" si="26"/>
        <v>8.8917317242798199E-4</v>
      </c>
      <c r="K39" s="60">
        <f t="shared" si="27"/>
        <v>3.5214211475024628E-3</v>
      </c>
      <c r="L39" s="60">
        <f t="shared" si="28"/>
        <v>1.2542895499667894E-3</v>
      </c>
      <c r="M39" s="60">
        <f t="shared" si="8"/>
        <v>5.7250797917567505E-3</v>
      </c>
    </row>
    <row r="40" spans="1:13" s="38" customFormat="1" ht="16">
      <c r="A40" s="8" t="s">
        <v>116</v>
      </c>
      <c r="B40" s="125">
        <v>4937421.8804615494</v>
      </c>
      <c r="C40" s="11">
        <v>3.0999999999999999E-3</v>
      </c>
      <c r="D40" s="21">
        <v>8.6284403669724778E-3</v>
      </c>
      <c r="E40" s="10">
        <v>7.1571490234296015E-2</v>
      </c>
      <c r="F40" s="14">
        <v>1.2171490234296015E-2</v>
      </c>
      <c r="G40" s="14">
        <v>0.23200000000000001</v>
      </c>
      <c r="H40" s="15" t="s">
        <v>129</v>
      </c>
      <c r="I40" s="60">
        <f t="shared" si="25"/>
        <v>0.15888093338420092</v>
      </c>
      <c r="J40" s="60">
        <f t="shared" si="26"/>
        <v>1.3708946591545045E-3</v>
      </c>
      <c r="K40" s="60">
        <f t="shared" si="27"/>
        <v>1.1371345172123171E-2</v>
      </c>
      <c r="L40" s="60">
        <f t="shared" si="28"/>
        <v>1.9338177291016371E-3</v>
      </c>
      <c r="M40" s="60">
        <f t="shared" si="8"/>
        <v>3.6860376545134618E-2</v>
      </c>
    </row>
    <row r="41" spans="1:13" s="38" customFormat="1" ht="16">
      <c r="A41" s="8" t="s">
        <v>119</v>
      </c>
      <c r="B41" s="125">
        <v>1630.53</v>
      </c>
      <c r="C41" s="11">
        <v>6.7999999999999996E-3</v>
      </c>
      <c r="D41" s="21">
        <v>6.0399082568807346E-3</v>
      </c>
      <c r="E41" s="10">
        <v>6.792004316400721E-2</v>
      </c>
      <c r="F41" s="14">
        <v>8.5200431640072103E-3</v>
      </c>
      <c r="G41" s="14">
        <v>0.25</v>
      </c>
      <c r="H41" s="15" t="s">
        <v>129</v>
      </c>
      <c r="I41" s="60">
        <f t="shared" si="25"/>
        <v>5.2468704231270636E-5</v>
      </c>
      <c r="J41" s="60">
        <f t="shared" si="26"/>
        <v>3.1690615991428465E-7</v>
      </c>
      <c r="K41" s="60">
        <f t="shared" si="27"/>
        <v>3.5636766561474294E-6</v>
      </c>
      <c r="L41" s="60">
        <f t="shared" si="28"/>
        <v>4.4703562480995357E-7</v>
      </c>
      <c r="M41" s="60">
        <f t="shared" si="8"/>
        <v>1.3117176057817659E-5</v>
      </c>
    </row>
    <row r="42" spans="1:13" s="38" customFormat="1" ht="16">
      <c r="A42" s="8" t="s">
        <v>343</v>
      </c>
      <c r="B42" s="125">
        <v>18827.1485300151</v>
      </c>
      <c r="C42" s="11" t="s">
        <v>143</v>
      </c>
      <c r="D42" s="21">
        <v>0.12238004587155965</v>
      </c>
      <c r="E42" s="10">
        <v>0.23203230315643184</v>
      </c>
      <c r="F42" s="14">
        <v>0.17263230315643183</v>
      </c>
      <c r="G42" s="14">
        <v>0.2281</v>
      </c>
      <c r="H42" s="15" t="s">
        <v>129</v>
      </c>
      <c r="I42" s="60">
        <f t="shared" si="25"/>
        <v>6.0583741957496279E-4</v>
      </c>
      <c r="J42" s="60">
        <f t="shared" ref="J42" si="29">I42*D42</f>
        <v>7.4142411198291274E-5</v>
      </c>
      <c r="K42" s="60">
        <f t="shared" ref="K42" si="30">I42*E42</f>
        <v>1.4057385180232815E-4</v>
      </c>
      <c r="L42" s="60">
        <f t="shared" ref="L42" si="31">I42*F42</f>
        <v>1.0458710907957536E-4</v>
      </c>
      <c r="M42" s="60">
        <f t="shared" ref="M42" si="32">I42*G42</f>
        <v>1.3819151540504901E-4</v>
      </c>
    </row>
    <row r="43" spans="1:13" s="38" customFormat="1" ht="16">
      <c r="A43" s="8" t="s">
        <v>32</v>
      </c>
      <c r="B43" s="125">
        <v>29905.190181750098</v>
      </c>
      <c r="C43" s="11" t="s">
        <v>143</v>
      </c>
      <c r="D43" s="21">
        <v>7.3341743119266058E-3</v>
      </c>
      <c r="E43" s="10">
        <v>6.9745766699151612E-2</v>
      </c>
      <c r="F43" s="14">
        <v>1.0345766699151613E-2</v>
      </c>
      <c r="G43" s="14">
        <v>0.2281</v>
      </c>
      <c r="H43" s="15" t="s">
        <v>129</v>
      </c>
      <c r="I43" s="60">
        <f t="shared" si="25"/>
        <v>9.6231690225027716E-4</v>
      </c>
      <c r="J43" s="60">
        <f t="shared" si="26"/>
        <v>7.0577999044167691E-6</v>
      </c>
      <c r="K43" s="60">
        <f t="shared" si="27"/>
        <v>6.7117530154998123E-5</v>
      </c>
      <c r="L43" s="60">
        <f t="shared" si="28"/>
        <v>9.9559061613316554E-6</v>
      </c>
      <c r="M43" s="60">
        <f t="shared" si="8"/>
        <v>2.1950448540328821E-4</v>
      </c>
    </row>
    <row r="44" spans="1:13" s="38" customFormat="1" ht="16">
      <c r="A44" s="8" t="s">
        <v>14</v>
      </c>
      <c r="B44" s="125">
        <v>372701.35882026399</v>
      </c>
      <c r="C44" s="11">
        <v>1.24E-2</v>
      </c>
      <c r="D44" s="21">
        <v>1.4668348623853212E-2</v>
      </c>
      <c r="E44" s="10">
        <v>8.009153339830323E-2</v>
      </c>
      <c r="F44" s="14">
        <v>2.0691533398303225E-2</v>
      </c>
      <c r="G44" s="14">
        <v>0.24</v>
      </c>
      <c r="H44" s="15" t="s">
        <v>129</v>
      </c>
      <c r="I44" s="60">
        <f t="shared" si="25"/>
        <v>1.1993129450260407E-2</v>
      </c>
      <c r="J44" s="60">
        <f t="shared" si="26"/>
        <v>1.7591940386742067E-4</v>
      </c>
      <c r="K44" s="60">
        <f t="shared" si="27"/>
        <v>9.6054812791570546E-4</v>
      </c>
      <c r="L44" s="60">
        <f t="shared" si="28"/>
        <v>2.4815623857023721E-4</v>
      </c>
      <c r="M44" s="60">
        <f t="shared" si="8"/>
        <v>2.8783510680624974E-3</v>
      </c>
    </row>
    <row r="45" spans="1:13" s="38" customFormat="1" ht="16">
      <c r="A45" s="8" t="s">
        <v>399</v>
      </c>
      <c r="B45" s="125">
        <v>4889.6669316385496</v>
      </c>
      <c r="C45" s="11" t="s">
        <v>143</v>
      </c>
      <c r="D45" s="21">
        <v>9.1749082568807344E-2</v>
      </c>
      <c r="E45" s="10">
        <v>0.18882351282468096</v>
      </c>
      <c r="F45" s="14">
        <v>0.12942351282468095</v>
      </c>
      <c r="G45" s="14">
        <v>0.2281</v>
      </c>
      <c r="H45" s="15" t="s">
        <v>129</v>
      </c>
      <c r="I45" s="60">
        <f t="shared" si="25"/>
        <v>1.5734423041929168E-4</v>
      </c>
      <c r="J45" s="60">
        <f t="shared" ref="J45" si="33">I45*D45</f>
        <v>1.443618878846504E-5</v>
      </c>
      <c r="K45" s="60">
        <f t="shared" ref="K45" si="34">I45*E45</f>
        <v>2.9710290310466678E-5</v>
      </c>
      <c r="L45" s="60">
        <f t="shared" ref="L45" si="35">I45*F45</f>
        <v>2.0364043023560751E-5</v>
      </c>
      <c r="M45" s="60">
        <f t="shared" ref="M45" si="36">I45*G45</f>
        <v>3.5890218958640434E-5</v>
      </c>
    </row>
    <row r="46" spans="1:13" s="38" customFormat="1" ht="16">
      <c r="A46" s="8" t="s">
        <v>63</v>
      </c>
      <c r="B46" s="125">
        <v>15098.022828610599</v>
      </c>
      <c r="C46" s="11" t="s">
        <v>143</v>
      </c>
      <c r="D46" s="21">
        <v>7.9525458715596339E-2</v>
      </c>
      <c r="E46" s="10">
        <v>0.17158056832609495</v>
      </c>
      <c r="F46" s="14">
        <v>0.11218056832609494</v>
      </c>
      <c r="G46" s="14">
        <v>0.25</v>
      </c>
      <c r="H46" s="15" t="s">
        <v>129</v>
      </c>
      <c r="I46" s="60">
        <f t="shared" si="25"/>
        <v>4.8583815953790583E-4</v>
      </c>
      <c r="J46" s="60">
        <f t="shared" si="26"/>
        <v>3.8636502498793038E-5</v>
      </c>
      <c r="K46" s="60">
        <f t="shared" si="27"/>
        <v>8.3360387528017869E-5</v>
      </c>
      <c r="L46" s="60">
        <f t="shared" si="28"/>
        <v>5.4501600851466257E-5</v>
      </c>
      <c r="M46" s="60">
        <f t="shared" si="8"/>
        <v>1.2145953988447646E-4</v>
      </c>
    </row>
    <row r="47" spans="1:13" s="38" customFormat="1" ht="16">
      <c r="A47" s="8" t="s">
        <v>25</v>
      </c>
      <c r="B47" s="125">
        <v>346343.17048607202</v>
      </c>
      <c r="C47" s="11" t="s">
        <v>143</v>
      </c>
      <c r="D47" s="21">
        <v>9.1749082568807344E-2</v>
      </c>
      <c r="E47" s="10">
        <v>0.18882351282468096</v>
      </c>
      <c r="F47" s="14">
        <v>0.12942351282468095</v>
      </c>
      <c r="G47" s="14">
        <v>0.28999999999999998</v>
      </c>
      <c r="H47" s="15" t="s">
        <v>129</v>
      </c>
      <c r="I47" s="60">
        <f t="shared" si="25"/>
        <v>1.114495125802914E-2</v>
      </c>
      <c r="J47" s="60">
        <f t="shared" si="26"/>
        <v>1.0225390531982488E-3</v>
      </c>
      <c r="K47" s="60">
        <f t="shared" si="27"/>
        <v>2.1044288468009095E-3</v>
      </c>
      <c r="L47" s="60">
        <f t="shared" si="28"/>
        <v>1.4424187420739784E-3</v>
      </c>
      <c r="M47" s="60">
        <f t="shared" si="8"/>
        <v>3.2320358648284505E-3</v>
      </c>
    </row>
    <row r="48" spans="1:13" s="38" customFormat="1" ht="16">
      <c r="A48" s="8" t="s">
        <v>9</v>
      </c>
      <c r="B48" s="125">
        <v>26594.277245782003</v>
      </c>
      <c r="C48" s="11" t="s">
        <v>143</v>
      </c>
      <c r="D48" s="21">
        <v>6.7301834862385335E-2</v>
      </c>
      <c r="E48" s="10">
        <v>0.15433762382750893</v>
      </c>
      <c r="F48" s="14">
        <v>9.4937623827508935E-2</v>
      </c>
      <c r="G48" s="14">
        <v>0.3</v>
      </c>
      <c r="H48" s="15" t="s">
        <v>129</v>
      </c>
      <c r="I48" s="60">
        <f t="shared" si="25"/>
        <v>8.557752798497094E-4</v>
      </c>
      <c r="J48" s="60">
        <f t="shared" si="26"/>
        <v>5.7595246563756737E-5</v>
      </c>
      <c r="K48" s="60">
        <f t="shared" si="27"/>
        <v>1.3207832322232563E-4</v>
      </c>
      <c r="L48" s="60">
        <f t="shared" si="28"/>
        <v>8.1245271599252893E-5</v>
      </c>
      <c r="M48" s="60">
        <f t="shared" si="8"/>
        <v>2.5673258395491282E-4</v>
      </c>
    </row>
    <row r="49" spans="1:13" s="38" customFormat="1" ht="16">
      <c r="A49" s="8" t="s">
        <v>29</v>
      </c>
      <c r="B49" s="125">
        <v>394086.41934305604</v>
      </c>
      <c r="C49" s="11">
        <v>1.6400000000000001E-2</v>
      </c>
      <c r="D49" s="21">
        <v>2.3296788990825688E-2</v>
      </c>
      <c r="E49" s="10">
        <v>9.2263023632599236E-2</v>
      </c>
      <c r="F49" s="14">
        <v>3.2863023632599235E-2</v>
      </c>
      <c r="G49" s="14">
        <v>0.25</v>
      </c>
      <c r="H49" s="15" t="s">
        <v>129</v>
      </c>
      <c r="I49" s="60">
        <f t="shared" si="25"/>
        <v>1.2681277730597596E-2</v>
      </c>
      <c r="J49" s="60">
        <f t="shared" si="26"/>
        <v>2.9543305142378906E-4</v>
      </c>
      <c r="K49" s="60">
        <f t="shared" si="27"/>
        <v>1.1700130269496805E-3</v>
      </c>
      <c r="L49" s="60">
        <f t="shared" si="28"/>
        <v>4.1674512975218317E-4</v>
      </c>
      <c r="M49" s="60">
        <f t="shared" si="8"/>
        <v>3.1703194326493989E-3</v>
      </c>
    </row>
    <row r="50" spans="1:13" s="38" customFormat="1" ht="16">
      <c r="A50" s="8" t="s">
        <v>3</v>
      </c>
      <c r="B50" s="125">
        <v>396986.89988835104</v>
      </c>
      <c r="C50" s="11" t="s">
        <v>143</v>
      </c>
      <c r="D50" s="21">
        <v>0</v>
      </c>
      <c r="E50" s="10">
        <v>5.9400000000000001E-2</v>
      </c>
      <c r="F50" s="14">
        <v>0</v>
      </c>
      <c r="G50" s="14">
        <v>0.17</v>
      </c>
      <c r="H50" s="15" t="s">
        <v>129</v>
      </c>
      <c r="I50" s="60">
        <f t="shared" si="25"/>
        <v>1.2774612079465534E-2</v>
      </c>
      <c r="J50" s="60">
        <f t="shared" si="26"/>
        <v>0</v>
      </c>
      <c r="K50" s="60">
        <f t="shared" si="27"/>
        <v>7.5881195752025273E-4</v>
      </c>
      <c r="L50" s="60">
        <f t="shared" si="28"/>
        <v>0</v>
      </c>
      <c r="M50" s="60">
        <f t="shared" si="8"/>
        <v>2.1716840535091408E-3</v>
      </c>
    </row>
    <row r="51" spans="1:13" s="38" customFormat="1" ht="16">
      <c r="A51" s="8" t="s">
        <v>411</v>
      </c>
      <c r="B51" s="125">
        <v>1645.21388162016</v>
      </c>
      <c r="C51" s="11" t="s">
        <v>143</v>
      </c>
      <c r="D51" s="21">
        <v>9.1749082568807344E-2</v>
      </c>
      <c r="E51" s="10">
        <v>0.18882351282468096</v>
      </c>
      <c r="F51" s="14">
        <v>0.12942351282468095</v>
      </c>
      <c r="G51" s="14">
        <v>0.3</v>
      </c>
      <c r="H51" s="15" t="s">
        <v>129</v>
      </c>
      <c r="I51" s="60">
        <f t="shared" ref="I51" si="37">B51/$B$56</f>
        <v>5.2941215771503055E-5</v>
      </c>
      <c r="J51" s="60">
        <f t="shared" ref="J51" si="38">I51*D51</f>
        <v>4.8573079771126796E-6</v>
      </c>
      <c r="K51" s="60">
        <f t="shared" ref="K51" si="39">I51*E51</f>
        <v>9.9965463351846091E-6</v>
      </c>
      <c r="L51" s="60">
        <f t="shared" ref="L51" si="40">I51*F51</f>
        <v>6.8518381183573274E-6</v>
      </c>
      <c r="M51" s="60">
        <f t="shared" ref="M51" si="41">I51*G51</f>
        <v>1.5882364731450914E-5</v>
      </c>
    </row>
    <row r="52" spans="1:13" s="38" customFormat="1" ht="16">
      <c r="A52" s="8" t="s">
        <v>134</v>
      </c>
      <c r="B52" s="125">
        <v>84518.83039261571</v>
      </c>
      <c r="C52" s="11" t="s">
        <v>143</v>
      </c>
      <c r="D52" s="21">
        <v>0.14682729357798166</v>
      </c>
      <c r="E52" s="10">
        <v>0.26651819215360384</v>
      </c>
      <c r="F52" s="14">
        <v>0.20711819215360386</v>
      </c>
      <c r="G52" s="14">
        <v>0.24</v>
      </c>
      <c r="H52" s="15" t="s">
        <v>129</v>
      </c>
      <c r="I52" s="60">
        <f>B52/$B$56</f>
        <v>2.719725189872668E-3</v>
      </c>
      <c r="J52" s="60">
        <f t="shared" si="26"/>
        <v>3.9932988890486613E-4</v>
      </c>
      <c r="K52" s="60">
        <f t="shared" si="27"/>
        <v>7.2485624075948045E-4</v>
      </c>
      <c r="L52" s="60">
        <f t="shared" si="28"/>
        <v>5.6330456448104398E-4</v>
      </c>
      <c r="M52" s="60">
        <f t="shared" si="8"/>
        <v>6.5273404556944034E-4</v>
      </c>
    </row>
    <row r="53" spans="1:13" s="38" customFormat="1" ht="16">
      <c r="A53" s="8" t="s">
        <v>64</v>
      </c>
      <c r="B53" s="125">
        <v>689000</v>
      </c>
      <c r="C53" s="11" t="s">
        <v>143</v>
      </c>
      <c r="D53" s="21">
        <v>7.3341743119266058E-3</v>
      </c>
      <c r="E53" s="10">
        <v>6.9745766699151612E-2</v>
      </c>
      <c r="F53" s="14">
        <v>1.0345766699151613E-2</v>
      </c>
      <c r="G53" s="14">
        <v>0.2</v>
      </c>
      <c r="H53" s="15" t="s">
        <v>129</v>
      </c>
      <c r="I53" s="60">
        <f>B53/$B$56</f>
        <v>2.2171280022658564E-2</v>
      </c>
      <c r="J53" s="60">
        <f t="shared" si="26"/>
        <v>1.6260803240471399E-4</v>
      </c>
      <c r="K53" s="60">
        <f t="shared" si="27"/>
        <v>1.546352923881905E-3</v>
      </c>
      <c r="L53" s="60">
        <f t="shared" si="28"/>
        <v>2.293788905359864E-4</v>
      </c>
      <c r="M53" s="60">
        <f t="shared" si="8"/>
        <v>4.4342560045317128E-3</v>
      </c>
    </row>
    <row r="54" spans="1:13" s="38" customFormat="1" ht="16">
      <c r="A54" s="8" t="s">
        <v>65</v>
      </c>
      <c r="B54" s="125">
        <v>505981.655622305</v>
      </c>
      <c r="C54" s="11">
        <v>8.6999999999999994E-3</v>
      </c>
      <c r="D54" s="21">
        <v>1.9557798165137613E-2</v>
      </c>
      <c r="E54" s="10">
        <v>8.6988711197737628E-2</v>
      </c>
      <c r="F54" s="14">
        <v>2.758871119773763E-2</v>
      </c>
      <c r="G54" s="14">
        <v>0.2</v>
      </c>
      <c r="H54" s="15" t="s">
        <v>129</v>
      </c>
      <c r="I54" s="60">
        <f>B54/$B$56</f>
        <v>1.6281946259986236E-2</v>
      </c>
      <c r="J54" s="60">
        <f t="shared" si="26"/>
        <v>3.1843901868842803E-4</v>
      </c>
      <c r="K54" s="60">
        <f t="shared" si="27"/>
        <v>1.4163455209470269E-3</v>
      </c>
      <c r="L54" s="60">
        <f t="shared" si="28"/>
        <v>4.4919791310384457E-4</v>
      </c>
      <c r="M54" s="60">
        <f t="shared" si="8"/>
        <v>3.2563892519972474E-3</v>
      </c>
    </row>
    <row r="55" spans="1:13" s="38" customFormat="1" ht="16">
      <c r="A55" s="8" t="s">
        <v>71</v>
      </c>
      <c r="B55" s="125">
        <v>362637.52407096897</v>
      </c>
      <c r="C55" s="11">
        <v>2.07E-2</v>
      </c>
      <c r="D55" s="21">
        <v>3.6814678899082569E-2</v>
      </c>
      <c r="E55" s="10">
        <v>0.11133169166632967</v>
      </c>
      <c r="F55" s="14">
        <v>5.193169166632966E-2</v>
      </c>
      <c r="G55" s="14">
        <v>0.2</v>
      </c>
      <c r="H55" s="15" t="s">
        <v>129</v>
      </c>
      <c r="I55" s="60">
        <f>B55/$B$56</f>
        <v>1.1669286056460143E-2</v>
      </c>
      <c r="J55" s="60">
        <f t="shared" si="26"/>
        <v>4.296010191501217E-4</v>
      </c>
      <c r="K55" s="60">
        <f t="shared" si="27"/>
        <v>1.2991613572040208E-3</v>
      </c>
      <c r="L55" s="60">
        <f t="shared" si="28"/>
        <v>6.0600576545028807E-4</v>
      </c>
      <c r="M55" s="60">
        <f t="shared" si="8"/>
        <v>2.3338572112920285E-3</v>
      </c>
    </row>
    <row r="56" spans="1:13" s="32" customFormat="1" ht="16">
      <c r="A56" s="58" t="s">
        <v>129</v>
      </c>
      <c r="B56" s="53">
        <f>SUM(B33:B55)</f>
        <v>31076239.138915617</v>
      </c>
      <c r="C56" s="53"/>
      <c r="D56" s="54">
        <f>SUM(J33:J55)</f>
        <v>1.3668800788686953E-2</v>
      </c>
      <c r="E56" s="54">
        <f>SUM(K33:K55)</f>
        <v>7.8681546633950522E-2</v>
      </c>
      <c r="F56" s="55">
        <f>SUM(L33:L55)</f>
        <v>1.9281546633950514E-2</v>
      </c>
      <c r="G56" s="55">
        <f>SUM(M33:M55)</f>
        <v>0.24521330317788381</v>
      </c>
      <c r="H56" s="58"/>
      <c r="I56" s="61">
        <f>SUM(I33:I55)</f>
        <v>1.0000000000000002</v>
      </c>
    </row>
    <row r="57" spans="1:13" s="38" customFormat="1" ht="16">
      <c r="A57" s="8" t="s">
        <v>85</v>
      </c>
      <c r="B57" s="125">
        <v>1542659.89999254</v>
      </c>
      <c r="C57" s="11">
        <v>3.3999999999999998E-3</v>
      </c>
      <c r="D57" s="21">
        <v>0</v>
      </c>
      <c r="E57" s="10">
        <v>5.9400000000000001E-2</v>
      </c>
      <c r="F57" s="14">
        <v>0</v>
      </c>
      <c r="G57" s="14">
        <v>0.3</v>
      </c>
      <c r="H57" s="15" t="s">
        <v>53</v>
      </c>
      <c r="I57" s="60">
        <f>B57/$B$60</f>
        <v>0.86054631648912705</v>
      </c>
      <c r="J57" s="60">
        <f>I57*D57</f>
        <v>0</v>
      </c>
      <c r="K57" s="60">
        <f>I57*E57</f>
        <v>5.1116451199454148E-2</v>
      </c>
      <c r="L57" s="60">
        <f>I57*F57</f>
        <v>0</v>
      </c>
      <c r="M57" s="60">
        <f t="shared" si="8"/>
        <v>0.25816389494673808</v>
      </c>
    </row>
    <row r="58" spans="1:13" s="38" customFormat="1" ht="16">
      <c r="A58" s="8" t="s">
        <v>214</v>
      </c>
      <c r="B58" s="125">
        <v>0.38400000000000001</v>
      </c>
      <c r="C58" s="11" t="s">
        <v>143</v>
      </c>
      <c r="D58" s="21">
        <v>5.5078211009174309E-2</v>
      </c>
      <c r="E58" s="10">
        <v>0.13709467932892289</v>
      </c>
      <c r="F58" s="14">
        <v>7.7694679328922892E-2</v>
      </c>
      <c r="G58" s="14">
        <v>0.2843</v>
      </c>
      <c r="H58" s="15" t="s">
        <v>53</v>
      </c>
      <c r="I58" s="60">
        <f>B58/$B$60</f>
        <v>2.1420780143012908E-7</v>
      </c>
      <c r="J58" s="60">
        <f>I58*D58</f>
        <v>1.179818248697996E-8</v>
      </c>
      <c r="K58" s="60">
        <f>I58*E58</f>
        <v>2.9366749846817136E-8</v>
      </c>
      <c r="L58" s="60">
        <f>I58*F58</f>
        <v>1.6642806441867469E-8</v>
      </c>
      <c r="M58" s="60">
        <f t="shared" si="8"/>
        <v>6.089927794658569E-8</v>
      </c>
    </row>
    <row r="59" spans="1:13" s="38" customFormat="1" ht="16">
      <c r="A59" s="8" t="s">
        <v>21</v>
      </c>
      <c r="B59" s="125">
        <v>249991.512236526</v>
      </c>
      <c r="C59" s="11">
        <v>3.8999999999999998E-3</v>
      </c>
      <c r="D59" s="21">
        <v>0</v>
      </c>
      <c r="E59" s="10">
        <v>5.9400000000000001E-2</v>
      </c>
      <c r="F59" s="14">
        <v>0</v>
      </c>
      <c r="G59" s="14">
        <v>0.28000000000000003</v>
      </c>
      <c r="H59" s="15" t="s">
        <v>53</v>
      </c>
      <c r="I59" s="60">
        <f>B59/$B$60</f>
        <v>0.13945346930307148</v>
      </c>
      <c r="J59" s="60">
        <f>I59*D59</f>
        <v>0</v>
      </c>
      <c r="K59" s="60">
        <f>I59*E59</f>
        <v>8.2835360766024459E-3</v>
      </c>
      <c r="L59" s="60">
        <f>I59*F59</f>
        <v>0</v>
      </c>
      <c r="M59" s="60">
        <f t="shared" si="8"/>
        <v>3.904697140486002E-2</v>
      </c>
    </row>
    <row r="60" spans="1:13" s="32" customFormat="1" ht="16">
      <c r="A60" s="58" t="s">
        <v>53</v>
      </c>
      <c r="B60" s="53">
        <f>SUM(B57:B59)</f>
        <v>1792651.7962290661</v>
      </c>
      <c r="C60" s="53"/>
      <c r="D60" s="54">
        <f>SUM(J57:J59)</f>
        <v>1.179818248697996E-8</v>
      </c>
      <c r="E60" s="54">
        <f>SUM(K57:K59)</f>
        <v>5.940001664280644E-2</v>
      </c>
      <c r="F60" s="54">
        <f>SUM(L57:L59)</f>
        <v>1.6642806441867469E-8</v>
      </c>
      <c r="G60" s="54">
        <f>SUM(M57:M59)</f>
        <v>0.29721092725087606</v>
      </c>
      <c r="H60" s="58"/>
      <c r="I60" s="61">
        <f>SUM(I57:I59)</f>
        <v>0.99999999999999989</v>
      </c>
    </row>
    <row r="61" spans="1:13" s="38" customFormat="1" ht="16">
      <c r="A61" s="8" t="s">
        <v>201</v>
      </c>
      <c r="B61" s="125">
        <v>2496.6480446927399</v>
      </c>
      <c r="C61" s="11" t="s">
        <v>143</v>
      </c>
      <c r="D61" s="21">
        <v>2.3296788990825688E-2</v>
      </c>
      <c r="E61" s="10">
        <v>9.2263023632599236E-2</v>
      </c>
      <c r="F61" s="14">
        <v>3.2863023632599235E-2</v>
      </c>
      <c r="G61" s="14">
        <v>0.25</v>
      </c>
      <c r="H61" s="15" t="s">
        <v>54</v>
      </c>
      <c r="I61" s="60">
        <f t="shared" ref="I61:I73" si="42">B61/$B$75</f>
        <v>8.2487353169153343E-3</v>
      </c>
      <c r="J61" s="60">
        <f t="shared" ref="J61:J73" si="43">I61*D61</f>
        <v>1.921690461193482E-4</v>
      </c>
      <c r="K61" s="60">
        <f t="shared" ref="K61:K73" si="44">I61*E61</f>
        <v>7.6105326148361539E-4</v>
      </c>
      <c r="L61" s="60">
        <f t="shared" ref="L61:L73" si="45">I61*F61</f>
        <v>2.7107838365884456E-4</v>
      </c>
      <c r="M61" s="60">
        <f t="shared" si="8"/>
        <v>2.0621838292288336E-3</v>
      </c>
    </row>
    <row r="62" spans="1:13" s="38" customFormat="1" ht="16">
      <c r="A62" s="8" t="s">
        <v>86</v>
      </c>
      <c r="B62" s="125">
        <v>11.209</v>
      </c>
      <c r="C62" s="11" t="s">
        <v>143</v>
      </c>
      <c r="D62" s="21">
        <v>5.5078211009174309E-2</v>
      </c>
      <c r="E62" s="10">
        <v>0.13709467932892289</v>
      </c>
      <c r="F62" s="14">
        <v>7.7694679328922892E-2</v>
      </c>
      <c r="G62" s="14">
        <v>0</v>
      </c>
      <c r="H62" s="15" t="s">
        <v>54</v>
      </c>
      <c r="I62" s="60">
        <f t="shared" si="42"/>
        <v>3.7033683768063094E-5</v>
      </c>
      <c r="J62" s="60">
        <f t="shared" si="43"/>
        <v>2.0397490490244124E-6</v>
      </c>
      <c r="K62" s="60">
        <f t="shared" si="44"/>
        <v>5.0771210005513465E-6</v>
      </c>
      <c r="L62" s="60">
        <f t="shared" si="45"/>
        <v>2.8773201847283987E-6</v>
      </c>
      <c r="M62" s="60">
        <f t="shared" si="8"/>
        <v>0</v>
      </c>
    </row>
    <row r="63" spans="1:13" s="38" customFormat="1" ht="16">
      <c r="A63" s="8" t="s">
        <v>88</v>
      </c>
      <c r="B63" s="125">
        <v>4900.8</v>
      </c>
      <c r="C63" s="11" t="s">
        <v>143</v>
      </c>
      <c r="D63" s="21">
        <v>9.1749082568807344E-2</v>
      </c>
      <c r="E63" s="10">
        <v>0.18882351282468096</v>
      </c>
      <c r="F63" s="14">
        <v>0.12942351282468095</v>
      </c>
      <c r="G63" s="14">
        <v>5.5E-2</v>
      </c>
      <c r="H63" s="15" t="s">
        <v>54</v>
      </c>
      <c r="I63" s="60">
        <f t="shared" si="42"/>
        <v>1.6191870587074997E-2</v>
      </c>
      <c r="J63" s="60">
        <f t="shared" si="43"/>
        <v>1.4855892714369869E-3</v>
      </c>
      <c r="K63" s="60">
        <f t="shared" si="44"/>
        <v>3.0574058834541302E-3</v>
      </c>
      <c r="L63" s="60">
        <f t="shared" si="45"/>
        <v>2.0956087705818753E-3</v>
      </c>
      <c r="M63" s="60">
        <f t="shared" si="8"/>
        <v>8.9055288228912486E-4</v>
      </c>
    </row>
    <row r="64" spans="1:13" s="38" customFormat="1" ht="16">
      <c r="A64" s="8" t="s">
        <v>90</v>
      </c>
      <c r="B64" s="125">
        <v>7080.9</v>
      </c>
      <c r="C64" s="11" t="s">
        <v>143</v>
      </c>
      <c r="D64" s="21">
        <v>1.0354128440366973E-2</v>
      </c>
      <c r="E64" s="10">
        <v>7.4005788281155213E-2</v>
      </c>
      <c r="F64" s="14">
        <v>1.4605788281155217E-2</v>
      </c>
      <c r="G64" s="14">
        <v>0</v>
      </c>
      <c r="H64" s="15" t="s">
        <v>54</v>
      </c>
      <c r="I64" s="60">
        <f t="shared" si="42"/>
        <v>2.3394755231802834E-2</v>
      </c>
      <c r="J64" s="60">
        <f t="shared" si="43"/>
        <v>2.4223230050103375E-4</v>
      </c>
      <c r="K64" s="60">
        <f t="shared" si="44"/>
        <v>1.7313473025742487E-3</v>
      </c>
      <c r="L64" s="60">
        <f t="shared" si="45"/>
        <v>3.4169884180516055E-4</v>
      </c>
      <c r="M64" s="60">
        <f t="shared" si="8"/>
        <v>0</v>
      </c>
    </row>
    <row r="65" spans="1:13" s="38" customFormat="1" ht="16">
      <c r="A65" s="8" t="s">
        <v>55</v>
      </c>
      <c r="B65" s="125">
        <v>5608.9891955291996</v>
      </c>
      <c r="C65" s="11" t="s">
        <v>143</v>
      </c>
      <c r="D65" s="21">
        <v>7.3341743119266058E-3</v>
      </c>
      <c r="E65" s="10">
        <v>6.9745766699151612E-2</v>
      </c>
      <c r="F65" s="14">
        <v>1.0345766699151613E-2</v>
      </c>
      <c r="G65" s="14">
        <v>0</v>
      </c>
      <c r="H65" s="15" t="s">
        <v>54</v>
      </c>
      <c r="I65" s="60">
        <f t="shared" si="42"/>
        <v>1.8531673844741817E-2</v>
      </c>
      <c r="J65" s="60">
        <f t="shared" si="43"/>
        <v>1.3591452626910758E-4</v>
      </c>
      <c r="K65" s="60">
        <f t="shared" si="44"/>
        <v>1.2925058005201328E-3</v>
      </c>
      <c r="L65" s="60">
        <f t="shared" si="45"/>
        <v>1.9172437414246882E-4</v>
      </c>
      <c r="M65" s="60">
        <f t="shared" si="8"/>
        <v>0</v>
      </c>
    </row>
    <row r="66" spans="1:13" s="38" customFormat="1" ht="16">
      <c r="A66" s="8" t="s">
        <v>99</v>
      </c>
      <c r="B66" s="125">
        <v>107352</v>
      </c>
      <c r="C66" s="11" t="s">
        <v>143</v>
      </c>
      <c r="D66" s="21">
        <v>0.14682729357798166</v>
      </c>
      <c r="E66" s="10">
        <v>0.26651819215360384</v>
      </c>
      <c r="F66" s="14">
        <v>0.20711819215360386</v>
      </c>
      <c r="G66" s="14">
        <v>0.27179999999999999</v>
      </c>
      <c r="H66" s="15" t="s">
        <v>54</v>
      </c>
      <c r="I66" s="60">
        <f t="shared" si="42"/>
        <v>0.35468284591570254</v>
      </c>
      <c r="J66" s="60">
        <f t="shared" si="43"/>
        <v>5.2077122344338887E-2</v>
      </c>
      <c r="K66" s="60">
        <f t="shared" si="44"/>
        <v>9.452943088134827E-2</v>
      </c>
      <c r="L66" s="60">
        <f t="shared" si="45"/>
        <v>7.3461269833955553E-2</v>
      </c>
      <c r="M66" s="60">
        <f t="shared" si="8"/>
        <v>9.6402797519887951E-2</v>
      </c>
    </row>
    <row r="67" spans="1:13" s="38" customFormat="1" ht="16">
      <c r="A67" s="8" t="s">
        <v>217</v>
      </c>
      <c r="B67" s="125">
        <v>3.1</v>
      </c>
      <c r="C67" s="11" t="s">
        <v>143</v>
      </c>
      <c r="D67" s="21">
        <v>2.3296788990825688E-2</v>
      </c>
      <c r="E67" s="10">
        <v>9.2263023632599236E-2</v>
      </c>
      <c r="F67" s="14">
        <v>3.2863023632599235E-2</v>
      </c>
      <c r="G67" s="14">
        <v>0.22</v>
      </c>
      <c r="H67" s="15" t="s">
        <v>54</v>
      </c>
      <c r="I67" s="60">
        <f t="shared" si="42"/>
        <v>1.024216430377336E-5</v>
      </c>
      <c r="J67" s="60">
        <f t="shared" si="43"/>
        <v>2.3860954059437505E-7</v>
      </c>
      <c r="K67" s="60">
        <f t="shared" si="44"/>
        <v>9.4497304720800589E-7</v>
      </c>
      <c r="L67" s="60">
        <f t="shared" si="45"/>
        <v>3.3658848756386823E-7</v>
      </c>
      <c r="M67" s="60">
        <f t="shared" si="8"/>
        <v>2.2532761468301395E-6</v>
      </c>
    </row>
    <row r="68" spans="1:13" s="38" customFormat="1" ht="16">
      <c r="A68" s="8" t="s">
        <v>103</v>
      </c>
      <c r="B68" s="125">
        <v>94243.453937446204</v>
      </c>
      <c r="C68" s="11" t="s">
        <v>143</v>
      </c>
      <c r="D68" s="21">
        <v>4.4005045871559637E-2</v>
      </c>
      <c r="E68" s="10">
        <v>0.12147460019490969</v>
      </c>
      <c r="F68" s="14">
        <v>6.2074600194909679E-2</v>
      </c>
      <c r="G68" s="14">
        <v>0.27</v>
      </c>
      <c r="H68" s="15" t="s">
        <v>54</v>
      </c>
      <c r="I68" s="60">
        <f t="shared" si="42"/>
        <v>0.31137320638142596</v>
      </c>
      <c r="J68" s="60">
        <f t="shared" si="43"/>
        <v>1.3701992229989255E-2</v>
      </c>
      <c r="K68" s="60">
        <f t="shared" si="44"/>
        <v>3.7823935756590821E-2</v>
      </c>
      <c r="L68" s="60">
        <f t="shared" si="45"/>
        <v>1.9328367297534114E-2</v>
      </c>
      <c r="M68" s="60">
        <f t="shared" si="8"/>
        <v>8.4070765722985011E-2</v>
      </c>
    </row>
    <row r="69" spans="1:13" s="38" customFormat="1" ht="16">
      <c r="A69" s="8" t="s">
        <v>115</v>
      </c>
      <c r="B69" s="125">
        <v>13638.230995679001</v>
      </c>
      <c r="C69" s="11" t="s">
        <v>143</v>
      </c>
      <c r="D69" s="21">
        <v>6.7301834862385335E-2</v>
      </c>
      <c r="E69" s="10">
        <v>0.15433762382750893</v>
      </c>
      <c r="F69" s="14">
        <v>9.4937623827508935E-2</v>
      </c>
      <c r="G69" s="14">
        <v>0.25</v>
      </c>
      <c r="H69" s="15" t="s">
        <v>54</v>
      </c>
      <c r="I69" s="60">
        <f t="shared" si="42"/>
        <v>4.5059678280825445E-2</v>
      </c>
      <c r="J69" s="60">
        <f t="shared" si="43"/>
        <v>3.0325990266083253E-3</v>
      </c>
      <c r="K69" s="60">
        <f t="shared" si="44"/>
        <v>6.954403676294612E-3</v>
      </c>
      <c r="L69" s="60">
        <f t="shared" si="45"/>
        <v>4.2778587864135808E-3</v>
      </c>
      <c r="M69" s="60">
        <f t="shared" si="8"/>
        <v>1.1264919570206361E-2</v>
      </c>
    </row>
    <row r="70" spans="1:13" s="38" customFormat="1" ht="16">
      <c r="A70" s="8" t="s">
        <v>225</v>
      </c>
      <c r="B70" s="125">
        <v>25000</v>
      </c>
      <c r="C70" s="11" t="s">
        <v>143</v>
      </c>
      <c r="D70" s="21">
        <v>2.6891972477064225E-2</v>
      </c>
      <c r="E70" s="10">
        <v>9.733447789688926E-2</v>
      </c>
      <c r="F70" s="14">
        <v>3.7934477896889252E-2</v>
      </c>
      <c r="G70" s="14">
        <v>0.27179999999999999</v>
      </c>
      <c r="H70" s="15" t="s">
        <v>54</v>
      </c>
      <c r="I70" s="60">
        <f t="shared" si="42"/>
        <v>8.2598099223978719E-2</v>
      </c>
      <c r="J70" s="60">
        <f t="shared" si="43"/>
        <v>2.2212258109890557E-3</v>
      </c>
      <c r="K70" s="60">
        <f t="shared" si="44"/>
        <v>8.0396428632414224E-3</v>
      </c>
      <c r="L70" s="60">
        <f t="shared" si="45"/>
        <v>3.133315769337086E-3</v>
      </c>
      <c r="M70" s="60">
        <f t="shared" si="8"/>
        <v>2.2450163369077413E-2</v>
      </c>
    </row>
    <row r="71" spans="1:13" s="38" customFormat="1" ht="16">
      <c r="A71" s="8" t="s">
        <v>191</v>
      </c>
      <c r="B71" s="125">
        <v>11900</v>
      </c>
      <c r="C71" s="11" t="s">
        <v>143</v>
      </c>
      <c r="D71" s="21">
        <v>3.6814678899082569E-2</v>
      </c>
      <c r="E71" s="10">
        <v>0.11133169166632967</v>
      </c>
      <c r="F71" s="14">
        <v>5.193169166632966E-2</v>
      </c>
      <c r="G71" s="14">
        <v>0.27179999999999999</v>
      </c>
      <c r="H71" s="15" t="s">
        <v>54</v>
      </c>
      <c r="I71" s="60">
        <f t="shared" si="42"/>
        <v>3.9316695230613867E-2</v>
      </c>
      <c r="J71" s="60">
        <f t="shared" si="43"/>
        <v>1.4474315102881406E-3</v>
      </c>
      <c r="K71" s="60">
        <f t="shared" si="44"/>
        <v>4.3771941907537575E-3</v>
      </c>
      <c r="L71" s="60">
        <f t="shared" si="45"/>
        <v>2.0417824940552934E-3</v>
      </c>
      <c r="M71" s="60">
        <f t="shared" si="8"/>
        <v>1.0686277763680849E-2</v>
      </c>
    </row>
    <row r="72" spans="1:13" s="38" customFormat="1" ht="16">
      <c r="A72" s="8" t="s">
        <v>10</v>
      </c>
      <c r="B72" s="125">
        <v>8100</v>
      </c>
      <c r="C72" s="11" t="s">
        <v>143</v>
      </c>
      <c r="D72" s="21">
        <v>7.9525458715596339E-2</v>
      </c>
      <c r="E72" s="10">
        <v>0.17158056832609495</v>
      </c>
      <c r="F72" s="14">
        <v>0.11218056832609494</v>
      </c>
      <c r="G72" s="14">
        <v>0.27179999999999999</v>
      </c>
      <c r="H72" s="15" t="s">
        <v>54</v>
      </c>
      <c r="I72" s="60">
        <f t="shared" si="42"/>
        <v>2.6761784148569105E-2</v>
      </c>
      <c r="J72" s="60">
        <f t="shared" si="43"/>
        <v>2.1282431604627331E-3</v>
      </c>
      <c r="K72" s="60">
        <f t="shared" si="44"/>
        <v>4.5918021336317661E-3</v>
      </c>
      <c r="L72" s="60">
        <f t="shared" si="45"/>
        <v>3.0021521552067608E-3</v>
      </c>
      <c r="M72" s="60">
        <f t="shared" si="8"/>
        <v>7.2738529315810822E-3</v>
      </c>
    </row>
    <row r="73" spans="1:13" s="38" customFormat="1" ht="16">
      <c r="A73" s="8" t="s">
        <v>11</v>
      </c>
      <c r="B73" s="125">
        <v>21391.802311011797</v>
      </c>
      <c r="C73" s="11" t="s">
        <v>143</v>
      </c>
      <c r="D73" s="21">
        <v>3.6814678899082569E-2</v>
      </c>
      <c r="E73" s="10">
        <v>0.11133169166632967</v>
      </c>
      <c r="F73" s="14">
        <v>5.193169166632966E-2</v>
      </c>
      <c r="G73" s="14">
        <v>0.3</v>
      </c>
      <c r="H73" s="15" t="s">
        <v>54</v>
      </c>
      <c r="I73" s="60">
        <f t="shared" si="42"/>
        <v>7.0676888394587592E-2</v>
      </c>
      <c r="J73" s="60">
        <f t="shared" si="43"/>
        <v>2.6019469518330377E-3</v>
      </c>
      <c r="K73" s="60">
        <f t="shared" si="44"/>
        <v>7.8685775466818195E-3</v>
      </c>
      <c r="L73" s="60">
        <f t="shared" si="45"/>
        <v>3.6703703760433159E-3</v>
      </c>
      <c r="M73" s="60">
        <f t="shared" si="8"/>
        <v>2.1203066518376276E-2</v>
      </c>
    </row>
    <row r="74" spans="1:13" s="38" customFormat="1" ht="16">
      <c r="A74" s="8" t="s">
        <v>292</v>
      </c>
      <c r="B74" s="125">
        <v>943.269768</v>
      </c>
      <c r="C74" s="11" t="s">
        <v>143</v>
      </c>
      <c r="D74" s="21">
        <v>1.9557798165137613E-2</v>
      </c>
      <c r="E74" s="10">
        <v>8.6988711197737628E-2</v>
      </c>
      <c r="F74" s="14">
        <v>2.758871119773763E-2</v>
      </c>
      <c r="G74" s="14">
        <v>0</v>
      </c>
      <c r="H74" s="15" t="s">
        <v>54</v>
      </c>
      <c r="I74" s="60">
        <f>B74/$B$75</f>
        <v>3.1164915956897353E-3</v>
      </c>
      <c r="J74" s="60">
        <f>I74*D74</f>
        <v>6.0951713611847497E-5</v>
      </c>
      <c r="K74" s="60">
        <f>I74*E74</f>
        <v>2.7109958736763089E-4</v>
      </c>
      <c r="L74" s="60">
        <f>I74*F74</f>
        <v>8.5979986583660617E-5</v>
      </c>
      <c r="M74" s="60">
        <f>I74*G74</f>
        <v>0</v>
      </c>
    </row>
    <row r="75" spans="1:13" s="32" customFormat="1" ht="16">
      <c r="A75" s="58" t="s">
        <v>54</v>
      </c>
      <c r="B75" s="53">
        <f>SUM(B61:B74)</f>
        <v>302670.40325235901</v>
      </c>
      <c r="C75" s="53"/>
      <c r="D75" s="54">
        <f>SUM(J61:J74)</f>
        <v>7.9329696251037377E-2</v>
      </c>
      <c r="E75" s="54">
        <f>SUM(K61:K74)</f>
        <v>0.17130442097798998</v>
      </c>
      <c r="F75" s="54">
        <f>SUM(L61:L74)</f>
        <v>0.11190442097799</v>
      </c>
      <c r="G75" s="54">
        <f>SUM(M61:M74)</f>
        <v>0.25630683338345972</v>
      </c>
      <c r="H75" s="58"/>
      <c r="I75" s="61">
        <f>SUM(I61:I74)</f>
        <v>0.99999999999999989</v>
      </c>
      <c r="J75" s="61"/>
      <c r="K75" s="61"/>
      <c r="L75" s="61">
        <f>SUM(L61:L74)</f>
        <v>0.11190442097799</v>
      </c>
    </row>
    <row r="76" spans="1:13" s="38" customFormat="1" ht="16">
      <c r="A76" s="8" t="s">
        <v>84</v>
      </c>
      <c r="B76" s="125">
        <v>491492.700657012</v>
      </c>
      <c r="C76" s="11" t="s">
        <v>143</v>
      </c>
      <c r="D76" s="21">
        <v>0.14682729357798166</v>
      </c>
      <c r="E76" s="10">
        <v>0.26651819215360384</v>
      </c>
      <c r="F76" s="14">
        <v>0.20711819215360386</v>
      </c>
      <c r="G76" s="14">
        <v>0.35</v>
      </c>
      <c r="H76" s="15" t="s">
        <v>51</v>
      </c>
      <c r="I76" s="60">
        <f t="shared" ref="I76:I94" si="46">B76/$B$95</f>
        <v>0.10069122148421435</v>
      </c>
      <c r="J76" s="60">
        <f t="shared" ref="J76:J94" si="47">I76*D76</f>
        <v>1.4784219537588314E-2</v>
      </c>
      <c r="K76" s="60">
        <f t="shared" ref="K76:K94" si="48">I76*E76</f>
        <v>2.6836042315710924E-2</v>
      </c>
      <c r="L76" s="60">
        <f t="shared" ref="L76:L94" si="49">I76*F76</f>
        <v>2.0854983759548591E-2</v>
      </c>
      <c r="M76" s="60">
        <f t="shared" si="8"/>
        <v>3.5241927519475018E-2</v>
      </c>
    </row>
    <row r="77" spans="1:13" s="38" customFormat="1" ht="16">
      <c r="A77" s="8" t="s">
        <v>89</v>
      </c>
      <c r="B77" s="125">
        <v>1789.9232640299999</v>
      </c>
      <c r="C77" s="11" t="s">
        <v>143</v>
      </c>
      <c r="D77" s="21">
        <v>0.11015642201834862</v>
      </c>
      <c r="E77" s="10">
        <v>0.21478935865784579</v>
      </c>
      <c r="F77" s="14">
        <v>0.15538935865784578</v>
      </c>
      <c r="G77" s="14">
        <v>0.27179999999999999</v>
      </c>
      <c r="H77" s="15" t="s">
        <v>51</v>
      </c>
      <c r="I77" s="60">
        <f t="shared" si="46"/>
        <v>3.6669834481217604E-4</v>
      </c>
      <c r="J77" s="60">
        <f t="shared" si="47"/>
        <v>4.0394177624559985E-5</v>
      </c>
      <c r="K77" s="60">
        <f t="shared" si="48"/>
        <v>7.8762902303100891E-5</v>
      </c>
      <c r="L77" s="60">
        <f t="shared" si="49"/>
        <v>5.6981020621257627E-5</v>
      </c>
      <c r="M77" s="60">
        <f t="shared" ref="M77:M144" si="50">I77*G77</f>
        <v>9.9668610119949444E-5</v>
      </c>
    </row>
    <row r="78" spans="1:13" s="38" customFormat="1" ht="16">
      <c r="A78" s="8" t="s">
        <v>91</v>
      </c>
      <c r="B78" s="125">
        <v>40408.208523878406</v>
      </c>
      <c r="C78" s="11" t="s">
        <v>143</v>
      </c>
      <c r="D78" s="21">
        <v>6.7301834862385335E-2</v>
      </c>
      <c r="E78" s="10">
        <v>0.15433762382750893</v>
      </c>
      <c r="F78" s="14">
        <v>9.4937623827508935E-2</v>
      </c>
      <c r="G78" s="14">
        <v>0.25</v>
      </c>
      <c r="H78" s="15" t="s">
        <v>51</v>
      </c>
      <c r="I78" s="60">
        <f t="shared" si="46"/>
        <v>8.2783566649498128E-3</v>
      </c>
      <c r="J78" s="60">
        <f t="shared" si="47"/>
        <v>5.5714859319637932E-4</v>
      </c>
      <c r="K78" s="60">
        <f t="shared" si="48"/>
        <v>1.2776618968649755E-3</v>
      </c>
      <c r="L78" s="60">
        <f t="shared" si="49"/>
        <v>7.8592751096695675E-4</v>
      </c>
      <c r="M78" s="60">
        <f t="shared" si="50"/>
        <v>2.0695891662374532E-3</v>
      </c>
    </row>
    <row r="79" spans="1:13" s="38" customFormat="1" ht="16">
      <c r="A79" s="8" t="s">
        <v>92</v>
      </c>
      <c r="B79" s="125">
        <v>1608981.2208121999</v>
      </c>
      <c r="C79" s="11">
        <v>3.5200000000000002E-2</v>
      </c>
      <c r="D79" s="21">
        <v>3.6814678899082569E-2</v>
      </c>
      <c r="E79" s="10">
        <v>0.11133169166632967</v>
      </c>
      <c r="F79" s="14">
        <v>5.193169166632966E-2</v>
      </c>
      <c r="G79" s="14">
        <v>0.34</v>
      </c>
      <c r="H79" s="15" t="s">
        <v>51</v>
      </c>
      <c r="I79" s="60">
        <f t="shared" si="46"/>
        <v>0.32962907537013786</v>
      </c>
      <c r="J79" s="60">
        <f t="shared" si="47"/>
        <v>1.2135188565553111E-2</v>
      </c>
      <c r="K79" s="60">
        <f t="shared" si="48"/>
        <v>3.6698162583365529E-2</v>
      </c>
      <c r="L79" s="60">
        <f t="shared" si="49"/>
        <v>1.711819550637934E-2</v>
      </c>
      <c r="M79" s="60">
        <f t="shared" si="50"/>
        <v>0.11207388562584689</v>
      </c>
    </row>
    <row r="80" spans="1:13" s="38" customFormat="1" ht="16">
      <c r="A80" s="8" t="s">
        <v>96</v>
      </c>
      <c r="B80" s="125">
        <v>317058.50865176</v>
      </c>
      <c r="C80" s="11">
        <v>1.7600000000000001E-2</v>
      </c>
      <c r="D80" s="21">
        <v>1.0354128440366973E-2</v>
      </c>
      <c r="E80" s="10">
        <v>7.4005788281155213E-2</v>
      </c>
      <c r="F80" s="14">
        <v>1.4605788281155217E-2</v>
      </c>
      <c r="G80" s="14">
        <v>0.27</v>
      </c>
      <c r="H80" s="15" t="s">
        <v>51</v>
      </c>
      <c r="I80" s="60">
        <f t="shared" si="46"/>
        <v>6.4955203760773475E-2</v>
      </c>
      <c r="J80" s="60">
        <f t="shared" si="47"/>
        <v>6.7255452260925634E-4</v>
      </c>
      <c r="K80" s="60">
        <f t="shared" si="48"/>
        <v>4.8070610572790986E-3</v>
      </c>
      <c r="L80" s="60">
        <f t="shared" si="49"/>
        <v>9.4872195388915454E-4</v>
      </c>
      <c r="M80" s="60">
        <f t="shared" si="50"/>
        <v>1.753790501540884E-2</v>
      </c>
    </row>
    <row r="81" spans="1:13" s="38" customFormat="1" ht="16">
      <c r="A81" s="8" t="s">
        <v>50</v>
      </c>
      <c r="B81" s="125">
        <v>314322.45322829497</v>
      </c>
      <c r="C81" s="11">
        <v>3.6499999999999998E-2</v>
      </c>
      <c r="D81" s="21">
        <v>2.3296788990825688E-2</v>
      </c>
      <c r="E81" s="10">
        <v>9.2263023632599236E-2</v>
      </c>
      <c r="F81" s="14">
        <v>3.2863023632599235E-2</v>
      </c>
      <c r="G81" s="14">
        <v>0.35</v>
      </c>
      <c r="H81" s="15" t="s">
        <v>51</v>
      </c>
      <c r="I81" s="60">
        <f t="shared" si="46"/>
        <v>6.4394673030064908E-2</v>
      </c>
      <c r="J81" s="60">
        <f t="shared" si="47"/>
        <v>1.5001891097146359E-3</v>
      </c>
      <c r="K81" s="60">
        <f t="shared" si="48"/>
        <v>5.9412472395863796E-3</v>
      </c>
      <c r="L81" s="60">
        <f t="shared" si="49"/>
        <v>2.1162036616005236E-3</v>
      </c>
      <c r="M81" s="60">
        <f t="shared" si="50"/>
        <v>2.2538135560522716E-2</v>
      </c>
    </row>
    <row r="82" spans="1:13" s="38" customFormat="1" ht="16">
      <c r="A82" s="8" t="s">
        <v>56</v>
      </c>
      <c r="B82" s="125">
        <v>64282.438666738999</v>
      </c>
      <c r="C82" s="11">
        <v>4.3499999999999997E-2</v>
      </c>
      <c r="D82" s="21">
        <v>6.7301834862385335E-2</v>
      </c>
      <c r="E82" s="10">
        <v>0.15433762382750893</v>
      </c>
      <c r="F82" s="14">
        <v>9.4937623827508935E-2</v>
      </c>
      <c r="G82" s="14">
        <v>0.3</v>
      </c>
      <c r="H82" s="15" t="s">
        <v>51</v>
      </c>
      <c r="I82" s="60">
        <f t="shared" si="46"/>
        <v>1.3169427054940123E-2</v>
      </c>
      <c r="J82" s="60">
        <f t="shared" si="47"/>
        <v>8.8632660488380981E-4</v>
      </c>
      <c r="K82" s="60">
        <f t="shared" si="48"/>
        <v>2.0325380788291676E-3</v>
      </c>
      <c r="L82" s="60">
        <f t="shared" si="49"/>
        <v>1.2502741117657243E-3</v>
      </c>
      <c r="M82" s="60">
        <f t="shared" si="50"/>
        <v>3.9508281164820367E-3</v>
      </c>
    </row>
    <row r="83" spans="1:13" s="38" customFormat="1" ht="16">
      <c r="A83" s="8" t="s">
        <v>104</v>
      </c>
      <c r="B83" s="125">
        <v>106165.86599999999</v>
      </c>
      <c r="C83" s="11">
        <v>0.16930000000000001</v>
      </c>
      <c r="D83" s="21">
        <v>0.12238004587155965</v>
      </c>
      <c r="E83" s="10">
        <v>0.23203230315643184</v>
      </c>
      <c r="F83" s="14">
        <v>0.17263230315643183</v>
      </c>
      <c r="G83" s="14">
        <v>0.25</v>
      </c>
      <c r="H83" s="15" t="s">
        <v>51</v>
      </c>
      <c r="I83" s="60">
        <f t="shared" si="46"/>
        <v>2.1750009131731567E-2</v>
      </c>
      <c r="J83" s="60">
        <f t="shared" si="47"/>
        <v>2.6617671152481506E-3</v>
      </c>
      <c r="K83" s="60">
        <f t="shared" si="48"/>
        <v>5.0467047125090994E-3</v>
      </c>
      <c r="L83" s="60">
        <f t="shared" si="49"/>
        <v>3.7547541700842443E-3</v>
      </c>
      <c r="M83" s="60">
        <f t="shared" si="50"/>
        <v>5.4375022829328918E-3</v>
      </c>
    </row>
    <row r="84" spans="1:13" s="38" customFormat="1" ht="16">
      <c r="A84" s="8" t="s">
        <v>31</v>
      </c>
      <c r="B84" s="125">
        <v>28736.94</v>
      </c>
      <c r="C84" s="11">
        <v>0.27460000000000001</v>
      </c>
      <c r="D84" s="21">
        <v>0.12238004587155965</v>
      </c>
      <c r="E84" s="10">
        <v>0.23203230315643184</v>
      </c>
      <c r="F84" s="14">
        <v>0.17263230315643183</v>
      </c>
      <c r="G84" s="14">
        <v>0.3</v>
      </c>
      <c r="H84" s="15" t="s">
        <v>51</v>
      </c>
      <c r="I84" s="60">
        <f t="shared" si="46"/>
        <v>5.8872849717820051E-3</v>
      </c>
      <c r="J84" s="60">
        <f t="shared" si="47"/>
        <v>7.2048620490562556E-4</v>
      </c>
      <c r="K84" s="60">
        <f t="shared" si="48"/>
        <v>1.3660402913408276E-3</v>
      </c>
      <c r="L84" s="60">
        <f t="shared" si="49"/>
        <v>1.0163355640169763E-3</v>
      </c>
      <c r="M84" s="60">
        <f t="shared" si="50"/>
        <v>1.7661854915346014E-3</v>
      </c>
    </row>
    <row r="85" spans="1:13" s="38" customFormat="1" ht="16">
      <c r="A85" s="8" t="s">
        <v>107</v>
      </c>
      <c r="B85" s="125">
        <v>85986.321551238798</v>
      </c>
      <c r="C85" s="11" t="s">
        <v>143</v>
      </c>
      <c r="D85" s="21">
        <v>3.0630963302752296E-2</v>
      </c>
      <c r="E85" s="10">
        <v>0.10260879033175085</v>
      </c>
      <c r="F85" s="14">
        <v>4.3208790331750853E-2</v>
      </c>
      <c r="G85" s="14">
        <v>0.25</v>
      </c>
      <c r="H85" s="15" t="s">
        <v>51</v>
      </c>
      <c r="I85" s="60">
        <f t="shared" si="46"/>
        <v>1.7615862323804254E-2</v>
      </c>
      <c r="J85" s="60">
        <f t="shared" si="47"/>
        <v>5.3959083238678488E-4</v>
      </c>
      <c r="K85" s="60">
        <f t="shared" si="48"/>
        <v>1.8075423236962201E-3</v>
      </c>
      <c r="L85" s="60">
        <f t="shared" si="49"/>
        <v>7.611601016622474E-4</v>
      </c>
      <c r="M85" s="60">
        <f t="shared" si="50"/>
        <v>4.4039655809510634E-3</v>
      </c>
    </row>
    <row r="86" spans="1:13" s="38" customFormat="1" ht="16">
      <c r="A86" s="8" t="s">
        <v>108</v>
      </c>
      <c r="B86" s="125">
        <v>28488.6683016401</v>
      </c>
      <c r="C86" s="11" t="s">
        <v>143</v>
      </c>
      <c r="D86" s="21">
        <v>5.5078211009174309E-2</v>
      </c>
      <c r="E86" s="10">
        <v>0.13709467932892289</v>
      </c>
      <c r="F86" s="14">
        <v>7.7694679328922892E-2</v>
      </c>
      <c r="G86" s="14">
        <v>0.25</v>
      </c>
      <c r="H86" s="15" t="s">
        <v>51</v>
      </c>
      <c r="I86" s="60">
        <f t="shared" si="46"/>
        <v>5.8364219975518671E-3</v>
      </c>
      <c r="J86" s="60">
        <f t="shared" si="47"/>
        <v>3.2145968231974835E-4</v>
      </c>
      <c r="K86" s="60">
        <f t="shared" si="48"/>
        <v>8.0014240218264482E-4</v>
      </c>
      <c r="L86" s="60">
        <f t="shared" si="49"/>
        <v>4.5345893552806388E-4</v>
      </c>
      <c r="M86" s="60">
        <f t="shared" si="50"/>
        <v>1.4591054993879668E-3</v>
      </c>
    </row>
    <row r="87" spans="1:13" s="38" customFormat="1" ht="16">
      <c r="A87" s="8" t="s">
        <v>16</v>
      </c>
      <c r="B87" s="125">
        <v>1293037.8663601698</v>
      </c>
      <c r="C87" s="11">
        <v>2.1100000000000001E-2</v>
      </c>
      <c r="D87" s="21">
        <v>2.3296788990825688E-2</v>
      </c>
      <c r="E87" s="10">
        <v>9.2263023632599236E-2</v>
      </c>
      <c r="F87" s="14">
        <v>3.2863023632599235E-2</v>
      </c>
      <c r="G87" s="14">
        <v>0.3</v>
      </c>
      <c r="H87" s="15" t="s">
        <v>51</v>
      </c>
      <c r="I87" s="60">
        <f t="shared" si="46"/>
        <v>0.26490233123524276</v>
      </c>
      <c r="J87" s="60">
        <f t="shared" si="47"/>
        <v>6.1713737139652636E-3</v>
      </c>
      <c r="K87" s="60">
        <f t="shared" si="48"/>
        <v>2.4440690047087835E-2</v>
      </c>
      <c r="L87" s="60">
        <f t="shared" si="49"/>
        <v>8.7054915717144129E-3</v>
      </c>
      <c r="M87" s="60">
        <f t="shared" si="50"/>
        <v>7.9470699370572828E-2</v>
      </c>
    </row>
    <row r="88" spans="1:13" s="38" customFormat="1" ht="16">
      <c r="A88" s="8" t="s">
        <v>22</v>
      </c>
      <c r="B88" s="125">
        <v>14013.022092064501</v>
      </c>
      <c r="C88" s="11">
        <v>6.2700000000000006E-2</v>
      </c>
      <c r="D88" s="21">
        <v>7.9525458715596339E-2</v>
      </c>
      <c r="E88" s="10">
        <v>0.17158056832609495</v>
      </c>
      <c r="F88" s="14">
        <v>0.11218056832609494</v>
      </c>
      <c r="G88" s="14">
        <v>0.3</v>
      </c>
      <c r="H88" s="15" t="s">
        <v>51</v>
      </c>
      <c r="I88" s="60">
        <f t="shared" si="46"/>
        <v>2.8708225152664331E-3</v>
      </c>
      <c r="J88" s="60">
        <f t="shared" si="47"/>
        <v>2.2830347741762517E-4</v>
      </c>
      <c r="K88" s="60">
        <f t="shared" si="48"/>
        <v>4.9257735873276399E-4</v>
      </c>
      <c r="L88" s="60">
        <f t="shared" si="49"/>
        <v>3.2205050132593784E-4</v>
      </c>
      <c r="M88" s="60">
        <f t="shared" si="50"/>
        <v>8.6124675457992987E-4</v>
      </c>
    </row>
    <row r="89" spans="1:13" s="38" customFormat="1" ht="16">
      <c r="A89" s="8" t="s">
        <v>26</v>
      </c>
      <c r="B89" s="125">
        <v>63605.065799999997</v>
      </c>
      <c r="C89" s="11">
        <v>1.7899999999999999E-2</v>
      </c>
      <c r="D89" s="21">
        <v>2.3296788990825688E-2</v>
      </c>
      <c r="E89" s="10">
        <v>9.2263023632599236E-2</v>
      </c>
      <c r="F89" s="14">
        <v>3.2863023632599235E-2</v>
      </c>
      <c r="G89" s="14">
        <v>0.25</v>
      </c>
      <c r="H89" s="15" t="s">
        <v>51</v>
      </c>
      <c r="I89" s="60">
        <f t="shared" si="46"/>
        <v>1.3030654899705592E-2</v>
      </c>
      <c r="J89" s="60">
        <f t="shared" si="47"/>
        <v>3.0357241761071006E-4</v>
      </c>
      <c r="K89" s="60">
        <f t="shared" si="48"/>
        <v>1.2022476209597821E-3</v>
      </c>
      <c r="L89" s="60">
        <f t="shared" si="49"/>
        <v>4.2822671991726987E-4</v>
      </c>
      <c r="M89" s="60">
        <f t="shared" si="50"/>
        <v>3.257663724926398E-3</v>
      </c>
    </row>
    <row r="90" spans="1:13" s="38" customFormat="1" ht="16">
      <c r="A90" s="8" t="s">
        <v>27</v>
      </c>
      <c r="B90" s="125">
        <v>38986.810989001096</v>
      </c>
      <c r="C90" s="11" t="s">
        <v>143</v>
      </c>
      <c r="D90" s="21">
        <v>3.0630963302752296E-2</v>
      </c>
      <c r="E90" s="10">
        <v>0.10260879033175085</v>
      </c>
      <c r="F90" s="14">
        <v>4.3208790331750853E-2</v>
      </c>
      <c r="G90" s="14">
        <v>0.1</v>
      </c>
      <c r="H90" s="15" t="s">
        <v>51</v>
      </c>
      <c r="I90" s="60">
        <f t="shared" si="46"/>
        <v>7.987157520364092E-3</v>
      </c>
      <c r="J90" s="60">
        <f t="shared" si="47"/>
        <v>2.4465432889957453E-4</v>
      </c>
      <c r="K90" s="60">
        <f t="shared" si="48"/>
        <v>8.1955257135370618E-4</v>
      </c>
      <c r="L90" s="60">
        <f t="shared" si="49"/>
        <v>3.4511541464407911E-4</v>
      </c>
      <c r="M90" s="60">
        <f t="shared" si="50"/>
        <v>7.9871575203640925E-4</v>
      </c>
    </row>
    <row r="91" spans="1:13" s="38" customFormat="1" ht="16">
      <c r="A91" s="8" t="s">
        <v>28</v>
      </c>
      <c r="B91" s="125">
        <v>223249.49750038699</v>
      </c>
      <c r="C91" s="11">
        <v>1.9400000000000001E-2</v>
      </c>
      <c r="D91" s="21">
        <v>1.9557798165137613E-2</v>
      </c>
      <c r="E91" s="10">
        <v>8.6988711197737628E-2</v>
      </c>
      <c r="F91" s="14">
        <v>2.758871119773763E-2</v>
      </c>
      <c r="G91" s="14">
        <v>0.29499999999999998</v>
      </c>
      <c r="H91" s="15" t="s">
        <v>51</v>
      </c>
      <c r="I91" s="60">
        <f t="shared" si="46"/>
        <v>4.5736721153745413E-2</v>
      </c>
      <c r="J91" s="60">
        <f t="shared" si="47"/>
        <v>8.9450956106013274E-4</v>
      </c>
      <c r="K91" s="60">
        <f t="shared" si="48"/>
        <v>3.9785784275746172E-3</v>
      </c>
      <c r="L91" s="60">
        <f t="shared" si="49"/>
        <v>1.2618171910421397E-3</v>
      </c>
      <c r="M91" s="60">
        <f t="shared" si="50"/>
        <v>1.3492332740354896E-2</v>
      </c>
    </row>
    <row r="92" spans="1:13" s="38" customFormat="1" ht="16">
      <c r="A92" s="8" t="s">
        <v>33</v>
      </c>
      <c r="B92" s="125">
        <v>2862.1319796954299</v>
      </c>
      <c r="C92" s="11" t="s">
        <v>143</v>
      </c>
      <c r="D92" s="21">
        <v>0.12238004587155965</v>
      </c>
      <c r="E92" s="10">
        <v>0.23203230315643184</v>
      </c>
      <c r="F92" s="14">
        <v>0.17263230315643183</v>
      </c>
      <c r="G92" s="14">
        <v>0.36</v>
      </c>
      <c r="H92" s="15" t="s">
        <v>51</v>
      </c>
      <c r="I92" s="60">
        <f t="shared" si="46"/>
        <v>5.8635980697031712E-4</v>
      </c>
      <c r="J92" s="60">
        <f t="shared" si="47"/>
        <v>7.1758740074266274E-5</v>
      </c>
      <c r="K92" s="60">
        <f t="shared" si="48"/>
        <v>1.3605441648968346E-4</v>
      </c>
      <c r="L92" s="60">
        <f t="shared" si="49"/>
        <v>1.0122464395564664E-4</v>
      </c>
      <c r="M92" s="60">
        <f t="shared" si="50"/>
        <v>2.1108953050931416E-4</v>
      </c>
    </row>
    <row r="93" spans="1:13" s="38" customFormat="1" ht="16">
      <c r="A93" s="8" t="s">
        <v>69</v>
      </c>
      <c r="B93" s="125">
        <v>59319.547636087598</v>
      </c>
      <c r="C93" s="11">
        <v>1.43E-2</v>
      </c>
      <c r="D93" s="21">
        <v>2.3296788990825688E-2</v>
      </c>
      <c r="E93" s="10">
        <v>9.2263023632599236E-2</v>
      </c>
      <c r="F93" s="14">
        <v>3.2863023632599235E-2</v>
      </c>
      <c r="G93" s="14">
        <v>0.25</v>
      </c>
      <c r="H93" s="15" t="s">
        <v>51</v>
      </c>
      <c r="I93" s="60">
        <f t="shared" si="46"/>
        <v>1.2152688537152715E-2</v>
      </c>
      <c r="J93" s="60">
        <f t="shared" si="47"/>
        <v>2.8311862052127288E-4</v>
      </c>
      <c r="K93" s="60">
        <f t="shared" si="48"/>
        <v>1.1212437897029387E-3</v>
      </c>
      <c r="L93" s="60">
        <f t="shared" si="49"/>
        <v>3.9937409059606751E-4</v>
      </c>
      <c r="M93" s="60">
        <f t="shared" si="50"/>
        <v>3.0381721342881787E-3</v>
      </c>
    </row>
    <row r="94" spans="1:13" s="38" customFormat="1" ht="16">
      <c r="A94" s="8" t="s">
        <v>70</v>
      </c>
      <c r="B94" s="125">
        <v>98400</v>
      </c>
      <c r="C94" s="11" t="s">
        <v>143</v>
      </c>
      <c r="D94" s="21">
        <v>0.17499999999999999</v>
      </c>
      <c r="E94" s="10">
        <v>0.30625930485826308</v>
      </c>
      <c r="F94" s="14">
        <v>0.2468593048582631</v>
      </c>
      <c r="G94" s="14">
        <v>0.34</v>
      </c>
      <c r="H94" s="15" t="s">
        <v>51</v>
      </c>
      <c r="I94" s="60">
        <f t="shared" si="46"/>
        <v>2.0159030196790242E-2</v>
      </c>
      <c r="J94" s="60">
        <f t="shared" si="47"/>
        <v>3.527830284438292E-3</v>
      </c>
      <c r="K94" s="60">
        <f t="shared" si="48"/>
        <v>6.1738905746857135E-3</v>
      </c>
      <c r="L94" s="60">
        <f t="shared" si="49"/>
        <v>4.9764441809963741E-3</v>
      </c>
      <c r="M94" s="60">
        <f t="shared" si="50"/>
        <v>6.854070266908683E-3</v>
      </c>
    </row>
    <row r="95" spans="1:13" s="32" customFormat="1" ht="16">
      <c r="A95" s="58" t="s">
        <v>51</v>
      </c>
      <c r="B95" s="53">
        <f>SUM(B76:B94)</f>
        <v>4881187.1920141988</v>
      </c>
      <c r="C95" s="53"/>
      <c r="D95" s="54">
        <f>SUM(J76:J94)</f>
        <v>4.6544446090017511E-2</v>
      </c>
      <c r="E95" s="54">
        <f>SUM(K76:K94)</f>
        <v>0.12505674061025499</v>
      </c>
      <c r="F95" s="54">
        <f>SUM(L76:L94)</f>
        <v>6.5656740610255004E-2</v>
      </c>
      <c r="G95" s="54">
        <f>SUM(M76:M94)</f>
        <v>0.31456268874307608</v>
      </c>
      <c r="H95" s="58"/>
      <c r="I95" s="61">
        <f>SUM(I76:I94)</f>
        <v>0.99999999999999989</v>
      </c>
    </row>
    <row r="96" spans="1:13" s="38" customFormat="1" ht="16">
      <c r="A96" s="8" t="s">
        <v>4</v>
      </c>
      <c r="B96" s="125">
        <v>18260.043499806801</v>
      </c>
      <c r="C96" s="11" t="s">
        <v>143</v>
      </c>
      <c r="D96" s="21">
        <v>5.5078211009174309E-2</v>
      </c>
      <c r="E96" s="10">
        <v>0.13709467932892289</v>
      </c>
      <c r="F96" s="14">
        <v>7.7694679328922892E-2</v>
      </c>
      <c r="G96" s="14">
        <v>0.15</v>
      </c>
      <c r="H96" s="15" t="s">
        <v>125</v>
      </c>
      <c r="I96" s="60">
        <f>B96/$B$123</f>
        <v>4.1183727682719395E-3</v>
      </c>
      <c r="J96" s="60">
        <f t="shared" ref="J96:J121" si="51">I96*D96</f>
        <v>2.268326043453192E-4</v>
      </c>
      <c r="K96" s="60">
        <f t="shared" ref="K96:K121" si="52">I96*E96</f>
        <v>5.6460699402320993E-4</v>
      </c>
      <c r="L96" s="60">
        <f t="shared" ref="L96:L121" si="53">I96*F96</f>
        <v>3.1997565158785682E-4</v>
      </c>
      <c r="M96" s="60">
        <f t="shared" si="50"/>
        <v>6.1775591524079092E-4</v>
      </c>
    </row>
    <row r="97" spans="1:13" s="38" customFormat="1" ht="16">
      <c r="A97" s="8" t="s">
        <v>19</v>
      </c>
      <c r="B97" s="125">
        <v>13861.1838735931</v>
      </c>
      <c r="C97" s="11" t="s">
        <v>143</v>
      </c>
      <c r="D97" s="21">
        <v>4.4005045871559637E-2</v>
      </c>
      <c r="E97" s="10">
        <v>0.12147460019490969</v>
      </c>
      <c r="F97" s="14">
        <v>6.2074600194909679E-2</v>
      </c>
      <c r="G97" s="14">
        <v>0.18</v>
      </c>
      <c r="H97" s="15" t="s">
        <v>125</v>
      </c>
      <c r="I97" s="60">
        <f t="shared" ref="I97:I122" si="54">B97/$B$123</f>
        <v>3.1262533521138635E-3</v>
      </c>
      <c r="J97" s="60">
        <f t="shared" si="51"/>
        <v>1.3757092216588765E-4</v>
      </c>
      <c r="K97" s="60">
        <f t="shared" si="52"/>
        <v>3.7976037605602777E-4</v>
      </c>
      <c r="L97" s="60">
        <f t="shared" si="53"/>
        <v>1.9406092694046427E-4</v>
      </c>
      <c r="M97" s="60">
        <f t="shared" si="50"/>
        <v>5.6272560338049545E-4</v>
      </c>
    </row>
    <row r="98" spans="1:13" s="38" customFormat="1" ht="16">
      <c r="A98" s="8" t="s">
        <v>20</v>
      </c>
      <c r="B98" s="125">
        <v>54622.176470588201</v>
      </c>
      <c r="C98" s="11" t="s">
        <v>143</v>
      </c>
      <c r="D98" s="21">
        <v>3.0630963302752296E-2</v>
      </c>
      <c r="E98" s="10">
        <v>0.10260879033175085</v>
      </c>
      <c r="F98" s="14">
        <v>4.3208790331750853E-2</v>
      </c>
      <c r="G98" s="14">
        <v>0.2</v>
      </c>
      <c r="H98" s="15" t="s">
        <v>125</v>
      </c>
      <c r="I98" s="60">
        <f t="shared" si="54"/>
        <v>1.2319493331031486E-2</v>
      </c>
      <c r="J98" s="60">
        <f t="shared" si="51"/>
        <v>3.7735794813132707E-4</v>
      </c>
      <c r="K98" s="60">
        <f t="shared" si="52"/>
        <v>1.2640883081972128E-3</v>
      </c>
      <c r="L98" s="60">
        <f t="shared" si="53"/>
        <v>5.3231040433394234E-4</v>
      </c>
      <c r="M98" s="60">
        <f t="shared" si="50"/>
        <v>2.4638986662062975E-3</v>
      </c>
    </row>
    <row r="99" spans="1:13" s="38" customFormat="1" ht="16">
      <c r="A99" s="8" t="s">
        <v>5</v>
      </c>
      <c r="B99" s="125">
        <v>68218.816484122595</v>
      </c>
      <c r="C99" s="11" t="s">
        <v>143</v>
      </c>
      <c r="D99" s="21">
        <v>0.14682729357798166</v>
      </c>
      <c r="E99" s="10">
        <v>0.26651819215360384</v>
      </c>
      <c r="F99" s="14">
        <v>0.20711819215360386</v>
      </c>
      <c r="G99" s="14">
        <v>0.18</v>
      </c>
      <c r="H99" s="15" t="s">
        <v>125</v>
      </c>
      <c r="I99" s="60">
        <f t="shared" si="54"/>
        <v>1.5386081423898249E-2</v>
      </c>
      <c r="J99" s="60">
        <f t="shared" si="51"/>
        <v>2.2590966942414381E-3</v>
      </c>
      <c r="K99" s="60">
        <f t="shared" si="52"/>
        <v>4.1006706054255082E-3</v>
      </c>
      <c r="L99" s="60">
        <f t="shared" si="53"/>
        <v>3.1867373688459523E-3</v>
      </c>
      <c r="M99" s="60">
        <f t="shared" si="50"/>
        <v>2.7694946563016848E-3</v>
      </c>
    </row>
    <row r="100" spans="1:13" s="38" customFormat="1" ht="16">
      <c r="A100" s="8" t="s">
        <v>7</v>
      </c>
      <c r="B100" s="125">
        <v>22571.512867281603</v>
      </c>
      <c r="C100" s="11" t="s">
        <v>143</v>
      </c>
      <c r="D100" s="21">
        <v>7.9525458715596339E-2</v>
      </c>
      <c r="E100" s="10">
        <v>0.17158056832609495</v>
      </c>
      <c r="F100" s="14">
        <v>0.11218056832609494</v>
      </c>
      <c r="G100" s="14">
        <v>0.1</v>
      </c>
      <c r="H100" s="15" t="s">
        <v>125</v>
      </c>
      <c r="I100" s="60">
        <f t="shared" si="54"/>
        <v>5.0907821732350074E-3</v>
      </c>
      <c r="J100" s="60">
        <f t="shared" si="51"/>
        <v>4.0484678754769437E-4</v>
      </c>
      <c r="K100" s="60">
        <f t="shared" si="52"/>
        <v>8.7347929850801532E-4</v>
      </c>
      <c r="L100" s="60">
        <f t="shared" si="53"/>
        <v>5.7108683741785582E-4</v>
      </c>
      <c r="M100" s="60">
        <f t="shared" si="50"/>
        <v>5.0907821732350071E-4</v>
      </c>
    </row>
    <row r="101" spans="1:13" s="38" customFormat="1" ht="16">
      <c r="A101" s="8" t="s">
        <v>94</v>
      </c>
      <c r="B101" s="125">
        <v>80271.119426107602</v>
      </c>
      <c r="C101" s="11">
        <v>1.4999999999999999E-2</v>
      </c>
      <c r="D101" s="21">
        <v>1.9557798165137613E-2</v>
      </c>
      <c r="E101" s="10">
        <v>8.6988711197737628E-2</v>
      </c>
      <c r="F101" s="14">
        <v>2.758871119773763E-2</v>
      </c>
      <c r="G101" s="14">
        <v>0.1</v>
      </c>
      <c r="H101" s="15" t="s">
        <v>125</v>
      </c>
      <c r="I101" s="60">
        <f t="shared" si="54"/>
        <v>1.8104359517362813E-2</v>
      </c>
      <c r="J101" s="60">
        <f t="shared" si="51"/>
        <v>3.5408140934967011E-4</v>
      </c>
      <c r="K101" s="60">
        <f t="shared" si="52"/>
        <v>1.5748749014758863E-3</v>
      </c>
      <c r="L101" s="60">
        <f t="shared" si="53"/>
        <v>4.9947594614453532E-4</v>
      </c>
      <c r="M101" s="60">
        <f t="shared" si="50"/>
        <v>1.8104359517362814E-3</v>
      </c>
    </row>
    <row r="102" spans="1:13" s="38" customFormat="1" ht="16">
      <c r="A102" s="8" t="s">
        <v>98</v>
      </c>
      <c r="B102" s="125">
        <v>67837.788543585193</v>
      </c>
      <c r="C102" s="11">
        <v>1.34E-2</v>
      </c>
      <c r="D102" s="21">
        <v>2.3296788990825688E-2</v>
      </c>
      <c r="E102" s="10">
        <v>9.2263023632599236E-2</v>
      </c>
      <c r="F102" s="14">
        <v>3.2863023632599235E-2</v>
      </c>
      <c r="G102" s="14">
        <v>0.18</v>
      </c>
      <c r="H102" s="15" t="s">
        <v>125</v>
      </c>
      <c r="I102" s="60">
        <f t="shared" si="54"/>
        <v>1.5300144328826346E-2</v>
      </c>
      <c r="J102" s="60">
        <f t="shared" si="51"/>
        <v>3.564442339578457E-4</v>
      </c>
      <c r="K102" s="60">
        <f t="shared" si="52"/>
        <v>1.4116375777926844E-3</v>
      </c>
      <c r="L102" s="60">
        <f t="shared" si="53"/>
        <v>5.0280900466039935E-4</v>
      </c>
      <c r="M102" s="60">
        <f t="shared" si="50"/>
        <v>2.754025979188742E-3</v>
      </c>
    </row>
    <row r="103" spans="1:13" s="38" customFormat="1" ht="16">
      <c r="A103" s="8" t="s">
        <v>101</v>
      </c>
      <c r="B103" s="125">
        <v>282340.84985661402</v>
      </c>
      <c r="C103" s="11">
        <v>6.1999999999999998E-3</v>
      </c>
      <c r="D103" s="21">
        <v>7.3341743119266058E-3</v>
      </c>
      <c r="E103" s="10">
        <v>6.9745766699151612E-2</v>
      </c>
      <c r="F103" s="14">
        <v>1.0345766699151613E-2</v>
      </c>
      <c r="G103" s="14">
        <v>0.19</v>
      </c>
      <c r="H103" s="15" t="s">
        <v>125</v>
      </c>
      <c r="I103" s="60">
        <f t="shared" si="54"/>
        <v>6.3679194818596033E-2</v>
      </c>
      <c r="J103" s="60">
        <f t="shared" si="51"/>
        <v>4.6703431484271685E-4</v>
      </c>
      <c r="K103" s="60">
        <f t="shared" si="52"/>
        <v>4.4413542654076228E-3</v>
      </c>
      <c r="L103" s="60">
        <f t="shared" si="53"/>
        <v>6.5881009318301872E-4</v>
      </c>
      <c r="M103" s="60">
        <f t="shared" si="50"/>
        <v>1.2099047015533246E-2</v>
      </c>
    </row>
    <row r="104" spans="1:13" s="38" customFormat="1" ht="16">
      <c r="A104" s="8" t="s">
        <v>106</v>
      </c>
      <c r="B104" s="125">
        <v>36262.924353604103</v>
      </c>
      <c r="C104" s="11">
        <v>1.7600000000000001E-2</v>
      </c>
      <c r="D104" s="21">
        <v>8.6284403669724778E-3</v>
      </c>
      <c r="E104" s="10">
        <v>7.1571490234296015E-2</v>
      </c>
      <c r="F104" s="14">
        <v>1.2171490234296015E-2</v>
      </c>
      <c r="G104" s="14">
        <v>0.2</v>
      </c>
      <c r="H104" s="15" t="s">
        <v>125</v>
      </c>
      <c r="I104" s="60">
        <f t="shared" si="54"/>
        <v>8.1787450373471769E-3</v>
      </c>
      <c r="J104" s="60">
        <f t="shared" si="51"/>
        <v>7.056981383142221E-5</v>
      </c>
      <c r="K104" s="60">
        <f t="shared" si="52"/>
        <v>5.8536497056929041E-4</v>
      </c>
      <c r="L104" s="60">
        <f t="shared" si="53"/>
        <v>9.9547515350868155E-5</v>
      </c>
      <c r="M104" s="60">
        <f t="shared" si="50"/>
        <v>1.6357490074694354E-3</v>
      </c>
    </row>
    <row r="105" spans="1:13" s="38" customFormat="1" ht="16">
      <c r="A105" s="8" t="s">
        <v>133</v>
      </c>
      <c r="B105" s="125">
        <v>18700.241392157503</v>
      </c>
      <c r="C105" s="11" t="s">
        <v>143</v>
      </c>
      <c r="D105" s="21">
        <v>3.6814678899082569E-2</v>
      </c>
      <c r="E105" s="10">
        <v>0.11133169166632967</v>
      </c>
      <c r="F105" s="14">
        <v>5.193169166632966E-2</v>
      </c>
      <c r="G105" s="14">
        <v>0.15</v>
      </c>
      <c r="H105" s="15" t="s">
        <v>125</v>
      </c>
      <c r="I105" s="60">
        <f t="shared" si="54"/>
        <v>4.217655062562586E-3</v>
      </c>
      <c r="J105" s="60">
        <f t="shared" si="51"/>
        <v>1.552716168353316E-4</v>
      </c>
      <c r="K105" s="60">
        <f t="shared" si="52"/>
        <v>4.695586729801522E-4</v>
      </c>
      <c r="L105" s="60">
        <f t="shared" si="53"/>
        <v>2.1902996226393456E-4</v>
      </c>
      <c r="M105" s="60">
        <f t="shared" si="50"/>
        <v>6.3264825938438786E-4</v>
      </c>
    </row>
    <row r="106" spans="1:13" s="38" customFormat="1" ht="16">
      <c r="A106" s="8" t="s">
        <v>109</v>
      </c>
      <c r="B106" s="125">
        <v>182280.51758121201</v>
      </c>
      <c r="C106" s="11">
        <v>2.4299999999999999E-2</v>
      </c>
      <c r="D106" s="21">
        <v>2.3296788990825688E-2</v>
      </c>
      <c r="E106" s="10">
        <v>9.2263023632599236E-2</v>
      </c>
      <c r="F106" s="14">
        <v>3.2863023632599235E-2</v>
      </c>
      <c r="G106" s="14">
        <v>0.09</v>
      </c>
      <c r="H106" s="15" t="s">
        <v>125</v>
      </c>
      <c r="I106" s="60">
        <f t="shared" si="54"/>
        <v>4.1111573463717146E-2</v>
      </c>
      <c r="J106" s="60">
        <f t="shared" si="51"/>
        <v>9.5776765206504713E-4</v>
      </c>
      <c r="K106" s="60">
        <f t="shared" si="52"/>
        <v>3.7930780740562746E-3</v>
      </c>
      <c r="L106" s="60">
        <f t="shared" si="53"/>
        <v>1.3510506103114762E-3</v>
      </c>
      <c r="M106" s="60">
        <f t="shared" si="50"/>
        <v>3.7000416117345431E-3</v>
      </c>
    </row>
    <row r="107" spans="1:13" s="38" customFormat="1" ht="16">
      <c r="A107" s="8" t="s">
        <v>118</v>
      </c>
      <c r="B107" s="125">
        <v>190814.27422621101</v>
      </c>
      <c r="C107" s="11">
        <v>2.7E-2</v>
      </c>
      <c r="D107" s="21">
        <v>2.3296788990825688E-2</v>
      </c>
      <c r="E107" s="10">
        <v>9.2263023632599236E-2</v>
      </c>
      <c r="F107" s="14">
        <v>3.2863023632599235E-2</v>
      </c>
      <c r="G107" s="14">
        <v>0.2</v>
      </c>
      <c r="H107" s="15" t="s">
        <v>125</v>
      </c>
      <c r="I107" s="60">
        <f t="shared" si="54"/>
        <v>4.3036278132585835E-2</v>
      </c>
      <c r="J107" s="60">
        <f t="shared" si="51"/>
        <v>1.0026070906053379E-3</v>
      </c>
      <c r="K107" s="60">
        <f t="shared" si="52"/>
        <v>3.9706571464058803E-3</v>
      </c>
      <c r="L107" s="60">
        <f t="shared" si="53"/>
        <v>1.4143022253302821E-3</v>
      </c>
      <c r="M107" s="60">
        <f t="shared" si="50"/>
        <v>8.6072556265171674E-3</v>
      </c>
    </row>
    <row r="108" spans="1:13" s="38" customFormat="1" ht="16">
      <c r="A108" s="8" t="s">
        <v>353</v>
      </c>
      <c r="B108" s="125">
        <v>8543.4235026133993</v>
      </c>
      <c r="C108" s="11" t="s">
        <v>143</v>
      </c>
      <c r="D108" s="21">
        <v>7.9525458715596339E-2</v>
      </c>
      <c r="E108" s="10">
        <v>0.17158056832609495</v>
      </c>
      <c r="F108" s="14">
        <v>0.11218056832609494</v>
      </c>
      <c r="G108" s="14">
        <v>0.1</v>
      </c>
      <c r="H108" s="15" t="s">
        <v>125</v>
      </c>
      <c r="I108" s="60">
        <f t="shared" si="54"/>
        <v>1.9268849332888919E-3</v>
      </c>
      <c r="J108" s="60">
        <f t="shared" si="51"/>
        <v>1.5323640821197039E-4</v>
      </c>
      <c r="K108" s="60">
        <f t="shared" si="52"/>
        <v>3.3061601195269761E-4</v>
      </c>
      <c r="L108" s="60">
        <f t="shared" si="53"/>
        <v>2.1615904691533742E-4</v>
      </c>
      <c r="M108" s="60">
        <f t="shared" si="50"/>
        <v>1.9268849332888921E-4</v>
      </c>
    </row>
    <row r="109" spans="1:13" s="38" customFormat="1" ht="16">
      <c r="A109" s="8" t="s">
        <v>121</v>
      </c>
      <c r="B109" s="125">
        <v>38872.546228565297</v>
      </c>
      <c r="C109" s="11">
        <v>1.37E-2</v>
      </c>
      <c r="D109" s="21">
        <v>1.4668348623853212E-2</v>
      </c>
      <c r="E109" s="10">
        <v>8.009153339830323E-2</v>
      </c>
      <c r="F109" s="14">
        <v>2.0691533398303225E-2</v>
      </c>
      <c r="G109" s="14">
        <v>0.2</v>
      </c>
      <c r="H109" s="15" t="s">
        <v>125</v>
      </c>
      <c r="I109" s="60">
        <f t="shared" si="54"/>
        <v>8.767319520504387E-3</v>
      </c>
      <c r="J109" s="60">
        <f t="shared" si="51"/>
        <v>1.2860209922347193E-4</v>
      </c>
      <c r="K109" s="60">
        <f t="shared" si="52"/>
        <v>7.0218806419007293E-4</v>
      </c>
      <c r="L109" s="60">
        <f t="shared" si="53"/>
        <v>1.8140928467211235E-4</v>
      </c>
      <c r="M109" s="60">
        <f t="shared" si="50"/>
        <v>1.7534639041008775E-3</v>
      </c>
    </row>
    <row r="110" spans="1:13" s="38" customFormat="1" ht="16">
      <c r="A110" s="8" t="s">
        <v>13</v>
      </c>
      <c r="B110" s="125">
        <v>65503.849704599699</v>
      </c>
      <c r="C110" s="11">
        <v>1.4500000000000001E-2</v>
      </c>
      <c r="D110" s="21">
        <v>1.0354128440366973E-2</v>
      </c>
      <c r="E110" s="10">
        <v>7.4005788281155213E-2</v>
      </c>
      <c r="F110" s="14">
        <v>1.4605788281155217E-2</v>
      </c>
      <c r="G110" s="14">
        <v>0.15</v>
      </c>
      <c r="H110" s="15" t="s">
        <v>125</v>
      </c>
      <c r="I110" s="60">
        <f t="shared" si="54"/>
        <v>1.4773747436212603E-2</v>
      </c>
      <c r="J110" s="60">
        <f t="shared" si="51"/>
        <v>1.5296927850008755E-4</v>
      </c>
      <c r="K110" s="60">
        <f t="shared" si="52"/>
        <v>1.0933428248836095E-3</v>
      </c>
      <c r="L110" s="60">
        <f t="shared" si="53"/>
        <v>2.1578222717258096E-4</v>
      </c>
      <c r="M110" s="60">
        <f t="shared" si="50"/>
        <v>2.2160621154318902E-3</v>
      </c>
    </row>
    <row r="111" spans="1:13" s="38" customFormat="1" ht="16">
      <c r="A111" s="8" t="s">
        <v>146</v>
      </c>
      <c r="B111" s="125">
        <v>13879.2691515718</v>
      </c>
      <c r="C111" s="11" t="s">
        <v>143</v>
      </c>
      <c r="D111" s="21">
        <v>4.4005045871559637E-2</v>
      </c>
      <c r="E111" s="10">
        <v>0.12147460019490969</v>
      </c>
      <c r="F111" s="14">
        <v>6.2074600194909679E-2</v>
      </c>
      <c r="G111" s="14">
        <v>0.1</v>
      </c>
      <c r="H111" s="15" t="s">
        <v>125</v>
      </c>
      <c r="I111" s="60">
        <f t="shared" si="54"/>
        <v>3.1303323082420291E-3</v>
      </c>
      <c r="J111" s="60">
        <f t="shared" si="51"/>
        <v>1.3775041681741564E-4</v>
      </c>
      <c r="K111" s="60">
        <f t="shared" si="52"/>
        <v>3.8025586562090929E-4</v>
      </c>
      <c r="L111" s="60">
        <f t="shared" si="53"/>
        <v>1.9431412651133272E-4</v>
      </c>
      <c r="M111" s="60">
        <f t="shared" si="50"/>
        <v>3.1303323082420296E-4</v>
      </c>
    </row>
    <row r="112" spans="1:13" s="38" customFormat="1" ht="16">
      <c r="A112" s="8" t="s">
        <v>17</v>
      </c>
      <c r="B112" s="125">
        <v>13679.2213332052</v>
      </c>
      <c r="C112" s="11" t="s">
        <v>143</v>
      </c>
      <c r="D112" s="21">
        <v>7.9525458715596339E-2</v>
      </c>
      <c r="E112" s="10">
        <v>0.17158056832609495</v>
      </c>
      <c r="F112" s="14">
        <v>0.11218056832609494</v>
      </c>
      <c r="G112" s="14">
        <v>0.12</v>
      </c>
      <c r="H112" s="15" t="s">
        <v>125</v>
      </c>
      <c r="I112" s="60">
        <f t="shared" si="54"/>
        <v>3.0852134952708589E-3</v>
      </c>
      <c r="J112" s="60">
        <f t="shared" si="51"/>
        <v>2.4535301844696338E-4</v>
      </c>
      <c r="K112" s="60">
        <f t="shared" si="52"/>
        <v>5.293626849259118E-4</v>
      </c>
      <c r="L112" s="60">
        <f t="shared" si="53"/>
        <v>3.4610100330682278E-4</v>
      </c>
      <c r="M112" s="60">
        <f t="shared" si="50"/>
        <v>3.7022561943250308E-4</v>
      </c>
    </row>
    <row r="113" spans="1:13" s="38" customFormat="1" ht="16">
      <c r="A113" s="8" t="s">
        <v>8</v>
      </c>
      <c r="B113" s="125">
        <v>5809.1709617828501</v>
      </c>
      <c r="C113" s="11" t="s">
        <v>143</v>
      </c>
      <c r="D113" s="21">
        <v>5.5078211009174309E-2</v>
      </c>
      <c r="E113" s="10">
        <v>0.13709467932892289</v>
      </c>
      <c r="F113" s="14">
        <v>7.7694679328922892E-2</v>
      </c>
      <c r="G113" s="14">
        <v>0.15</v>
      </c>
      <c r="H113" s="15" t="s">
        <v>125</v>
      </c>
      <c r="I113" s="60">
        <f t="shared" si="54"/>
        <v>1.3102012322969401E-3</v>
      </c>
      <c r="J113" s="60">
        <f t="shared" si="51"/>
        <v>7.2163539936931069E-5</v>
      </c>
      <c r="K113" s="60">
        <f t="shared" si="52"/>
        <v>1.796216177981086E-4</v>
      </c>
      <c r="L113" s="60">
        <f t="shared" si="53"/>
        <v>1.0179566459967038E-4</v>
      </c>
      <c r="M113" s="60">
        <f t="shared" si="50"/>
        <v>1.96530184844541E-4</v>
      </c>
    </row>
    <row r="114" spans="1:13" s="38" customFormat="1" ht="16">
      <c r="A114" s="8" t="s">
        <v>30</v>
      </c>
      <c r="B114" s="125">
        <v>674048.26639736898</v>
      </c>
      <c r="C114" s="11">
        <v>1.4500000000000001E-2</v>
      </c>
      <c r="D114" s="21">
        <v>1.0354128440366973E-2</v>
      </c>
      <c r="E114" s="10">
        <v>7.4005788281155213E-2</v>
      </c>
      <c r="F114" s="14">
        <v>1.4605788281155217E-2</v>
      </c>
      <c r="G114" s="14">
        <v>0.19</v>
      </c>
      <c r="H114" s="15" t="s">
        <v>125</v>
      </c>
      <c r="I114" s="60">
        <f t="shared" si="54"/>
        <v>0.15202494040395934</v>
      </c>
      <c r="J114" s="60">
        <f t="shared" si="51"/>
        <v>1.5740857590817294E-3</v>
      </c>
      <c r="K114" s="60">
        <f t="shared" si="52"/>
        <v>1.1250725552990653E-2</v>
      </c>
      <c r="L114" s="60">
        <f t="shared" si="53"/>
        <v>2.2204440929954696E-3</v>
      </c>
      <c r="M114" s="60">
        <f t="shared" si="50"/>
        <v>2.8884738676752272E-2</v>
      </c>
    </row>
    <row r="115" spans="1:13" s="38" customFormat="1" ht="16">
      <c r="A115" s="8" t="s">
        <v>0</v>
      </c>
      <c r="B115" s="125">
        <v>284087.56369579799</v>
      </c>
      <c r="C115" s="11">
        <v>3.1699999999999999E-2</v>
      </c>
      <c r="D115" s="21">
        <v>2.6891972477064225E-2</v>
      </c>
      <c r="E115" s="10">
        <v>9.733447789688926E-2</v>
      </c>
      <c r="F115" s="14">
        <v>3.7934477896889252E-2</v>
      </c>
      <c r="G115" s="14">
        <v>0.16</v>
      </c>
      <c r="H115" s="15" t="s">
        <v>125</v>
      </c>
      <c r="I115" s="60">
        <f t="shared" si="54"/>
        <v>6.4073148902513477E-2</v>
      </c>
      <c r="J115" s="60">
        <f t="shared" si="51"/>
        <v>1.7230533568052303E-3</v>
      </c>
      <c r="K115" s="60">
        <f t="shared" si="52"/>
        <v>6.236526495635792E-3</v>
      </c>
      <c r="L115" s="60">
        <f t="shared" si="53"/>
        <v>2.4305814508264914E-3</v>
      </c>
      <c r="M115" s="60">
        <f t="shared" si="50"/>
        <v>1.0251703824402157E-2</v>
      </c>
    </row>
    <row r="116" spans="1:13" s="38" customFormat="1" ht="16">
      <c r="A116" s="8" t="s">
        <v>1</v>
      </c>
      <c r="B116" s="125">
        <v>1775799.9193529801</v>
      </c>
      <c r="C116" s="11" t="s">
        <v>143</v>
      </c>
      <c r="D116" s="21">
        <v>9.1749082568807344E-2</v>
      </c>
      <c r="E116" s="10">
        <v>0.18882351282468096</v>
      </c>
      <c r="F116" s="14">
        <v>0.12942351282468095</v>
      </c>
      <c r="G116" s="14">
        <v>0.2</v>
      </c>
      <c r="H116" s="15" t="s">
        <v>125</v>
      </c>
      <c r="I116" s="60">
        <f t="shared" si="54"/>
        <v>0.40051416251227429</v>
      </c>
      <c r="J116" s="60">
        <f t="shared" si="51"/>
        <v>3.6746806966315375E-2</v>
      </c>
      <c r="K116" s="60">
        <f t="shared" si="52"/>
        <v>7.5626491101602772E-2</v>
      </c>
      <c r="L116" s="60">
        <f t="shared" si="53"/>
        <v>5.1835949848373683E-2</v>
      </c>
      <c r="M116" s="60">
        <f t="shared" si="50"/>
        <v>8.0102832502454868E-2</v>
      </c>
    </row>
    <row r="117" spans="1:13" s="38" customFormat="1" ht="16">
      <c r="A117" s="8" t="s">
        <v>147</v>
      </c>
      <c r="B117" s="125">
        <v>63068.134601125399</v>
      </c>
      <c r="C117" s="11">
        <v>2.93E-2</v>
      </c>
      <c r="D117" s="21">
        <v>3.6814678899082569E-2</v>
      </c>
      <c r="E117" s="10">
        <v>0.11133169166632967</v>
      </c>
      <c r="F117" s="14">
        <v>5.193169166632966E-2</v>
      </c>
      <c r="G117" s="14">
        <v>0.15</v>
      </c>
      <c r="H117" s="15" t="s">
        <v>125</v>
      </c>
      <c r="I117" s="60">
        <f t="shared" si="54"/>
        <v>1.4224395910652252E-2</v>
      </c>
      <c r="J117" s="60">
        <f t="shared" si="51"/>
        <v>5.2366656798408587E-4</v>
      </c>
      <c r="K117" s="60">
        <f t="shared" si="52"/>
        <v>1.5836260596645371E-3</v>
      </c>
      <c r="L117" s="60">
        <f t="shared" si="53"/>
        <v>7.3869694257179324E-4</v>
      </c>
      <c r="M117" s="60">
        <f t="shared" si="50"/>
        <v>2.1336593865978379E-3</v>
      </c>
    </row>
    <row r="118" spans="1:13" s="38" customFormat="1" ht="16">
      <c r="A118" s="8" t="s">
        <v>61</v>
      </c>
      <c r="B118" s="125">
        <v>114870.706410165</v>
      </c>
      <c r="C118" s="11">
        <v>7.4999999999999997E-3</v>
      </c>
      <c r="D118" s="21">
        <v>1.0354128440366973E-2</v>
      </c>
      <c r="E118" s="10">
        <v>7.4005788281155213E-2</v>
      </c>
      <c r="F118" s="14">
        <v>1.4605788281155217E-2</v>
      </c>
      <c r="G118" s="14">
        <v>0.21</v>
      </c>
      <c r="H118" s="15" t="s">
        <v>125</v>
      </c>
      <c r="I118" s="60">
        <f t="shared" si="54"/>
        <v>2.5907955211431442E-2</v>
      </c>
      <c r="J118" s="60">
        <f t="shared" si="51"/>
        <v>2.6825429588643601E-4</v>
      </c>
      <c r="K118" s="60">
        <f t="shared" si="52"/>
        <v>1.9173386481748471E-3</v>
      </c>
      <c r="L118" s="60">
        <f t="shared" si="53"/>
        <v>3.7840610861581959E-4</v>
      </c>
      <c r="M118" s="60">
        <f t="shared" si="50"/>
        <v>5.4406705944006024E-3</v>
      </c>
    </row>
    <row r="119" spans="1:13" s="38" customFormat="1" ht="16">
      <c r="A119" s="8" t="s">
        <v>190</v>
      </c>
      <c r="B119" s="125">
        <v>61526.331889499001</v>
      </c>
      <c r="C119" s="11">
        <v>0.01</v>
      </c>
      <c r="D119" s="21">
        <v>1.4668348623853212E-2</v>
      </c>
      <c r="E119" s="10">
        <v>8.009153339830323E-2</v>
      </c>
      <c r="F119" s="14">
        <v>2.0691533398303225E-2</v>
      </c>
      <c r="G119" s="14">
        <v>0.19</v>
      </c>
      <c r="H119" s="15" t="s">
        <v>125</v>
      </c>
      <c r="I119" s="60">
        <f t="shared" si="54"/>
        <v>1.3876657511142022E-2</v>
      </c>
      <c r="J119" s="60">
        <f>I119*D119</f>
        <v>2.0354765010724239E-4</v>
      </c>
      <c r="K119" s="60">
        <f>I119*E119</f>
        <v>1.1114027785104467E-3</v>
      </c>
      <c r="L119" s="60">
        <f>I119*F119</f>
        <v>2.8712932234861043E-4</v>
      </c>
      <c r="M119" s="60">
        <f>I119*G119</f>
        <v>2.636564927116984E-3</v>
      </c>
    </row>
    <row r="120" spans="1:13" s="38" customFormat="1" ht="16">
      <c r="A120" s="8" t="s">
        <v>395</v>
      </c>
      <c r="B120" s="125">
        <v>8746.2706364014211</v>
      </c>
      <c r="C120" s="11" t="s">
        <v>143</v>
      </c>
      <c r="D120" s="21">
        <v>7.9525458715596339E-2</v>
      </c>
      <c r="E120" s="10">
        <v>0.17158056832609495</v>
      </c>
      <c r="F120" s="14">
        <v>0.11218056832609494</v>
      </c>
      <c r="G120" s="14">
        <v>0.18</v>
      </c>
      <c r="H120" s="15" t="s">
        <v>125</v>
      </c>
      <c r="I120" s="60">
        <f t="shared" si="54"/>
        <v>1.9726351042522548E-3</v>
      </c>
      <c r="J120" s="60">
        <f>I120*D120</f>
        <v>1.5687471154414876E-4</v>
      </c>
      <c r="K120" s="60">
        <f>I120*E120</f>
        <v>3.3846585228760744E-4</v>
      </c>
      <c r="L120" s="60">
        <f>I120*F120</f>
        <v>2.2129132709502346E-4</v>
      </c>
      <c r="M120" s="60">
        <f>I120*G120</f>
        <v>3.5507431876540582E-4</v>
      </c>
    </row>
    <row r="121" spans="1:13" s="38" customFormat="1" ht="16">
      <c r="A121" s="8" t="s">
        <v>68</v>
      </c>
      <c r="B121" s="125">
        <v>200085.53774435399</v>
      </c>
      <c r="C121" s="11" t="s">
        <v>143</v>
      </c>
      <c r="D121" s="21">
        <v>0.12238004587155965</v>
      </c>
      <c r="E121" s="10">
        <v>0.23203230315643184</v>
      </c>
      <c r="F121" s="14">
        <v>0.17263230315643183</v>
      </c>
      <c r="G121" s="14">
        <v>0.18</v>
      </c>
      <c r="H121" s="15" t="s">
        <v>125</v>
      </c>
      <c r="I121" s="60">
        <f t="shared" si="54"/>
        <v>4.5127320204911524E-2</v>
      </c>
      <c r="J121" s="60">
        <f t="shared" si="51"/>
        <v>5.5226835167376332E-3</v>
      </c>
      <c r="K121" s="60">
        <f t="shared" si="52"/>
        <v>1.0470996042423403E-2</v>
      </c>
      <c r="L121" s="60">
        <f t="shared" si="53"/>
        <v>7.7904332222516574E-3</v>
      </c>
      <c r="M121" s="60">
        <f t="shared" si="50"/>
        <v>8.1229176368840736E-3</v>
      </c>
    </row>
    <row r="122" spans="1:13" s="38" customFormat="1" ht="16">
      <c r="A122" s="8" t="s">
        <v>387</v>
      </c>
      <c r="B122" s="125">
        <v>69238.903106173791</v>
      </c>
      <c r="C122" s="11" t="s">
        <v>143</v>
      </c>
      <c r="D122" s="21">
        <v>5.5078211009174309E-2</v>
      </c>
      <c r="E122" s="10">
        <v>0.13709467932892289</v>
      </c>
      <c r="F122" s="14">
        <v>7.7694679328922892E-2</v>
      </c>
      <c r="G122" s="14">
        <v>0.15</v>
      </c>
      <c r="H122" s="15" t="s">
        <v>125</v>
      </c>
      <c r="I122" s="60">
        <f t="shared" si="54"/>
        <v>1.5616151903499166E-2</v>
      </c>
      <c r="J122" s="60">
        <f t="shared" ref="J122" si="55">I122*D122</f>
        <v>8.6010970969224612E-4</v>
      </c>
      <c r="K122" s="60">
        <f t="shared" ref="K122" si="56">I122*E122</f>
        <v>2.1408913375619669E-3</v>
      </c>
      <c r="L122" s="60">
        <f t="shared" ref="L122" si="57">I122*F122</f>
        <v>1.2132919144941165E-3</v>
      </c>
      <c r="M122" s="60">
        <f t="shared" ref="M122" si="58">I122*G122</f>
        <v>2.342422785524875E-3</v>
      </c>
    </row>
    <row r="123" spans="1:13" s="32" customFormat="1" ht="16">
      <c r="A123" s="58" t="s">
        <v>125</v>
      </c>
      <c r="B123" s="155">
        <f>SUM(B96:B122)</f>
        <v>4433800.5632910877</v>
      </c>
      <c r="C123" s="53"/>
      <c r="D123" s="54">
        <f>SUM(J96:J122)</f>
        <v>5.5238638383210012E-2</v>
      </c>
      <c r="E123" s="54">
        <f>SUM(K96:K122)</f>
        <v>0.13732098212912111</v>
      </c>
      <c r="F123" s="54">
        <f>SUM(L96:L122)</f>
        <v>7.7920982129121116E-2</v>
      </c>
      <c r="G123" s="54">
        <f>SUM(M96:M122)</f>
        <v>0.18347474471087855</v>
      </c>
      <c r="H123" s="58"/>
      <c r="I123" s="61">
        <f>SUM(I96:I122)</f>
        <v>1</v>
      </c>
    </row>
    <row r="124" spans="1:13" s="38" customFormat="1" ht="16">
      <c r="A124" s="8" t="s">
        <v>272</v>
      </c>
      <c r="B124" s="125">
        <v>446000</v>
      </c>
      <c r="C124" s="11">
        <v>7.7999999999999996E-3</v>
      </c>
      <c r="D124" s="21">
        <v>6.0399082568807346E-3</v>
      </c>
      <c r="E124" s="10">
        <v>6.792004316400721E-2</v>
      </c>
      <c r="F124" s="14">
        <v>8.5200431640072103E-3</v>
      </c>
      <c r="G124" s="14">
        <v>0.15</v>
      </c>
      <c r="H124" s="15" t="s">
        <v>127</v>
      </c>
      <c r="I124" s="60">
        <f t="shared" ref="I124:I136" si="59">B124/$B$137</f>
        <v>0.15586344363192445</v>
      </c>
      <c r="J124" s="60">
        <f t="shared" ref="J124:J136" si="60">I124*D124</f>
        <v>9.4140090013832543E-4</v>
      </c>
      <c r="K124" s="60">
        <f t="shared" ref="K124:K136" si="61">I124*E124</f>
        <v>1.0586251819171113E-2</v>
      </c>
      <c r="L124" s="60">
        <f t="shared" ref="L124:L136" si="62">I124*F124</f>
        <v>1.327963267434801E-3</v>
      </c>
      <c r="M124" s="60">
        <f t="shared" si="50"/>
        <v>2.3379516544788665E-2</v>
      </c>
    </row>
    <row r="125" spans="1:13" s="38" customFormat="1" ht="16">
      <c r="A125" s="8" t="s">
        <v>87</v>
      </c>
      <c r="B125" s="125">
        <v>38868.663031914904</v>
      </c>
      <c r="C125" s="11">
        <v>2.7799999999999998E-2</v>
      </c>
      <c r="D125" s="21">
        <v>6.7301834862385335E-2</v>
      </c>
      <c r="E125" s="10">
        <v>0.15433762382750893</v>
      </c>
      <c r="F125" s="14">
        <v>9.4937623827508935E-2</v>
      </c>
      <c r="G125" s="14">
        <v>0</v>
      </c>
      <c r="H125" s="15" t="s">
        <v>127</v>
      </c>
      <c r="I125" s="60">
        <f t="shared" si="59"/>
        <v>1.3583416299379225E-2</v>
      </c>
      <c r="J125" s="60">
        <f t="shared" si="60"/>
        <v>9.1418884064785398E-4</v>
      </c>
      <c r="K125" s="60">
        <f t="shared" si="61"/>
        <v>2.0964321951060442E-3</v>
      </c>
      <c r="L125" s="60">
        <f t="shared" si="62"/>
        <v>1.2895772669229183E-3</v>
      </c>
      <c r="M125" s="60">
        <f t="shared" si="50"/>
        <v>0</v>
      </c>
    </row>
    <row r="126" spans="1:13" s="38" customFormat="1" ht="16">
      <c r="A126" s="8" t="s">
        <v>331</v>
      </c>
      <c r="B126" s="125">
        <v>207889.33372413801</v>
      </c>
      <c r="C126" s="11">
        <v>4.6899999999999997E-2</v>
      </c>
      <c r="D126" s="21">
        <v>9.1749082568807344E-2</v>
      </c>
      <c r="E126" s="10">
        <v>0.18882351282468096</v>
      </c>
      <c r="F126" s="14">
        <v>0.12942351282468095</v>
      </c>
      <c r="G126" s="14">
        <v>0.15</v>
      </c>
      <c r="H126" s="15" t="s">
        <v>127</v>
      </c>
      <c r="I126" s="60">
        <f>B126/$B$137</f>
        <v>7.2651003247960796E-2</v>
      </c>
      <c r="J126" s="60">
        <f>I126*D126</f>
        <v>6.6656628957038454E-3</v>
      </c>
      <c r="K126" s="60">
        <f>I126*E126</f>
        <v>1.3718217643517263E-2</v>
      </c>
      <c r="L126" s="60">
        <f>I126*F126</f>
        <v>9.4027480505883918E-3</v>
      </c>
      <c r="M126" s="60">
        <f>I126*G126</f>
        <v>1.0897650487194118E-2</v>
      </c>
    </row>
    <row r="127" spans="1:13" s="38" customFormat="1" ht="16">
      <c r="A127" s="8" t="s">
        <v>114</v>
      </c>
      <c r="B127" s="125">
        <v>481591.26613340899</v>
      </c>
      <c r="C127" s="11">
        <v>6.7000000000000002E-3</v>
      </c>
      <c r="D127" s="21">
        <v>8.6284403669724778E-3</v>
      </c>
      <c r="E127" s="10">
        <v>7.1571490234296015E-2</v>
      </c>
      <c r="F127" s="14">
        <v>1.2171490234296015E-2</v>
      </c>
      <c r="G127" s="14">
        <v>0.23</v>
      </c>
      <c r="H127" s="15" t="s">
        <v>127</v>
      </c>
      <c r="I127" s="60">
        <f t="shared" si="59"/>
        <v>0.16830150933321014</v>
      </c>
      <c r="J127" s="60">
        <f t="shared" si="60"/>
        <v>1.4521795369530656E-3</v>
      </c>
      <c r="K127" s="60">
        <f t="shared" si="61"/>
        <v>1.2045589831659129E-2</v>
      </c>
      <c r="L127" s="60">
        <f t="shared" si="62"/>
        <v>2.0484801772664468E-3</v>
      </c>
      <c r="M127" s="60">
        <f t="shared" si="50"/>
        <v>3.8709347146638332E-2</v>
      </c>
    </row>
    <row r="128" spans="1:13" s="38" customFormat="1" ht="16">
      <c r="A128" s="8" t="s">
        <v>117</v>
      </c>
      <c r="B128" s="125">
        <v>45243.661971831003</v>
      </c>
      <c r="C128" s="11" t="s">
        <v>143</v>
      </c>
      <c r="D128" s="21">
        <v>5.5078211009174309E-2</v>
      </c>
      <c r="E128" s="10">
        <v>0.13709467932892289</v>
      </c>
      <c r="F128" s="14">
        <v>7.7694679328922892E-2</v>
      </c>
      <c r="G128" s="14">
        <v>0.2</v>
      </c>
      <c r="H128" s="15" t="s">
        <v>127</v>
      </c>
      <c r="I128" s="60">
        <f t="shared" si="59"/>
        <v>1.5811284657955886E-2</v>
      </c>
      <c r="J128" s="60">
        <f t="shared" si="60"/>
        <v>8.7085727271701472E-4</v>
      </c>
      <c r="K128" s="60">
        <f t="shared" si="61"/>
        <v>2.1676429999607804E-3</v>
      </c>
      <c r="L128" s="60">
        <f t="shared" si="62"/>
        <v>1.2284526912782008E-3</v>
      </c>
      <c r="M128" s="60">
        <f t="shared" si="50"/>
        <v>3.1622569315911775E-3</v>
      </c>
    </row>
    <row r="129" spans="1:13" s="38" customFormat="1" ht="16">
      <c r="A129" s="8" t="s">
        <v>120</v>
      </c>
      <c r="B129" s="125">
        <v>105960.225688145</v>
      </c>
      <c r="C129" s="11">
        <v>7.9000000000000008E-3</v>
      </c>
      <c r="D129" s="21">
        <v>8.6284403669724778E-3</v>
      </c>
      <c r="E129" s="10">
        <v>7.1571490234296015E-2</v>
      </c>
      <c r="F129" s="14">
        <v>1.2171490234296015E-2</v>
      </c>
      <c r="G129" s="14">
        <v>0.15</v>
      </c>
      <c r="H129" s="15" t="s">
        <v>127</v>
      </c>
      <c r="I129" s="60">
        <f t="shared" si="59"/>
        <v>3.70298781698883E-2</v>
      </c>
      <c r="J129" s="60">
        <f t="shared" si="60"/>
        <v>3.1951009558513714E-4</v>
      </c>
      <c r="K129" s="60">
        <f t="shared" si="61"/>
        <v>2.6502835638133318E-3</v>
      </c>
      <c r="L129" s="60">
        <f t="shared" si="62"/>
        <v>4.5070880052196661E-4</v>
      </c>
      <c r="M129" s="60">
        <f t="shared" si="50"/>
        <v>5.5544817254832447E-3</v>
      </c>
    </row>
    <row r="130" spans="1:13" s="38" customFormat="1" ht="16">
      <c r="A130" s="8" t="s">
        <v>122</v>
      </c>
      <c r="B130" s="125">
        <v>18076.6248401841</v>
      </c>
      <c r="C130" s="11" t="s">
        <v>143</v>
      </c>
      <c r="D130" s="21">
        <v>0.17499999999999999</v>
      </c>
      <c r="E130" s="10">
        <v>0.30625930485826308</v>
      </c>
      <c r="F130" s="14">
        <v>0.2468593048582631</v>
      </c>
      <c r="G130" s="14">
        <v>0.17</v>
      </c>
      <c r="H130" s="15" t="s">
        <v>127</v>
      </c>
      <c r="I130" s="60">
        <f t="shared" si="59"/>
        <v>6.3172309346042153E-3</v>
      </c>
      <c r="J130" s="60">
        <f t="shared" si="60"/>
        <v>1.1055154135557377E-3</v>
      </c>
      <c r="K130" s="60">
        <f t="shared" si="61"/>
        <v>1.9347107546610026E-3</v>
      </c>
      <c r="L130" s="60">
        <f t="shared" si="62"/>
        <v>1.5594672371455124E-3</v>
      </c>
      <c r="M130" s="60">
        <f t="shared" si="50"/>
        <v>1.0739292588827166E-3</v>
      </c>
    </row>
    <row r="131" spans="1:13" s="38" customFormat="1" ht="16">
      <c r="A131" s="8" t="s">
        <v>24</v>
      </c>
      <c r="B131" s="125">
        <v>85868.626527958404</v>
      </c>
      <c r="C131" s="11">
        <v>2.3699999999999999E-2</v>
      </c>
      <c r="D131" s="21">
        <v>4.4005045871559637E-2</v>
      </c>
      <c r="E131" s="10">
        <v>0.12147460019490969</v>
      </c>
      <c r="F131" s="14">
        <v>6.2074600194909679E-2</v>
      </c>
      <c r="G131" s="14">
        <v>0.15</v>
      </c>
      <c r="H131" s="15" t="s">
        <v>127</v>
      </c>
      <c r="I131" s="60">
        <f t="shared" si="59"/>
        <v>3.000847495648255E-2</v>
      </c>
      <c r="J131" s="60">
        <f t="shared" si="60"/>
        <v>1.3205243169955633E-3</v>
      </c>
      <c r="K131" s="60">
        <f t="shared" si="61"/>
        <v>3.6452674977976774E-3</v>
      </c>
      <c r="L131" s="60">
        <f t="shared" si="62"/>
        <v>1.862764085382614E-3</v>
      </c>
      <c r="M131" s="60">
        <f t="shared" si="50"/>
        <v>4.5012712434723823E-3</v>
      </c>
    </row>
    <row r="132" spans="1:13" s="38" customFormat="1" ht="16">
      <c r="A132" s="8" t="s">
        <v>74</v>
      </c>
      <c r="B132" s="125">
        <v>179570.78355054901</v>
      </c>
      <c r="C132" s="11">
        <v>7.9000000000000008E-3</v>
      </c>
      <c r="D132" s="21">
        <v>7.3341743119266058E-3</v>
      </c>
      <c r="E132" s="10">
        <v>6.9745766699151612E-2</v>
      </c>
      <c r="F132" s="14">
        <v>1.0345766699151613E-2</v>
      </c>
      <c r="G132" s="14">
        <v>0.1</v>
      </c>
      <c r="H132" s="15" t="s">
        <v>127</v>
      </c>
      <c r="I132" s="60">
        <f t="shared" si="59"/>
        <v>6.2754530717200677E-2</v>
      </c>
      <c r="J132" s="60">
        <f t="shared" si="60"/>
        <v>4.6025266714310234E-4</v>
      </c>
      <c r="K132" s="60">
        <f t="shared" si="61"/>
        <v>4.3768628587166217E-3</v>
      </c>
      <c r="L132" s="60">
        <f t="shared" si="62"/>
        <v>6.4924373411490177E-4</v>
      </c>
      <c r="M132" s="60">
        <f t="shared" si="50"/>
        <v>6.2754530717200677E-3</v>
      </c>
    </row>
    <row r="133" spans="1:13" s="38" customFormat="1" ht="16">
      <c r="A133" s="8" t="s">
        <v>291</v>
      </c>
      <c r="B133" s="125">
        <v>35200</v>
      </c>
      <c r="C133" s="11" t="s">
        <v>143</v>
      </c>
      <c r="D133" s="21">
        <v>1.4668348623853212E-2</v>
      </c>
      <c r="E133" s="10">
        <v>8.009153339830323E-2</v>
      </c>
      <c r="F133" s="14">
        <v>2.0691533398303225E-2</v>
      </c>
      <c r="G133" s="14">
        <v>0</v>
      </c>
      <c r="H133" s="15" t="s">
        <v>127</v>
      </c>
      <c r="I133" s="60">
        <f t="shared" si="59"/>
        <v>1.2301330080367132E-2</v>
      </c>
      <c r="J133" s="60">
        <f t="shared" si="60"/>
        <v>1.8044019815591735E-4</v>
      </c>
      <c r="K133" s="60">
        <f t="shared" si="61"/>
        <v>9.8523238897527642E-4</v>
      </c>
      <c r="L133" s="60">
        <f t="shared" si="62"/>
        <v>2.5453338220146859E-4</v>
      </c>
      <c r="M133" s="60">
        <f t="shared" si="50"/>
        <v>0</v>
      </c>
    </row>
    <row r="134" spans="1:13" s="38" customFormat="1" ht="16">
      <c r="A134" s="8" t="s">
        <v>2</v>
      </c>
      <c r="B134" s="125">
        <v>833541.23656931496</v>
      </c>
      <c r="C134" s="11">
        <v>9.5999999999999992E-3</v>
      </c>
      <c r="D134" s="21">
        <v>8.6284403669724778E-3</v>
      </c>
      <c r="E134" s="10">
        <v>7.1571490234296015E-2</v>
      </c>
      <c r="F134" s="14">
        <v>1.2171490234296015E-2</v>
      </c>
      <c r="G134" s="14">
        <v>0.2</v>
      </c>
      <c r="H134" s="15" t="s">
        <v>127</v>
      </c>
      <c r="I134" s="60">
        <f t="shared" si="59"/>
        <v>0.29129732632490141</v>
      </c>
      <c r="J134" s="60">
        <f t="shared" si="60"/>
        <v>2.5134416092529341E-3</v>
      </c>
      <c r="K134" s="60">
        <f t="shared" si="61"/>
        <v>2.084858374633922E-2</v>
      </c>
      <c r="L134" s="60">
        <f t="shared" si="62"/>
        <v>3.5455225626400771E-3</v>
      </c>
      <c r="M134" s="60">
        <f t="shared" si="50"/>
        <v>5.8259465264980284E-2</v>
      </c>
    </row>
    <row r="135" spans="1:13" s="38" customFormat="1" ht="16">
      <c r="A135" s="8" t="s">
        <v>285</v>
      </c>
      <c r="B135" s="125">
        <v>24800</v>
      </c>
      <c r="C135" s="11" t="s">
        <v>143</v>
      </c>
      <c r="D135" s="21">
        <v>3.0630963302752296E-2</v>
      </c>
      <c r="E135" s="10">
        <v>0.10260879033175085</v>
      </c>
      <c r="F135" s="14">
        <v>4.3208790331750853E-2</v>
      </c>
      <c r="G135" s="14">
        <v>0</v>
      </c>
      <c r="H135" s="15" t="s">
        <v>127</v>
      </c>
      <c r="I135" s="60">
        <f t="shared" si="59"/>
        <v>8.6668461929859334E-3</v>
      </c>
      <c r="J135" s="60">
        <f t="shared" si="60"/>
        <v>2.6547384768795055E-4</v>
      </c>
      <c r="K135" s="60">
        <f t="shared" si="61"/>
        <v>8.8929460385362672E-4</v>
      </c>
      <c r="L135" s="60">
        <f t="shared" si="62"/>
        <v>3.7448393999026228E-4</v>
      </c>
      <c r="M135" s="60">
        <f t="shared" si="50"/>
        <v>0</v>
      </c>
    </row>
    <row r="136" spans="1:13" s="38" customFormat="1" ht="16">
      <c r="A136" s="8" t="s">
        <v>60</v>
      </c>
      <c r="B136" s="125">
        <v>358868.76517492399</v>
      </c>
      <c r="C136" s="11" t="s">
        <v>143</v>
      </c>
      <c r="D136" s="21">
        <v>6.0399082568807346E-3</v>
      </c>
      <c r="E136" s="10">
        <v>6.792004316400721E-2</v>
      </c>
      <c r="F136" s="14">
        <v>8.5200431640072103E-3</v>
      </c>
      <c r="G136" s="14">
        <v>0</v>
      </c>
      <c r="H136" s="15" t="s">
        <v>127</v>
      </c>
      <c r="I136" s="60">
        <f t="shared" si="59"/>
        <v>0.12541372545313922</v>
      </c>
      <c r="J136" s="60">
        <f t="shared" si="60"/>
        <v>7.5748739589058913E-4</v>
      </c>
      <c r="K136" s="60">
        <f t="shared" si="61"/>
        <v>8.5181056461361652E-3</v>
      </c>
      <c r="L136" s="60">
        <f t="shared" si="62"/>
        <v>1.0685303542196959E-3</v>
      </c>
      <c r="M136" s="60">
        <f t="shared" si="50"/>
        <v>0</v>
      </c>
    </row>
    <row r="137" spans="1:13" s="32" customFormat="1" ht="16">
      <c r="A137" s="58" t="s">
        <v>127</v>
      </c>
      <c r="B137" s="155">
        <f>SUM(B124:B136)</f>
        <v>2861479.1872123685</v>
      </c>
      <c r="C137" s="53"/>
      <c r="D137" s="54">
        <f>SUM(J124:J136)</f>
        <v>1.7766934990427034E-2</v>
      </c>
      <c r="E137" s="54">
        <f>SUM(K124:K136)</f>
        <v>8.4462475549707261E-2</v>
      </c>
      <c r="F137" s="54">
        <f>SUM(L124:L136)</f>
        <v>2.5062475549707256E-2</v>
      </c>
      <c r="G137" s="55">
        <f>SUM(M124:M136)</f>
        <v>0.15181337167475101</v>
      </c>
      <c r="H137" s="58"/>
      <c r="I137" s="61">
        <f>SUM(I124:I136)</f>
        <v>1</v>
      </c>
    </row>
    <row r="138" spans="1:13" s="38" customFormat="1" ht="16">
      <c r="A138" s="8" t="s">
        <v>95</v>
      </c>
      <c r="B138" s="125">
        <v>1990761.6096652299</v>
      </c>
      <c r="C138" s="11">
        <v>3.5999999999999999E-3</v>
      </c>
      <c r="D138" s="21">
        <v>0</v>
      </c>
      <c r="E138" s="10">
        <v>5.9400000000000001E-2</v>
      </c>
      <c r="F138" s="14">
        <v>0</v>
      </c>
      <c r="G138" s="14">
        <v>0.25</v>
      </c>
      <c r="H138" s="15" t="s">
        <v>130</v>
      </c>
      <c r="I138" s="60">
        <f>B138/B140</f>
        <v>7.9672335036072656E-2</v>
      </c>
      <c r="J138" s="60">
        <f>I138*D138</f>
        <v>0</v>
      </c>
      <c r="K138" s="60">
        <f>I138*E138</f>
        <v>4.7325367011427158E-3</v>
      </c>
      <c r="L138" s="60">
        <f>I138*F138</f>
        <v>0</v>
      </c>
      <c r="M138" s="60">
        <f t="shared" si="50"/>
        <v>1.9918083759018164E-2</v>
      </c>
    </row>
    <row r="139" spans="1:13" s="38" customFormat="1" ht="16">
      <c r="A139" s="8" t="s">
        <v>356</v>
      </c>
      <c r="B139" s="125">
        <v>22996100</v>
      </c>
      <c r="C139" s="11">
        <v>3.2000000000000002E-3</v>
      </c>
      <c r="D139" s="21">
        <v>0</v>
      </c>
      <c r="E139" s="10">
        <v>5.9400000000000001E-2</v>
      </c>
      <c r="F139" s="14">
        <v>0</v>
      </c>
      <c r="G139" s="14">
        <v>0.25</v>
      </c>
      <c r="H139" s="15" t="s">
        <v>130</v>
      </c>
      <c r="I139" s="60">
        <f>B139/B140</f>
        <v>0.92032766496392737</v>
      </c>
      <c r="J139" s="60">
        <f>I139*D139</f>
        <v>0</v>
      </c>
      <c r="K139" s="60">
        <f>I139*E139</f>
        <v>5.4667463298857286E-2</v>
      </c>
      <c r="L139" s="60">
        <f>I139*F139</f>
        <v>0</v>
      </c>
      <c r="M139" s="60">
        <f t="shared" si="50"/>
        <v>0.23008191624098184</v>
      </c>
    </row>
    <row r="140" spans="1:13" s="32" customFormat="1" ht="16">
      <c r="A140" s="58" t="s">
        <v>130</v>
      </c>
      <c r="B140" s="53">
        <f>SUM(B138:B139)</f>
        <v>24986861.60966523</v>
      </c>
      <c r="C140" s="53"/>
      <c r="D140" s="54">
        <f>SUM(J138:J139)</f>
        <v>0</v>
      </c>
      <c r="E140" s="54">
        <f>SUM(K138:K139)</f>
        <v>5.9400000000000001E-2</v>
      </c>
      <c r="F140" s="54">
        <f>SUM(L138:L139)</f>
        <v>0</v>
      </c>
      <c r="G140" s="55">
        <f>SUM(M138:M139)</f>
        <v>0.25</v>
      </c>
      <c r="H140" s="58"/>
    </row>
    <row r="141" spans="1:13" s="38" customFormat="1" ht="16">
      <c r="A141" s="8" t="s">
        <v>286</v>
      </c>
      <c r="B141" s="125">
        <v>3.33</v>
      </c>
      <c r="C141" s="11" t="s">
        <v>143</v>
      </c>
      <c r="D141" s="21">
        <v>2.3296788990825688E-2</v>
      </c>
      <c r="E141" s="10">
        <v>9.2263023632599236E-2</v>
      </c>
      <c r="F141" s="14">
        <v>3.2863023632599235E-2</v>
      </c>
      <c r="G141" s="14">
        <v>0.1898</v>
      </c>
      <c r="H141" s="15" t="s">
        <v>126</v>
      </c>
      <c r="I141" s="60">
        <f>B141/$B$167</f>
        <v>1.6207985053391636E-7</v>
      </c>
      <c r="J141" s="60">
        <f t="shared" ref="J141:J166" si="63">I141*D141</f>
        <v>3.7759400775532159E-9</v>
      </c>
      <c r="K141" s="60">
        <f t="shared" ref="K141:K166" si="64">I141*E141</f>
        <v>1.4953977080178877E-8</v>
      </c>
      <c r="L141" s="60">
        <f t="shared" ref="L141:L166" si="65">I141*F141</f>
        <v>5.3264339584642449E-9</v>
      </c>
      <c r="M141" s="60">
        <f t="shared" si="50"/>
        <v>3.0762755631337324E-8</v>
      </c>
    </row>
    <row r="142" spans="1:13" s="38" customFormat="1" ht="16">
      <c r="A142" s="8" t="s">
        <v>176</v>
      </c>
      <c r="B142" s="125">
        <v>477082.46745429497</v>
      </c>
      <c r="C142" s="11">
        <v>2.3999999999999998E-3</v>
      </c>
      <c r="D142" s="21">
        <v>4.8894495412844033E-3</v>
      </c>
      <c r="E142" s="10">
        <v>6.6297177799434406E-2</v>
      </c>
      <c r="F142" s="14">
        <v>6.8971777994344076E-3</v>
      </c>
      <c r="G142" s="14">
        <v>0.24</v>
      </c>
      <c r="H142" s="15" t="s">
        <v>126</v>
      </c>
      <c r="I142" s="60">
        <f t="shared" ref="I142:I166" si="66">B142/$B$167</f>
        <v>2.3220857362565808E-2</v>
      </c>
      <c r="J142" s="60">
        <f t="shared" si="63"/>
        <v>1.1353721037962795E-4</v>
      </c>
      <c r="K142" s="60">
        <f t="shared" si="64"/>
        <v>1.5394773092213309E-3</v>
      </c>
      <c r="L142" s="60">
        <f t="shared" si="65"/>
        <v>1.6015838188492191E-4</v>
      </c>
      <c r="M142" s="60">
        <f t="shared" si="50"/>
        <v>5.5730057670157936E-3</v>
      </c>
    </row>
    <row r="143" spans="1:13" s="38" customFormat="1" ht="16">
      <c r="A143" s="8" t="s">
        <v>177</v>
      </c>
      <c r="B143" s="125">
        <v>599879.02537751</v>
      </c>
      <c r="C143" s="11">
        <v>3.7000000000000002E-3</v>
      </c>
      <c r="D143" s="21">
        <v>7.3341743119266058E-3</v>
      </c>
      <c r="E143" s="10">
        <v>6.9745766699151612E-2</v>
      </c>
      <c r="F143" s="14">
        <v>1.0345766699151613E-2</v>
      </c>
      <c r="G143" s="14">
        <v>0.25</v>
      </c>
      <c r="H143" s="15" t="s">
        <v>126</v>
      </c>
      <c r="I143" s="60">
        <f t="shared" si="66"/>
        <v>2.9197688520005476E-2</v>
      </c>
      <c r="J143" s="60">
        <f t="shared" si="63"/>
        <v>2.1414093711105852E-4</v>
      </c>
      <c r="K143" s="60">
        <f t="shared" si="64"/>
        <v>2.0364151716707993E-3</v>
      </c>
      <c r="L143" s="60">
        <f t="shared" si="65"/>
        <v>3.0207247358247398E-4</v>
      </c>
      <c r="M143" s="60">
        <f t="shared" si="50"/>
        <v>7.2994221300013689E-3</v>
      </c>
    </row>
    <row r="144" spans="1:13" s="38" customFormat="1" ht="16">
      <c r="A144" s="8" t="s">
        <v>178</v>
      </c>
      <c r="B144" s="125">
        <v>27719.3376700177</v>
      </c>
      <c r="C144" s="11">
        <v>1.3299999999999999E-2</v>
      </c>
      <c r="D144" s="21">
        <v>3.0630963302752296E-2</v>
      </c>
      <c r="E144" s="10">
        <v>0.10260879033175085</v>
      </c>
      <c r="F144" s="14">
        <v>4.3208790331750853E-2</v>
      </c>
      <c r="G144" s="14">
        <v>0.125</v>
      </c>
      <c r="H144" s="15" t="s">
        <v>126</v>
      </c>
      <c r="I144" s="60">
        <f t="shared" si="66"/>
        <v>1.3491730049416293E-3</v>
      </c>
      <c r="J144" s="60">
        <f t="shared" si="63"/>
        <v>4.132646880343109E-5</v>
      </c>
      <c r="K144" s="60">
        <f t="shared" si="64"/>
        <v>1.3843700998531389E-4</v>
      </c>
      <c r="L144" s="60">
        <f t="shared" si="65"/>
        <v>5.8296133491781118E-5</v>
      </c>
      <c r="M144" s="60">
        <f t="shared" si="50"/>
        <v>1.6864662561770366E-4</v>
      </c>
    </row>
    <row r="145" spans="1:13" s="38" customFormat="1" ht="16">
      <c r="A145" s="8" t="s">
        <v>102</v>
      </c>
      <c r="B145" s="125">
        <v>397104.34347830102</v>
      </c>
      <c r="C145" s="11">
        <v>2.3E-3</v>
      </c>
      <c r="D145" s="21">
        <v>0</v>
      </c>
      <c r="E145" s="10">
        <v>5.9400000000000001E-2</v>
      </c>
      <c r="F145" s="14">
        <v>0</v>
      </c>
      <c r="G145" s="14">
        <v>0.22</v>
      </c>
      <c r="H145" s="15" t="s">
        <v>126</v>
      </c>
      <c r="I145" s="60">
        <f t="shared" si="66"/>
        <v>1.9328111903102706E-2</v>
      </c>
      <c r="J145" s="60">
        <f t="shared" si="63"/>
        <v>0</v>
      </c>
      <c r="K145" s="60">
        <f t="shared" si="64"/>
        <v>1.1480898470443007E-3</v>
      </c>
      <c r="L145" s="60">
        <f t="shared" si="65"/>
        <v>0</v>
      </c>
      <c r="M145" s="60">
        <f t="shared" ref="M145:M166" si="67">I145*G145</f>
        <v>4.2521846186825956E-3</v>
      </c>
    </row>
    <row r="146" spans="1:13" s="38" customFormat="1" ht="16">
      <c r="A146" s="8" t="s">
        <v>179</v>
      </c>
      <c r="B146" s="125">
        <v>299155.23758914205</v>
      </c>
      <c r="C146" s="11">
        <v>3.3999999999999998E-3</v>
      </c>
      <c r="D146" s="21">
        <v>4.8894495412844033E-3</v>
      </c>
      <c r="E146" s="10">
        <v>6.6297177799434406E-2</v>
      </c>
      <c r="F146" s="14">
        <v>6.8971777994344076E-3</v>
      </c>
      <c r="G146" s="14">
        <v>0.2</v>
      </c>
      <c r="H146" s="15" t="s">
        <v>126</v>
      </c>
      <c r="I146" s="60">
        <f t="shared" si="66"/>
        <v>1.4560671529995909E-2</v>
      </c>
      <c r="J146" s="60">
        <f t="shared" si="63"/>
        <v>7.1193668733131365E-5</v>
      </c>
      <c r="K146" s="60">
        <f t="shared" si="64"/>
        <v>9.6533142930330139E-4</v>
      </c>
      <c r="L146" s="60">
        <f t="shared" si="65"/>
        <v>1.0042754042154441E-4</v>
      </c>
      <c r="M146" s="60">
        <f t="shared" si="67"/>
        <v>2.912134305999182E-3</v>
      </c>
    </row>
    <row r="147" spans="1:13" s="38" customFormat="1" ht="16">
      <c r="A147" s="8" t="s">
        <v>180</v>
      </c>
      <c r="B147" s="125">
        <v>2937472.7579534398</v>
      </c>
      <c r="C147" s="11">
        <v>4.1999999999999997E-3</v>
      </c>
      <c r="D147" s="21">
        <v>6.0399082568807346E-3</v>
      </c>
      <c r="E147" s="10">
        <v>6.792004316400721E-2</v>
      </c>
      <c r="F147" s="14">
        <v>8.5200431640072103E-3</v>
      </c>
      <c r="G147" s="14">
        <v>0.25</v>
      </c>
      <c r="H147" s="15" t="s">
        <v>126</v>
      </c>
      <c r="I147" s="60">
        <f t="shared" si="66"/>
        <v>0.1429745181851485</v>
      </c>
      <c r="J147" s="60">
        <f t="shared" si="63"/>
        <v>8.6355297291002323E-4</v>
      </c>
      <c r="K147" s="60">
        <f t="shared" si="64"/>
        <v>9.7108354464884201E-3</v>
      </c>
      <c r="L147" s="60">
        <f t="shared" si="65"/>
        <v>1.2181490662905991E-3</v>
      </c>
      <c r="M147" s="60">
        <f t="shared" si="67"/>
        <v>3.5743629546287126E-2</v>
      </c>
    </row>
    <row r="148" spans="1:13" s="38" customFormat="1" ht="16">
      <c r="A148" s="8" t="s">
        <v>181</v>
      </c>
      <c r="B148" s="125">
        <v>4223116.2059689201</v>
      </c>
      <c r="C148" s="11">
        <v>2.8E-3</v>
      </c>
      <c r="D148" s="21">
        <v>0</v>
      </c>
      <c r="E148" s="10">
        <v>5.9400000000000001E-2</v>
      </c>
      <c r="F148" s="14">
        <v>0</v>
      </c>
      <c r="G148" s="14">
        <v>0.3</v>
      </c>
      <c r="H148" s="15" t="s">
        <v>126</v>
      </c>
      <c r="I148" s="60">
        <f t="shared" si="66"/>
        <v>0.20555016319843916</v>
      </c>
      <c r="J148" s="60">
        <f t="shared" si="63"/>
        <v>0</v>
      </c>
      <c r="K148" s="60">
        <f t="shared" si="64"/>
        <v>1.2209679693987287E-2</v>
      </c>
      <c r="L148" s="60">
        <f t="shared" si="65"/>
        <v>0</v>
      </c>
      <c r="M148" s="60">
        <f t="shared" si="67"/>
        <v>6.1665048959531746E-2</v>
      </c>
    </row>
    <row r="149" spans="1:13" s="38" customFormat="1" ht="16">
      <c r="A149" s="8" t="s">
        <v>182</v>
      </c>
      <c r="B149" s="125">
        <v>216240.589485256</v>
      </c>
      <c r="C149" s="11">
        <v>1.9699999999999999E-2</v>
      </c>
      <c r="D149" s="21">
        <v>4.4005045871559637E-2</v>
      </c>
      <c r="E149" s="10">
        <v>0.12147460019490969</v>
      </c>
      <c r="F149" s="14">
        <v>6.2074600194909679E-2</v>
      </c>
      <c r="G149" s="14">
        <v>0.22</v>
      </c>
      <c r="H149" s="15" t="s">
        <v>126</v>
      </c>
      <c r="I149" s="60">
        <f t="shared" si="66"/>
        <v>1.0524997724665542E-2</v>
      </c>
      <c r="J149" s="60">
        <f t="shared" si="63"/>
        <v>4.6315300767196799E-4</v>
      </c>
      <c r="K149" s="60">
        <f t="shared" si="64"/>
        <v>1.2785198906560809E-3</v>
      </c>
      <c r="L149" s="60">
        <f t="shared" si="65"/>
        <v>6.5333502581094757E-4</v>
      </c>
      <c r="M149" s="60">
        <f t="shared" si="67"/>
        <v>2.3154994994264194E-3</v>
      </c>
    </row>
    <row r="150" spans="1:13" s="38" customFormat="1" ht="16">
      <c r="A150" s="8" t="s">
        <v>289</v>
      </c>
      <c r="B150" s="125">
        <v>3180</v>
      </c>
      <c r="C150" s="11" t="s">
        <v>143</v>
      </c>
      <c r="D150" s="21">
        <v>0</v>
      </c>
      <c r="E150" s="10">
        <v>5.9400000000000001E-2</v>
      </c>
      <c r="F150" s="14">
        <v>0</v>
      </c>
      <c r="G150" s="14">
        <v>0</v>
      </c>
      <c r="H150" s="15" t="s">
        <v>126</v>
      </c>
      <c r="I150" s="60">
        <f t="shared" si="66"/>
        <v>1.5477895636572191E-4</v>
      </c>
      <c r="J150" s="60">
        <f t="shared" si="63"/>
        <v>0</v>
      </c>
      <c r="K150" s="60">
        <f t="shared" si="64"/>
        <v>9.1938700081238826E-6</v>
      </c>
      <c r="L150" s="60">
        <f t="shared" si="65"/>
        <v>0</v>
      </c>
      <c r="M150" s="60">
        <f t="shared" si="67"/>
        <v>0</v>
      </c>
    </row>
    <row r="151" spans="1:13" s="38" customFormat="1" ht="16">
      <c r="A151" s="8" t="s">
        <v>110</v>
      </c>
      <c r="B151" s="125">
        <v>25458.9339158742</v>
      </c>
      <c r="C151" s="11">
        <v>7.3000000000000001E-3</v>
      </c>
      <c r="D151" s="21">
        <v>1.0354128440366973E-2</v>
      </c>
      <c r="E151" s="10">
        <v>7.4005788281155213E-2</v>
      </c>
      <c r="F151" s="14">
        <v>1.4605788281155217E-2</v>
      </c>
      <c r="G151" s="14">
        <v>0.2</v>
      </c>
      <c r="H151" s="15" t="s">
        <v>126</v>
      </c>
      <c r="I151" s="60">
        <f t="shared" si="66"/>
        <v>1.2391532143656888E-3</v>
      </c>
      <c r="J151" s="60">
        <f t="shared" si="63"/>
        <v>1.2830351538835931E-5</v>
      </c>
      <c r="K151" s="60">
        <f t="shared" si="64"/>
        <v>9.1704510430260113E-5</v>
      </c>
      <c r="L151" s="60">
        <f t="shared" si="65"/>
        <v>1.8098809496938196E-5</v>
      </c>
      <c r="M151" s="60">
        <f t="shared" si="67"/>
        <v>2.478306428731378E-4</v>
      </c>
    </row>
    <row r="152" spans="1:13" s="38" customFormat="1" ht="16">
      <c r="A152" s="8" t="s">
        <v>183</v>
      </c>
      <c r="B152" s="125">
        <v>498559.57671472098</v>
      </c>
      <c r="C152" s="11">
        <v>4.3E-3</v>
      </c>
      <c r="D152" s="21">
        <v>8.6284403669724778E-3</v>
      </c>
      <c r="E152" s="10">
        <v>7.1571490234296015E-2</v>
      </c>
      <c r="F152" s="14">
        <v>1.2171490234296015E-2</v>
      </c>
      <c r="G152" s="14">
        <v>0.125</v>
      </c>
      <c r="H152" s="15" t="s">
        <v>126</v>
      </c>
      <c r="I152" s="60">
        <f t="shared" si="66"/>
        <v>2.4266204707559934E-2</v>
      </c>
      <c r="J152" s="60">
        <f t="shared" si="63"/>
        <v>2.0937950025192771E-4</v>
      </c>
      <c r="K152" s="60">
        <f t="shared" si="64"/>
        <v>1.7367684332505538E-3</v>
      </c>
      <c r="L152" s="60">
        <f t="shared" si="65"/>
        <v>2.9535587362149374E-4</v>
      </c>
      <c r="M152" s="60">
        <f t="shared" si="67"/>
        <v>3.0332755884449917E-3</v>
      </c>
    </row>
    <row r="153" spans="1:13" s="38" customFormat="1" ht="16">
      <c r="A153" s="8" t="s">
        <v>113</v>
      </c>
      <c r="B153" s="125">
        <v>7315.3880520806706</v>
      </c>
      <c r="C153" s="11" t="s">
        <v>143</v>
      </c>
      <c r="D153" s="21">
        <v>7.3341743119266058E-3</v>
      </c>
      <c r="E153" s="10">
        <v>6.9745766699151612E-2</v>
      </c>
      <c r="F153" s="14">
        <v>1.0345766699151613E-2</v>
      </c>
      <c r="G153" s="14">
        <v>0</v>
      </c>
      <c r="H153" s="15" t="s">
        <v>126</v>
      </c>
      <c r="I153" s="60">
        <f t="shared" si="66"/>
        <v>3.5605915978343322E-4</v>
      </c>
      <c r="J153" s="60">
        <f t="shared" si="63"/>
        <v>2.6113999432098266E-6</v>
      </c>
      <c r="K153" s="60">
        <f t="shared" si="64"/>
        <v>2.483361908935128E-5</v>
      </c>
      <c r="L153" s="60">
        <f t="shared" si="65"/>
        <v>3.6837049982153464E-6</v>
      </c>
      <c r="M153" s="60">
        <f t="shared" si="67"/>
        <v>0</v>
      </c>
    </row>
    <row r="154" spans="1:13" s="38" customFormat="1" ht="16">
      <c r="A154" s="8" t="s">
        <v>145</v>
      </c>
      <c r="B154" s="125">
        <v>2099880.1982588801</v>
      </c>
      <c r="C154" s="11">
        <v>1.84E-2</v>
      </c>
      <c r="D154" s="21">
        <v>2.6891972477064225E-2</v>
      </c>
      <c r="E154" s="10">
        <v>9.733447789688926E-2</v>
      </c>
      <c r="F154" s="14">
        <v>3.7934477896889252E-2</v>
      </c>
      <c r="G154" s="14">
        <v>0.24</v>
      </c>
      <c r="H154" s="15" t="s">
        <v>126</v>
      </c>
      <c r="I154" s="60">
        <f t="shared" si="66"/>
        <v>0.10220668728916814</v>
      </c>
      <c r="J154" s="60">
        <f t="shared" si="63"/>
        <v>2.7485394215522197E-3</v>
      </c>
      <c r="K154" s="60">
        <f t="shared" si="64"/>
        <v>9.9482345448618087E-3</v>
      </c>
      <c r="L154" s="60">
        <f t="shared" si="65"/>
        <v>3.8771573198852203E-3</v>
      </c>
      <c r="M154" s="60">
        <f t="shared" si="67"/>
        <v>2.4529604949400353E-2</v>
      </c>
    </row>
    <row r="155" spans="1:13" s="38" customFormat="1" ht="16">
      <c r="A155" s="8" t="s">
        <v>290</v>
      </c>
      <c r="B155" s="125">
        <v>4890</v>
      </c>
      <c r="C155" s="11" t="s">
        <v>143</v>
      </c>
      <c r="D155" s="21">
        <v>0</v>
      </c>
      <c r="E155" s="10">
        <v>5.9400000000000001E-2</v>
      </c>
      <c r="F155" s="14">
        <v>0</v>
      </c>
      <c r="G155" s="14">
        <v>0</v>
      </c>
      <c r="H155" s="15" t="s">
        <v>126</v>
      </c>
      <c r="I155" s="60">
        <f t="shared" si="66"/>
        <v>2.3800914988313842E-4</v>
      </c>
      <c r="J155" s="60">
        <f t="shared" si="63"/>
        <v>0</v>
      </c>
      <c r="K155" s="60">
        <f t="shared" si="64"/>
        <v>1.4137743503058422E-5</v>
      </c>
      <c r="L155" s="60">
        <f t="shared" si="65"/>
        <v>0</v>
      </c>
      <c r="M155" s="60">
        <f t="shared" si="67"/>
        <v>0</v>
      </c>
    </row>
    <row r="156" spans="1:13" s="38" customFormat="1" ht="16">
      <c r="A156" s="8" t="s">
        <v>223</v>
      </c>
      <c r="B156" s="125">
        <v>6427.24894344939</v>
      </c>
      <c r="C156" s="11" t="s">
        <v>143</v>
      </c>
      <c r="D156" s="21">
        <v>0</v>
      </c>
      <c r="E156" s="10">
        <v>5.9400000000000001E-2</v>
      </c>
      <c r="F156" s="14">
        <v>0</v>
      </c>
      <c r="G156" s="14">
        <v>0.125</v>
      </c>
      <c r="H156" s="15" t="s">
        <v>126</v>
      </c>
      <c r="I156" s="60">
        <f t="shared" si="66"/>
        <v>3.1283109552508975E-4</v>
      </c>
      <c r="J156" s="60">
        <f t="shared" si="63"/>
        <v>0</v>
      </c>
      <c r="K156" s="60">
        <f t="shared" si="64"/>
        <v>1.8582167074190331E-5</v>
      </c>
      <c r="L156" s="60">
        <f t="shared" si="65"/>
        <v>0</v>
      </c>
      <c r="M156" s="60">
        <f t="shared" si="67"/>
        <v>3.9103886940636219E-5</v>
      </c>
    </row>
    <row r="157" spans="1:13" s="38" customFormat="1" ht="16">
      <c r="A157" s="8" t="s">
        <v>185</v>
      </c>
      <c r="B157" s="125">
        <v>86710.803337099394</v>
      </c>
      <c r="C157" s="11" t="s">
        <v>143</v>
      </c>
      <c r="D157" s="21">
        <v>0</v>
      </c>
      <c r="E157" s="10">
        <v>5.9400000000000001E-2</v>
      </c>
      <c r="F157" s="14">
        <v>0</v>
      </c>
      <c r="G157" s="14">
        <v>0.24940000000000001</v>
      </c>
      <c r="H157" s="15" t="s">
        <v>126</v>
      </c>
      <c r="I157" s="60">
        <f t="shared" si="66"/>
        <v>4.2204426560218875E-3</v>
      </c>
      <c r="J157" s="60">
        <f t="shared" si="63"/>
        <v>0</v>
      </c>
      <c r="K157" s="60">
        <f t="shared" si="64"/>
        <v>2.5069429376770014E-4</v>
      </c>
      <c r="L157" s="60">
        <f t="shared" si="65"/>
        <v>0</v>
      </c>
      <c r="M157" s="60">
        <f t="shared" si="67"/>
        <v>1.0525783984118588E-3</v>
      </c>
    </row>
    <row r="158" spans="1:13" s="38" customFormat="1" ht="16">
      <c r="A158" s="8" t="s">
        <v>186</v>
      </c>
      <c r="B158" s="125">
        <v>17189.730469555401</v>
      </c>
      <c r="C158" s="11" t="s">
        <v>143</v>
      </c>
      <c r="D158" s="21">
        <v>1.0354128440366973E-2</v>
      </c>
      <c r="E158" s="10">
        <v>7.4005788281155213E-2</v>
      </c>
      <c r="F158" s="14">
        <v>1.4605788281155217E-2</v>
      </c>
      <c r="G158" s="14">
        <v>0.35</v>
      </c>
      <c r="H158" s="15" t="s">
        <v>126</v>
      </c>
      <c r="I158" s="60">
        <f t="shared" si="66"/>
        <v>8.366693529200742E-4</v>
      </c>
      <c r="J158" s="60">
        <f t="shared" si="63"/>
        <v>8.662981942253172E-6</v>
      </c>
      <c r="K158" s="60">
        <f t="shared" si="64"/>
        <v>6.1918374993534148E-5</v>
      </c>
      <c r="L158" s="60">
        <f t="shared" si="65"/>
        <v>1.2220215430081738E-5</v>
      </c>
      <c r="M158" s="60">
        <f t="shared" si="67"/>
        <v>2.9283427352202595E-4</v>
      </c>
    </row>
    <row r="159" spans="1:13" s="38" customFormat="1" ht="16">
      <c r="A159" s="8" t="s">
        <v>187</v>
      </c>
      <c r="B159" s="125">
        <v>1018007.0569496</v>
      </c>
      <c r="C159" s="11">
        <v>2.5999999999999999E-3</v>
      </c>
      <c r="D159" s="21">
        <v>0</v>
      </c>
      <c r="E159" s="10">
        <v>5.9400000000000001E-2</v>
      </c>
      <c r="F159" s="14">
        <v>0</v>
      </c>
      <c r="G159" s="14">
        <v>0.25800000000000001</v>
      </c>
      <c r="H159" s="15" t="s">
        <v>126</v>
      </c>
      <c r="I159" s="60">
        <f t="shared" si="66"/>
        <v>4.9549078568427399E-2</v>
      </c>
      <c r="J159" s="60">
        <f t="shared" si="63"/>
        <v>0</v>
      </c>
      <c r="K159" s="60">
        <f t="shared" si="64"/>
        <v>2.9432152669645875E-3</v>
      </c>
      <c r="L159" s="60">
        <f t="shared" si="65"/>
        <v>0</v>
      </c>
      <c r="M159" s="60">
        <f t="shared" si="67"/>
        <v>1.2783662270654269E-2</v>
      </c>
    </row>
    <row r="160" spans="1:13" s="38" customFormat="1" ht="16">
      <c r="A160" s="8" t="s">
        <v>23</v>
      </c>
      <c r="B160" s="125">
        <v>482437.01979045395</v>
      </c>
      <c r="C160" s="11">
        <v>2.8E-3</v>
      </c>
      <c r="D160" s="21">
        <v>0</v>
      </c>
      <c r="E160" s="10">
        <v>5.9400000000000001E-2</v>
      </c>
      <c r="F160" s="14">
        <v>0</v>
      </c>
      <c r="G160" s="14">
        <v>0.22</v>
      </c>
      <c r="H160" s="15" t="s">
        <v>126</v>
      </c>
      <c r="I160" s="60">
        <f t="shared" si="66"/>
        <v>2.348147749539484E-2</v>
      </c>
      <c r="J160" s="60">
        <f t="shared" si="63"/>
        <v>0</v>
      </c>
      <c r="K160" s="60">
        <f t="shared" si="64"/>
        <v>1.3947997632264536E-3</v>
      </c>
      <c r="L160" s="60">
        <f t="shared" si="65"/>
        <v>0</v>
      </c>
      <c r="M160" s="60">
        <f t="shared" si="67"/>
        <v>5.1659250489868649E-3</v>
      </c>
    </row>
    <row r="161" spans="1:13" s="38" customFormat="1" ht="16">
      <c r="A161" s="8" t="s">
        <v>189</v>
      </c>
      <c r="B161" s="125">
        <v>249886.46435475201</v>
      </c>
      <c r="C161" s="11">
        <v>8.0999999999999996E-3</v>
      </c>
      <c r="D161" s="21">
        <v>2.3296788990825688E-2</v>
      </c>
      <c r="E161" s="10">
        <v>9.2263023632599236E-2</v>
      </c>
      <c r="F161" s="14">
        <v>3.2863023632599235E-2</v>
      </c>
      <c r="G161" s="14">
        <v>0.21</v>
      </c>
      <c r="H161" s="15" t="s">
        <v>126</v>
      </c>
      <c r="I161" s="60">
        <f t="shared" si="66"/>
        <v>1.2162630868788896E-2</v>
      </c>
      <c r="J161" s="60">
        <f t="shared" si="63"/>
        <v>2.833502449234778E-4</v>
      </c>
      <c r="K161" s="60">
        <f t="shared" si="64"/>
        <v>1.1221610992816508E-3</v>
      </c>
      <c r="L161" s="60">
        <f t="shared" si="65"/>
        <v>3.9970082567559047E-4</v>
      </c>
      <c r="M161" s="60">
        <f t="shared" si="67"/>
        <v>2.5541524824456681E-3</v>
      </c>
    </row>
    <row r="162" spans="1:13" s="38" customFormat="1" ht="16">
      <c r="A162" s="8" t="s">
        <v>138</v>
      </c>
      <c r="B162" s="125">
        <v>1425276.5862829199</v>
      </c>
      <c r="C162" s="11">
        <v>8.2000000000000007E-3</v>
      </c>
      <c r="D162" s="21">
        <v>1.9557798165137613E-2</v>
      </c>
      <c r="E162" s="10">
        <v>8.6988711197737628E-2</v>
      </c>
      <c r="F162" s="14">
        <v>2.758871119773763E-2</v>
      </c>
      <c r="G162" s="14">
        <v>0.25</v>
      </c>
      <c r="H162" s="15" t="s">
        <v>126</v>
      </c>
      <c r="I162" s="60">
        <f t="shared" si="66"/>
        <v>6.9371956779046895E-2</v>
      </c>
      <c r="J162" s="60">
        <f t="shared" si="63"/>
        <v>1.3567627290052493E-3</v>
      </c>
      <c r="K162" s="60">
        <f t="shared" si="64"/>
        <v>6.034577113474447E-3</v>
      </c>
      <c r="L162" s="60">
        <f t="shared" si="65"/>
        <v>1.9138828807990619E-3</v>
      </c>
      <c r="M162" s="60">
        <f t="shared" si="67"/>
        <v>1.7342989194761724E-2</v>
      </c>
    </row>
    <row r="163" spans="1:13" s="38" customFormat="1" ht="16">
      <c r="A163" s="8" t="s">
        <v>34</v>
      </c>
      <c r="B163" s="125">
        <v>627437.89888729004</v>
      </c>
      <c r="C163" s="11">
        <v>2.5999999999999999E-3</v>
      </c>
      <c r="D163" s="21">
        <v>0</v>
      </c>
      <c r="E163" s="10">
        <v>5.9400000000000001E-2</v>
      </c>
      <c r="F163" s="14">
        <v>0</v>
      </c>
      <c r="G163" s="14">
        <v>0.20600000000000002</v>
      </c>
      <c r="H163" s="15" t="s">
        <v>126</v>
      </c>
      <c r="I163" s="60">
        <f t="shared" si="66"/>
        <v>3.0539051312602549E-2</v>
      </c>
      <c r="J163" s="60">
        <f t="shared" si="63"/>
        <v>0</v>
      </c>
      <c r="K163" s="60">
        <f t="shared" si="64"/>
        <v>1.8140196479685914E-3</v>
      </c>
      <c r="L163" s="60">
        <f t="shared" si="65"/>
        <v>0</v>
      </c>
      <c r="M163" s="60">
        <f t="shared" si="67"/>
        <v>6.2910445703961253E-3</v>
      </c>
    </row>
    <row r="164" spans="1:13" s="38" customFormat="1" ht="16">
      <c r="A164" s="8" t="s">
        <v>35</v>
      </c>
      <c r="B164" s="125">
        <v>812866.92886747001</v>
      </c>
      <c r="C164" s="11">
        <v>1.6999999999999999E-3</v>
      </c>
      <c r="D164" s="21">
        <v>0</v>
      </c>
      <c r="E164" s="10">
        <v>5.9400000000000001E-2</v>
      </c>
      <c r="F164" s="14">
        <v>0</v>
      </c>
      <c r="G164" s="14">
        <v>0.18</v>
      </c>
      <c r="H164" s="15" t="s">
        <v>126</v>
      </c>
      <c r="I164" s="60">
        <f t="shared" si="66"/>
        <v>3.9564369469910855E-2</v>
      </c>
      <c r="J164" s="60">
        <f t="shared" si="63"/>
        <v>0</v>
      </c>
      <c r="K164" s="60">
        <f t="shared" si="64"/>
        <v>2.3501235465127049E-3</v>
      </c>
      <c r="L164" s="60">
        <f t="shared" si="65"/>
        <v>0</v>
      </c>
      <c r="M164" s="60">
        <f t="shared" si="67"/>
        <v>7.1215865045839537E-3</v>
      </c>
    </row>
    <row r="165" spans="1:13" s="38" customFormat="1" ht="16">
      <c r="A165" s="8" t="s">
        <v>66</v>
      </c>
      <c r="B165" s="125">
        <v>815271.75172442303</v>
      </c>
      <c r="C165" s="11">
        <v>5.2999999999999999E-2</v>
      </c>
      <c r="D165" s="21">
        <v>7.9525458715596339E-2</v>
      </c>
      <c r="E165" s="10">
        <v>0.17158056832609495</v>
      </c>
      <c r="F165" s="14">
        <v>0.11218056832609494</v>
      </c>
      <c r="G165" s="14">
        <v>0.23</v>
      </c>
      <c r="H165" s="15" t="s">
        <v>126</v>
      </c>
      <c r="I165" s="60">
        <f t="shared" si="66"/>
        <v>3.9681418517723319E-2</v>
      </c>
      <c r="J165" s="60">
        <f t="shared" si="63"/>
        <v>3.1556830101075058E-3</v>
      </c>
      <c r="K165" s="60">
        <f t="shared" si="64"/>
        <v>6.808560341256595E-3</v>
      </c>
      <c r="L165" s="60">
        <f t="shared" si="65"/>
        <v>4.4514840813038295E-3</v>
      </c>
      <c r="M165" s="60">
        <f t="shared" si="67"/>
        <v>9.1267262590763645E-3</v>
      </c>
    </row>
    <row r="166" spans="1:13" s="38" customFormat="1" ht="16">
      <c r="A166" s="8" t="s">
        <v>57</v>
      </c>
      <c r="B166" s="125">
        <v>3186859.7391850199</v>
      </c>
      <c r="C166" s="11">
        <v>3.5999999999999999E-3</v>
      </c>
      <c r="D166" s="21">
        <v>7.3341743119266058E-3</v>
      </c>
      <c r="E166" s="10">
        <v>6.9745766699151612E-2</v>
      </c>
      <c r="F166" s="14">
        <v>1.0345766699151613E-2</v>
      </c>
      <c r="G166" s="14">
        <v>0.25</v>
      </c>
      <c r="H166" s="15" t="s">
        <v>126</v>
      </c>
      <c r="I166" s="60">
        <f t="shared" si="66"/>
        <v>0.1551128378977969</v>
      </c>
      <c r="J166" s="60">
        <f t="shared" si="63"/>
        <v>1.1376245911600576E-3</v>
      </c>
      <c r="K166" s="60">
        <f t="shared" si="64"/>
        <v>1.0818463804063065E-2</v>
      </c>
      <c r="L166" s="60">
        <f t="shared" si="65"/>
        <v>1.6047612329339294E-3</v>
      </c>
      <c r="M166" s="60">
        <f t="shared" si="67"/>
        <v>3.8778209474449224E-2</v>
      </c>
    </row>
    <row r="167" spans="1:13" s="32" customFormat="1" ht="16">
      <c r="A167" s="58" t="s">
        <v>126</v>
      </c>
      <c r="B167" s="53">
        <f>SUM(B141:B166)</f>
        <v>20545428.62071047</v>
      </c>
      <c r="C167" s="53"/>
      <c r="D167" s="62">
        <f>SUM(J141:J166)</f>
        <v>1.0682352271974054E-2</v>
      </c>
      <c r="E167" s="62">
        <f>SUM(K141:K166)</f>
        <v>7.4468788892060586E-2</v>
      </c>
      <c r="F167" s="62">
        <f>SUM(L141:L166)</f>
        <v>1.5068788892060588E-2</v>
      </c>
      <c r="G167" s="55">
        <f>SUM(M141:M166)</f>
        <v>0.24828912576026474</v>
      </c>
      <c r="H167" s="58"/>
      <c r="I167" s="61">
        <f>SUM(I141:I166)</f>
        <v>0.99999999999999978</v>
      </c>
    </row>
    <row r="170" spans="1:13">
      <c r="A170" s="64" t="s">
        <v>52</v>
      </c>
      <c r="B170" s="17" t="s">
        <v>497</v>
      </c>
      <c r="C170" s="17" t="s">
        <v>278</v>
      </c>
      <c r="D170" s="17" t="s">
        <v>281</v>
      </c>
      <c r="E170" s="17" t="s">
        <v>357</v>
      </c>
      <c r="F170" s="130" t="s">
        <v>299</v>
      </c>
      <c r="G170" s="130" t="s">
        <v>276</v>
      </c>
      <c r="H170" s="25" t="s">
        <v>300</v>
      </c>
      <c r="I170" s="25" t="s">
        <v>297</v>
      </c>
      <c r="J170" s="25" t="s">
        <v>301</v>
      </c>
      <c r="K170" s="25" t="s">
        <v>360</v>
      </c>
    </row>
    <row r="171" spans="1:13">
      <c r="A171" s="15" t="str">
        <f>A32</f>
        <v>Africa</v>
      </c>
      <c r="B171" s="65">
        <f>E32</f>
        <v>0.15575842480808147</v>
      </c>
      <c r="C171" s="65">
        <f>F32</f>
        <v>9.6358424808081405E-2</v>
      </c>
      <c r="D171" s="65">
        <f>D32</f>
        <v>6.830904895845899E-2</v>
      </c>
      <c r="E171" s="65">
        <f>G32</f>
        <v>0.27268967770769714</v>
      </c>
      <c r="F171" s="130">
        <f>B32</f>
        <v>2326131.6650345619</v>
      </c>
      <c r="G171" s="131">
        <f>F171/$F$180</f>
        <v>2.4956767054576813E-2</v>
      </c>
      <c r="H171" s="47">
        <f t="shared" ref="H171:H179" si="68">G171*B171</f>
        <v>3.8872267247231072E-3</v>
      </c>
      <c r="I171" s="47">
        <f t="shared" ref="I171:I179" si="69">G171*C171</f>
        <v>2.4047947616812433E-3</v>
      </c>
      <c r="J171" s="47">
        <f t="shared" ref="J171:J179" si="70">G171*D171</f>
        <v>1.7047730225759439E-3</v>
      </c>
      <c r="K171" s="47">
        <f>G171*E171</f>
        <v>6.8054527647386249E-3</v>
      </c>
    </row>
    <row r="172" spans="1:13">
      <c r="A172" s="15" t="str">
        <f>A56</f>
        <v>Asia</v>
      </c>
      <c r="B172" s="65">
        <f>E56</f>
        <v>7.8681546633950522E-2</v>
      </c>
      <c r="C172" s="65">
        <f>F56</f>
        <v>1.9281546633950514E-2</v>
      </c>
      <c r="D172" s="65">
        <f>D56</f>
        <v>1.3668800788686953E-2</v>
      </c>
      <c r="E172" s="65">
        <f>G56</f>
        <v>0.24521330317788381</v>
      </c>
      <c r="F172" s="130">
        <f>B56</f>
        <v>31076239.138915617</v>
      </c>
      <c r="G172" s="131">
        <f t="shared" ref="G172:G179" si="71">F172/$F$180</f>
        <v>0.33341296745157217</v>
      </c>
      <c r="H172" s="47">
        <f t="shared" si="68"/>
        <v>2.6233447946904704E-2</v>
      </c>
      <c r="I172" s="47">
        <f t="shared" si="69"/>
        <v>6.4287176802813135E-3</v>
      </c>
      <c r="J172" s="47">
        <f t="shared" si="70"/>
        <v>4.5573554324605066E-3</v>
      </c>
      <c r="K172" s="47">
        <f t="shared" ref="K172:K179" si="72">G172*E172</f>
        <v>8.1757295071140268E-2</v>
      </c>
    </row>
    <row r="173" spans="1:13">
      <c r="A173" s="15" t="str">
        <f>A60</f>
        <v>Australia &amp; New Zealand</v>
      </c>
      <c r="B173" s="65">
        <f>E60</f>
        <v>5.940001664280644E-2</v>
      </c>
      <c r="C173" s="65">
        <f>F60</f>
        <v>1.6642806441867469E-8</v>
      </c>
      <c r="D173" s="65">
        <f>D60</f>
        <v>1.179818248697996E-8</v>
      </c>
      <c r="E173" s="65">
        <f>G60</f>
        <v>0.29721092725087606</v>
      </c>
      <c r="F173" s="130">
        <f>B60</f>
        <v>1792651.7962290661</v>
      </c>
      <c r="G173" s="131">
        <f t="shared" si="71"/>
        <v>1.9233130248365701E-2</v>
      </c>
      <c r="H173" s="47">
        <f t="shared" si="68"/>
        <v>1.1424482568461866E-3</v>
      </c>
      <c r="I173" s="47">
        <f t="shared" si="69"/>
        <v>3.2009326399477677E-10</v>
      </c>
      <c r="J173" s="47">
        <f t="shared" si="70"/>
        <v>2.2691598046607273E-10</v>
      </c>
      <c r="K173" s="47">
        <f t="shared" si="72"/>
        <v>5.7162964750536423E-3</v>
      </c>
    </row>
    <row r="174" spans="1:13">
      <c r="A174" s="15" t="str">
        <f>A75</f>
        <v>Caribbean</v>
      </c>
      <c r="B174" s="65">
        <f>E75</f>
        <v>0.17130442097798998</v>
      </c>
      <c r="C174" s="65">
        <f>F75</f>
        <v>0.11190442097799</v>
      </c>
      <c r="D174" s="65">
        <f>D75</f>
        <v>7.9329696251037377E-2</v>
      </c>
      <c r="E174" s="65">
        <f>G75</f>
        <v>0.25630683338345972</v>
      </c>
      <c r="F174" s="130">
        <f>B75</f>
        <v>302670.40325235901</v>
      </c>
      <c r="G174" s="131">
        <f t="shared" si="71"/>
        <v>3.2473117759530255E-3</v>
      </c>
      <c r="H174" s="47">
        <f t="shared" si="68"/>
        <v>5.562788635146413E-4</v>
      </c>
      <c r="I174" s="47">
        <f t="shared" si="69"/>
        <v>3.6338854402303173E-4</v>
      </c>
      <c r="J174" s="47">
        <f t="shared" si="70"/>
        <v>2.5760825681877023E-4</v>
      </c>
      <c r="K174" s="47">
        <f t="shared" si="72"/>
        <v>8.3230819830333873E-4</v>
      </c>
    </row>
    <row r="175" spans="1:13">
      <c r="A175" s="15" t="str">
        <f>A95</f>
        <v>Central and South America</v>
      </c>
      <c r="B175" s="65">
        <f>E95</f>
        <v>0.12505674061025499</v>
      </c>
      <c r="C175" s="65">
        <f>F95</f>
        <v>6.5656740610255004E-2</v>
      </c>
      <c r="D175" s="65">
        <f>D95</f>
        <v>4.6544446090017511E-2</v>
      </c>
      <c r="E175" s="65">
        <f>G95</f>
        <v>0.31456268874307608</v>
      </c>
      <c r="F175" s="130">
        <f>B95</f>
        <v>4881187.1920141988</v>
      </c>
      <c r="G175" s="131">
        <f t="shared" si="71"/>
        <v>5.2369628741145341E-2</v>
      </c>
      <c r="H175" s="47">
        <f t="shared" si="68"/>
        <v>6.5491750773367672E-3</v>
      </c>
      <c r="I175" s="47">
        <f t="shared" si="69"/>
        <v>3.4384191301127351E-3</v>
      </c>
      <c r="J175" s="47">
        <f t="shared" si="70"/>
        <v>2.4375153616964709E-3</v>
      </c>
      <c r="K175" s="47">
        <f t="shared" si="72"/>
        <v>1.6473531225291355E-2</v>
      </c>
    </row>
    <row r="176" spans="1:13">
      <c r="A176" s="15" t="str">
        <f>A123</f>
        <v>Eastern Europe &amp; Russia</v>
      </c>
      <c r="B176" s="65">
        <f>E123</f>
        <v>0.13732098212912111</v>
      </c>
      <c r="C176" s="65">
        <f>F123</f>
        <v>7.7920982129121116E-2</v>
      </c>
      <c r="D176" s="65">
        <f>D123</f>
        <v>5.5238638383210012E-2</v>
      </c>
      <c r="E176" s="65">
        <f>G123</f>
        <v>0.18347474471087855</v>
      </c>
      <c r="F176" s="130">
        <f>B123</f>
        <v>4433800.5632910877</v>
      </c>
      <c r="G176" s="131">
        <f t="shared" si="71"/>
        <v>4.7569675219937747E-2</v>
      </c>
      <c r="H176" s="47">
        <f t="shared" si="68"/>
        <v>6.5323145207651671E-3</v>
      </c>
      <c r="I176" s="47">
        <f t="shared" si="69"/>
        <v>3.7066758127008649E-3</v>
      </c>
      <c r="J176" s="47">
        <f t="shared" si="70"/>
        <v>2.6276840874808875E-3</v>
      </c>
      <c r="K176" s="47">
        <f t="shared" si="72"/>
        <v>8.7278340169574826E-3</v>
      </c>
    </row>
    <row r="177" spans="1:11">
      <c r="A177" s="15" t="str">
        <f>A137</f>
        <v>Middle East</v>
      </c>
      <c r="B177" s="65">
        <f>E137</f>
        <v>8.4462475549707261E-2</v>
      </c>
      <c r="C177" s="65">
        <f>F137</f>
        <v>2.5062475549707256E-2</v>
      </c>
      <c r="D177" s="65">
        <f>D137</f>
        <v>1.7766934990427034E-2</v>
      </c>
      <c r="E177" s="65">
        <f>G137</f>
        <v>0.15181337167475101</v>
      </c>
      <c r="F177" s="130">
        <f>B137</f>
        <v>2861479.1872123685</v>
      </c>
      <c r="G177" s="131">
        <f t="shared" si="71"/>
        <v>3.0700441673286713E-2</v>
      </c>
      <c r="H177" s="47">
        <f t="shared" si="68"/>
        <v>2.593035304195193E-3</v>
      </c>
      <c r="I177" s="47">
        <f t="shared" si="69"/>
        <v>7.6942906880196193E-4</v>
      </c>
      <c r="J177" s="47">
        <f t="shared" si="70"/>
        <v>5.4545275138668202E-4</v>
      </c>
      <c r="K177" s="47">
        <f t="shared" si="72"/>
        <v>4.6607375623256902E-3</v>
      </c>
    </row>
    <row r="178" spans="1:11">
      <c r="A178" s="15" t="str">
        <f>A140</f>
        <v>North America</v>
      </c>
      <c r="B178" s="65">
        <f>E140</f>
        <v>5.9400000000000001E-2</v>
      </c>
      <c r="C178" s="65">
        <f>F140</f>
        <v>0</v>
      </c>
      <c r="D178" s="65">
        <f>D140</f>
        <v>0</v>
      </c>
      <c r="E178" s="65">
        <f>G140</f>
        <v>0.25</v>
      </c>
      <c r="F178" s="130">
        <f>B140</f>
        <v>24986861.60966523</v>
      </c>
      <c r="G178" s="131">
        <f t="shared" si="71"/>
        <v>0.26808082018353763</v>
      </c>
      <c r="H178" s="47">
        <f t="shared" si="68"/>
        <v>1.5924000718902136E-2</v>
      </c>
      <c r="I178" s="47">
        <f t="shared" si="69"/>
        <v>0</v>
      </c>
      <c r="J178" s="47">
        <f t="shared" si="70"/>
        <v>0</v>
      </c>
      <c r="K178" s="47">
        <f t="shared" si="72"/>
        <v>6.7020205045884407E-2</v>
      </c>
    </row>
    <row r="179" spans="1:11">
      <c r="A179" s="15" t="str">
        <f>A167</f>
        <v>Western Europe</v>
      </c>
      <c r="B179" s="65">
        <f>E167</f>
        <v>7.4468788892060586E-2</v>
      </c>
      <c r="C179" s="65">
        <f>F167</f>
        <v>1.5068788892060588E-2</v>
      </c>
      <c r="D179" s="65">
        <f>D167</f>
        <v>1.0682352271974054E-2</v>
      </c>
      <c r="E179" s="65">
        <f>G167</f>
        <v>0.24828912576026474</v>
      </c>
      <c r="F179" s="130">
        <f>B167</f>
        <v>20545428.62071047</v>
      </c>
      <c r="G179" s="131">
        <f t="shared" si="71"/>
        <v>0.22042925765162485</v>
      </c>
      <c r="H179" s="47">
        <f t="shared" si="68"/>
        <v>1.641509985369248E-2</v>
      </c>
      <c r="I179" s="47">
        <f t="shared" si="69"/>
        <v>3.3216019491859659E-3</v>
      </c>
      <c r="J179" s="47">
        <f t="shared" si="70"/>
        <v>2.354702981284389E-3</v>
      </c>
      <c r="K179" s="47">
        <f t="shared" si="72"/>
        <v>5.4730187674306083E-2</v>
      </c>
    </row>
    <row r="180" spans="1:11">
      <c r="A180" s="15" t="s">
        <v>282</v>
      </c>
      <c r="B180" s="65">
        <f>SUM(H171:H179)</f>
        <v>7.983302726688038E-2</v>
      </c>
      <c r="C180" s="65">
        <f>SUM(I171:I179)</f>
        <v>2.0433027266880382E-2</v>
      </c>
      <c r="D180" s="65">
        <f>SUM(J171:J179)</f>
        <v>1.448509212061963E-2</v>
      </c>
      <c r="E180" s="65">
        <f>SUM(K171:K179)</f>
        <v>0.24672384803400088</v>
      </c>
      <c r="F180" s="25">
        <f>SUM(F171:F179)</f>
        <v>93206450.176324964</v>
      </c>
    </row>
    <row r="181" spans="1:11">
      <c r="A181" s="19"/>
      <c r="B181" s="63"/>
      <c r="C181" s="63"/>
    </row>
    <row r="182" spans="1:11">
      <c r="A182" s="256" t="s">
        <v>309</v>
      </c>
      <c r="B182" s="256"/>
      <c r="C182" s="256"/>
    </row>
    <row r="183" spans="1:11">
      <c r="A183" s="17"/>
      <c r="B183" s="17" t="s">
        <v>312</v>
      </c>
      <c r="C183" s="17" t="s">
        <v>313</v>
      </c>
      <c r="D183" s="4" t="s">
        <v>314</v>
      </c>
    </row>
    <row r="184" spans="1:11">
      <c r="A184" s="15" t="s">
        <v>305</v>
      </c>
      <c r="B184" s="72">
        <f>(B171*F171+B177*F176)/(F171+F176)</f>
        <v>0.10899582286104252</v>
      </c>
      <c r="C184" s="72">
        <f>(D171*F171+D177*F176)/(F171+F176)</f>
        <v>3.5158767888719973E-2</v>
      </c>
      <c r="D184" s="65">
        <f>(E171*F171+E177*F176)/(F171+F176)</f>
        <v>0.19340760568755078</v>
      </c>
    </row>
    <row r="185" spans="1:11">
      <c r="A185" s="15" t="s">
        <v>311</v>
      </c>
      <c r="B185" s="72">
        <f>(B173*F173+E138*B138)/(F173+B138)</f>
        <v>5.9400007885671915E-2</v>
      </c>
      <c r="C185" s="72">
        <f>(D173*F173+D138*B138)/(F173+B138)</f>
        <v>5.5901987857241948E-9</v>
      </c>
      <c r="D185" s="65">
        <f>(E173*F173+G138*B138)/(F173+B138)</f>
        <v>0.27236941736424325</v>
      </c>
    </row>
    <row r="186" spans="1:11">
      <c r="A186" s="15" t="s">
        <v>306</v>
      </c>
      <c r="B186" s="72">
        <f>B175*(F175/(F175+F174))+B174*F174/(F174+F175)</f>
        <v>0.1277570084723911</v>
      </c>
      <c r="C186" s="72">
        <f>(B186-'ERPs by country'!E3)/'ERPs by country'!E5</f>
        <v>4.8458681715630787E-2</v>
      </c>
      <c r="D186" s="65">
        <f>(B95*G95+B75*G75)/(B75+B95)</f>
        <v>0.31116129838667306</v>
      </c>
    </row>
    <row r="187" spans="1:11">
      <c r="A187" s="15" t="s">
        <v>116</v>
      </c>
      <c r="B187" s="65">
        <f>E40</f>
        <v>7.1571490234296015E-2</v>
      </c>
      <c r="C187" s="65">
        <f>D40</f>
        <v>8.6284403669724778E-3</v>
      </c>
      <c r="D187" s="65">
        <f>G40</f>
        <v>0.23200000000000001</v>
      </c>
    </row>
    <row r="188" spans="1:11">
      <c r="A188" s="15" t="s">
        <v>193</v>
      </c>
      <c r="B188" s="65">
        <f>E139</f>
        <v>5.9400000000000001E-2</v>
      </c>
      <c r="C188" s="65">
        <f>F139</f>
        <v>0</v>
      </c>
      <c r="D188" s="65">
        <f>G139</f>
        <v>0.25</v>
      </c>
    </row>
    <row r="189" spans="1:11">
      <c r="A189" s="15" t="s">
        <v>307</v>
      </c>
      <c r="B189" s="65">
        <f>E167</f>
        <v>7.4468788892060586E-2</v>
      </c>
      <c r="C189" s="65">
        <f>D167</f>
        <v>1.0682352271974054E-2</v>
      </c>
      <c r="D189" s="65">
        <f>E179</f>
        <v>0.24828912576026474</v>
      </c>
    </row>
    <row r="190" spans="1:11">
      <c r="A190" s="15" t="s">
        <v>308</v>
      </c>
      <c r="B190" s="72">
        <f>(B171*F171+B172*F172+B174*F174+B175*F175+B176*F176+B177*F177-B187*B40)/(F171+F172+F174+F175+F176+F177-B40)</f>
        <v>9.6885252184917933E-2</v>
      </c>
      <c r="C190" s="72">
        <f>(B190-'ERPs by country'!E3)/'ERPs by country'!E5</f>
        <v>2.6573513751596622E-2</v>
      </c>
      <c r="D190" s="65">
        <f>(E172*G172+E171*G171+E174*G174+E175*G175+E176*G176+E177*G177)/(G171+G172+G174+G175+G176+G177)</f>
        <v>0.24226615213263078</v>
      </c>
    </row>
    <row r="191" spans="1:11">
      <c r="A191" s="15" t="s">
        <v>310</v>
      </c>
      <c r="B191" s="72">
        <f>(B172*F172-B35*E35-B38*E38-B40*E40)/(F172-(B35+B38+B40))</f>
        <v>9.8179807998437757E-2</v>
      </c>
      <c r="C191" s="72">
        <f>(B191-'ERPs by country'!E3)/'ERPs by country'!E5</f>
        <v>2.7491231912943805E-2</v>
      </c>
      <c r="D191" s="65">
        <f>(G33*B33+G34*B34+G36*B36+G39*B39+G41*B41+G42*B42+G43*B43+G44*B44+G45*B45+G46*B46+G47*B47+G48*B48+G49*B49+G50*B50+G51*B51+G52*B52+G53*B53+G54*B54+G55*B55)/(B56-B35-B37-B38-B40)</f>
        <v>0.21129023000321082</v>
      </c>
    </row>
    <row r="192" spans="1:11">
      <c r="A192" s="15" t="s">
        <v>111</v>
      </c>
      <c r="B192" s="72">
        <f>E38</f>
        <v>9.733447789688926E-2</v>
      </c>
      <c r="C192" s="72">
        <f>D38</f>
        <v>2.6891972477064225E-2</v>
      </c>
      <c r="D192" s="65">
        <f>G38</f>
        <v>0.3</v>
      </c>
    </row>
    <row r="193" spans="1:4">
      <c r="A193" s="15" t="s">
        <v>97</v>
      </c>
      <c r="B193" s="65">
        <f>E35</f>
        <v>7.1571490234296015E-2</v>
      </c>
      <c r="C193" s="65">
        <f>D35</f>
        <v>8.6284403669724778E-3</v>
      </c>
      <c r="D193" s="65">
        <f>G35</f>
        <v>0.25</v>
      </c>
    </row>
    <row r="194" spans="1:4">
      <c r="A194" s="15" t="s">
        <v>282</v>
      </c>
      <c r="B194" s="65">
        <f>B180</f>
        <v>7.983302726688038E-2</v>
      </c>
      <c r="C194" s="65">
        <f>D180</f>
        <v>1.448509212061963E-2</v>
      </c>
      <c r="D194" s="65">
        <f>E180</f>
        <v>0.24672384803400088</v>
      </c>
    </row>
  </sheetData>
  <mergeCells count="1">
    <mergeCell ref="A182:C182"/>
  </mergeCells>
  <phoneticPr fontId="1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8"/>
  <sheetViews>
    <sheetView zoomScaleNormal="100" workbookViewId="0">
      <selection activeCell="C1" sqref="C1:C1048576"/>
    </sheetView>
  </sheetViews>
  <sheetFormatPr baseColWidth="10" defaultRowHeight="13"/>
  <cols>
    <col min="1" max="1" width="23.33203125" bestFit="1" customWidth="1"/>
    <col min="2" max="2" width="23.33203125" style="126" customWidth="1"/>
    <col min="3" max="3" width="16.33203125" style="25" bestFit="1" customWidth="1"/>
    <col min="4" max="4" width="16.33203125" style="25" customWidth="1"/>
    <col min="5" max="5" width="17.5" bestFit="1" customWidth="1"/>
    <col min="6" max="6" width="17.33203125" bestFit="1" customWidth="1"/>
    <col min="7" max="7" width="20.1640625" bestFit="1" customWidth="1"/>
    <col min="8" max="8" width="20.1640625" customWidth="1"/>
    <col min="9" max="9" width="20.83203125" bestFit="1" customWidth="1"/>
  </cols>
  <sheetData>
    <row r="1" spans="1:9" s="1" customFormat="1" ht="16">
      <c r="A1" s="51" t="s">
        <v>75</v>
      </c>
      <c r="B1" s="125" t="str">
        <f>'Country GDP'!B1</f>
        <v>GDP (in millions) in 2021</v>
      </c>
      <c r="C1" s="9" t="str">
        <f>'Sovereign Ratings (Moody''s,S&amp;P)'!C1</f>
        <v>Moody's rating</v>
      </c>
      <c r="D1" s="9" t="s">
        <v>484</v>
      </c>
      <c r="E1" s="51" t="s">
        <v>36</v>
      </c>
      <c r="F1" s="51" t="s">
        <v>456</v>
      </c>
      <c r="G1" s="52" t="s">
        <v>37</v>
      </c>
      <c r="H1" s="52" t="s">
        <v>358</v>
      </c>
      <c r="I1" s="51" t="s">
        <v>52</v>
      </c>
    </row>
    <row r="2" spans="1:9" ht="16">
      <c r="A2" s="8" t="str">
        <f>'Sovereign Ratings (Moody''s,S&amp;P)'!A2</f>
        <v>Abu Dhabi</v>
      </c>
      <c r="B2" s="125">
        <f>'Country GDP'!B2</f>
        <v>446000</v>
      </c>
      <c r="C2" s="9" t="str">
        <f>'Sovereign Ratings (Moody''s,S&amp;P)'!C2</f>
        <v>Aa2</v>
      </c>
      <c r="D2" s="11">
        <f>'10-year CDS Spreads'!C2</f>
        <v>7.7999999999999996E-3</v>
      </c>
      <c r="E2" s="21">
        <f>'ERPs by country'!D8</f>
        <v>6.0399082568807346E-3</v>
      </c>
      <c r="F2" s="10">
        <f>'ERPs by country'!E8</f>
        <v>6.792004316400721E-2</v>
      </c>
      <c r="G2" s="14">
        <f>'ERPs by country'!F8</f>
        <v>8.5200431640072103E-3</v>
      </c>
      <c r="H2" s="14">
        <f>'Country Tax Rates'!C2</f>
        <v>0.15</v>
      </c>
      <c r="I2" s="15" t="str">
        <f>VLOOKUP(A2,'Regional lookup table'!$A$2:$B$161,2)</f>
        <v>Middle East</v>
      </c>
    </row>
    <row r="3" spans="1:9" ht="16">
      <c r="A3" s="8" t="str">
        <f>'Sovereign Ratings (Moody''s,S&amp;P)'!A3</f>
        <v>Albania</v>
      </c>
      <c r="B3" s="125">
        <f>'Country GDP'!B3</f>
        <v>18260.043499806801</v>
      </c>
      <c r="C3" s="9" t="str">
        <f>'Sovereign Ratings (Moody''s,S&amp;P)'!C3</f>
        <v>B1</v>
      </c>
      <c r="D3" s="11" t="str">
        <f>'10-year CDS Spreads'!C3</f>
        <v>NA</v>
      </c>
      <c r="E3" s="21">
        <f>'ERPs by country'!D9</f>
        <v>5.5078211009174309E-2</v>
      </c>
      <c r="F3" s="10">
        <f>'ERPs by country'!E9</f>
        <v>0.13709467932892289</v>
      </c>
      <c r="G3" s="14">
        <f>'ERPs by country'!F9</f>
        <v>7.7694679328922892E-2</v>
      </c>
      <c r="H3" s="14">
        <f>'Country Tax Rates'!C3</f>
        <v>0.15</v>
      </c>
      <c r="I3" s="15" t="str">
        <f>VLOOKUP(A3,'Regional lookup table'!$A$2:$B$161,2)</f>
        <v>Eastern Europe &amp; Russia</v>
      </c>
    </row>
    <row r="4" spans="1:9" ht="16">
      <c r="A4" s="8" t="str">
        <f>'Sovereign Ratings (Moody''s,S&amp;P)'!A4</f>
        <v>Andorra (Principality of)</v>
      </c>
      <c r="B4" s="125">
        <f>'Country GDP'!B4</f>
        <v>3.33</v>
      </c>
      <c r="C4" s="9" t="str">
        <f>'Sovereign Ratings (Moody''s,S&amp;P)'!C4</f>
        <v>Baa2</v>
      </c>
      <c r="D4" s="11" t="str">
        <f>'10-year CDS Spreads'!C4</f>
        <v>NA</v>
      </c>
      <c r="E4" s="21">
        <f>'ERPs by country'!D10</f>
        <v>2.3296788990825688E-2</v>
      </c>
      <c r="F4" s="10">
        <f>'ERPs by country'!E10</f>
        <v>9.2263023632599236E-2</v>
      </c>
      <c r="G4" s="14">
        <f>'ERPs by country'!F10</f>
        <v>3.2863023632599235E-2</v>
      </c>
      <c r="H4" s="14">
        <f>'Country Tax Rates'!C4</f>
        <v>0.1898</v>
      </c>
      <c r="I4" s="15" t="str">
        <f>VLOOKUP(A4,'Regional lookup table'!$A$2:$B$161,2)</f>
        <v>Western Europe</v>
      </c>
    </row>
    <row r="5" spans="1:9" ht="16">
      <c r="A5" s="8" t="str">
        <f>'Sovereign Ratings (Moody''s,S&amp;P)'!A5</f>
        <v>Angola</v>
      </c>
      <c r="B5" s="125">
        <f>'Country GDP'!B5</f>
        <v>72546.98570857069</v>
      </c>
      <c r="C5" s="9" t="str">
        <f>'Sovereign Ratings (Moody''s,S&amp;P)'!C5</f>
        <v>B3</v>
      </c>
      <c r="D5" s="11">
        <f>'10-year CDS Spreads'!C5</f>
        <v>6.5500000000000003E-2</v>
      </c>
      <c r="E5" s="21">
        <f>'ERPs by country'!D11</f>
        <v>7.9525458715596339E-2</v>
      </c>
      <c r="F5" s="10">
        <f>'ERPs by country'!E11</f>
        <v>0.17158056832609495</v>
      </c>
      <c r="G5" s="14">
        <f>'ERPs by country'!F11</f>
        <v>0.11218056832609494</v>
      </c>
      <c r="H5" s="14">
        <f>'Country Tax Rates'!C5</f>
        <v>0.25</v>
      </c>
      <c r="I5" s="15" t="str">
        <f>VLOOKUP(A5,'Regional lookup table'!$A$2:$B$161,2)</f>
        <v>Africa</v>
      </c>
    </row>
    <row r="6" spans="1:9" ht="16">
      <c r="A6" s="8" t="str">
        <f>'Sovereign Ratings (Moody''s,S&amp;P)'!A6</f>
        <v>Argentina</v>
      </c>
      <c r="B6" s="125">
        <f>'Country GDP'!B6</f>
        <v>491492.700657012</v>
      </c>
      <c r="C6" s="9" t="str">
        <f>'Sovereign Ratings (Moody''s,S&amp;P)'!C6</f>
        <v>Ca</v>
      </c>
      <c r="D6" s="11" t="str">
        <f>'10-year CDS Spreads'!C6</f>
        <v>NA</v>
      </c>
      <c r="E6" s="21">
        <f>'ERPs by country'!D12</f>
        <v>0.14682729357798166</v>
      </c>
      <c r="F6" s="10">
        <f>'ERPs by country'!E12</f>
        <v>0.26651819215360384</v>
      </c>
      <c r="G6" s="14">
        <f>'ERPs by country'!F12</f>
        <v>0.20711819215360386</v>
      </c>
      <c r="H6" s="14">
        <f>'Country Tax Rates'!C6</f>
        <v>0.35</v>
      </c>
      <c r="I6" s="15" t="str">
        <f>VLOOKUP(A6,'Regional lookup table'!$A$2:$B$161,2)</f>
        <v>Central and South America</v>
      </c>
    </row>
    <row r="7" spans="1:9" ht="16">
      <c r="A7" s="8" t="str">
        <f>'Sovereign Ratings (Moody''s,S&amp;P)'!A7</f>
        <v>Armenia</v>
      </c>
      <c r="B7" s="125">
        <f>'Country GDP'!B7</f>
        <v>13861.1838735931</v>
      </c>
      <c r="C7" s="9" t="str">
        <f>'Sovereign Ratings (Moody''s,S&amp;P)'!C7</f>
        <v>Ba3</v>
      </c>
      <c r="D7" s="11" t="str">
        <f>'10-year CDS Spreads'!C7</f>
        <v>NA</v>
      </c>
      <c r="E7" s="21">
        <f>'ERPs by country'!D13</f>
        <v>4.4005045871559637E-2</v>
      </c>
      <c r="F7" s="10">
        <f>'ERPs by country'!E13</f>
        <v>0.12147460019490969</v>
      </c>
      <c r="G7" s="14">
        <f>'ERPs by country'!F13</f>
        <v>6.2074600194909679E-2</v>
      </c>
      <c r="H7" s="14">
        <f>'Country Tax Rates'!C7</f>
        <v>0.18</v>
      </c>
      <c r="I7" s="15" t="str">
        <f>VLOOKUP(A7,'Regional lookup table'!$A$2:$B$161,2)</f>
        <v>Eastern Europe &amp; Russia</v>
      </c>
    </row>
    <row r="8" spans="1:9" ht="16">
      <c r="A8" s="8" t="str">
        <f>'Sovereign Ratings (Moody''s,S&amp;P)'!A8</f>
        <v>Aruba</v>
      </c>
      <c r="B8" s="125">
        <f>'Country GDP'!B8</f>
        <v>2496.6480446927399</v>
      </c>
      <c r="C8" s="9" t="str">
        <f>'Sovereign Ratings (Moody''s,S&amp;P)'!C8</f>
        <v>Baa2</v>
      </c>
      <c r="D8" s="11" t="str">
        <f>'10-year CDS Spreads'!C8</f>
        <v>NA</v>
      </c>
      <c r="E8" s="21">
        <f>'ERPs by country'!D14</f>
        <v>2.3296788990825688E-2</v>
      </c>
      <c r="F8" s="10">
        <f>'ERPs by country'!E14</f>
        <v>9.2263023632599236E-2</v>
      </c>
      <c r="G8" s="14">
        <f>'ERPs by country'!F14</f>
        <v>3.2863023632599235E-2</v>
      </c>
      <c r="H8" s="14">
        <f>'Country Tax Rates'!C8</f>
        <v>0.25</v>
      </c>
      <c r="I8" s="15" t="str">
        <f>VLOOKUP(A8,'Regional lookup table'!$A$2:$B$161,2)</f>
        <v>Caribbean</v>
      </c>
    </row>
    <row r="9" spans="1:9" ht="16">
      <c r="A9" s="8" t="str">
        <f>'Sovereign Ratings (Moody''s,S&amp;P)'!A9</f>
        <v>Australia</v>
      </c>
      <c r="B9" s="125">
        <f>'Country GDP'!B9</f>
        <v>1542659.89999254</v>
      </c>
      <c r="C9" s="9" t="str">
        <f>'Sovereign Ratings (Moody''s,S&amp;P)'!C9</f>
        <v>Aaa</v>
      </c>
      <c r="D9" s="11">
        <f>'10-year CDS Spreads'!C9</f>
        <v>3.3999999999999998E-3</v>
      </c>
      <c r="E9" s="21">
        <f>'ERPs by country'!D15</f>
        <v>0</v>
      </c>
      <c r="F9" s="10">
        <f>'ERPs by country'!E15</f>
        <v>5.9400000000000001E-2</v>
      </c>
      <c r="G9" s="14">
        <f>'ERPs by country'!F15</f>
        <v>0</v>
      </c>
      <c r="H9" s="14">
        <f>'Country Tax Rates'!C9</f>
        <v>0.3</v>
      </c>
      <c r="I9" s="15" t="str">
        <f>VLOOKUP(A9,'Regional lookup table'!$A$2:$B$161,2)</f>
        <v>Australia &amp; New Zealand</v>
      </c>
    </row>
    <row r="10" spans="1:9" ht="16">
      <c r="A10" s="8" t="str">
        <f>'Sovereign Ratings (Moody''s,S&amp;P)'!A10</f>
        <v>Austria</v>
      </c>
      <c r="B10" s="125">
        <f>'Country GDP'!B10</f>
        <v>477082.46745429497</v>
      </c>
      <c r="C10" s="9" t="str">
        <f>'Sovereign Ratings (Moody''s,S&amp;P)'!C10</f>
        <v>Aa1</v>
      </c>
      <c r="D10" s="11">
        <f>'10-year CDS Spreads'!C10</f>
        <v>2.3999999999999998E-3</v>
      </c>
      <c r="E10" s="21">
        <f>'ERPs by country'!D16</f>
        <v>4.8894495412844033E-3</v>
      </c>
      <c r="F10" s="10">
        <f>'ERPs by country'!E16</f>
        <v>6.6297177799434406E-2</v>
      </c>
      <c r="G10" s="14">
        <f>'ERPs by country'!F16</f>
        <v>6.8971777994344076E-3</v>
      </c>
      <c r="H10" s="14">
        <f>'Country Tax Rates'!C10</f>
        <v>0.24</v>
      </c>
      <c r="I10" s="15" t="str">
        <f>VLOOKUP(A10,'Regional lookup table'!$A$2:$B$161,2)</f>
        <v>Western Europe</v>
      </c>
    </row>
    <row r="11" spans="1:9" ht="16">
      <c r="A11" s="8" t="str">
        <f>'Sovereign Ratings (Moody''s,S&amp;P)'!A11</f>
        <v>Azerbaijan</v>
      </c>
      <c r="B11" s="125">
        <f>'Country GDP'!B11</f>
        <v>54622.176470588201</v>
      </c>
      <c r="C11" s="9" t="str">
        <f>'Sovereign Ratings (Moody''s,S&amp;P)'!C11</f>
        <v>Ba1</v>
      </c>
      <c r="D11" s="11" t="str">
        <f>'10-year CDS Spreads'!C11</f>
        <v>NA</v>
      </c>
      <c r="E11" s="21">
        <f>'ERPs by country'!D17</f>
        <v>3.0630963302752296E-2</v>
      </c>
      <c r="F11" s="10">
        <f>'ERPs by country'!E17</f>
        <v>0.10260879033175085</v>
      </c>
      <c r="G11" s="14">
        <f>'ERPs by country'!F17</f>
        <v>4.3208790331750853E-2</v>
      </c>
      <c r="H11" s="14">
        <f>'Country Tax Rates'!C11</f>
        <v>0.2</v>
      </c>
      <c r="I11" s="15" t="str">
        <f>VLOOKUP(A11,'Regional lookup table'!$A$2:$B$161,2)</f>
        <v>Eastern Europe &amp; Russia</v>
      </c>
    </row>
    <row r="12" spans="1:9" ht="16">
      <c r="A12" s="8" t="str">
        <f>'Sovereign Ratings (Moody''s,S&amp;P)'!A12</f>
        <v>Bahamas</v>
      </c>
      <c r="B12" s="125">
        <f>'Country GDP'!B12</f>
        <v>11.209</v>
      </c>
      <c r="C12" s="9" t="str">
        <f>'Sovereign Ratings (Moody''s,S&amp;P)'!C12</f>
        <v>B1</v>
      </c>
      <c r="D12" s="11" t="str">
        <f>'10-year CDS Spreads'!C12</f>
        <v>NA</v>
      </c>
      <c r="E12" s="21">
        <f>'ERPs by country'!D18</f>
        <v>5.5078211009174309E-2</v>
      </c>
      <c r="F12" s="10">
        <f>'ERPs by country'!E18</f>
        <v>0.13709467932892289</v>
      </c>
      <c r="G12" s="14">
        <f>'ERPs by country'!F18</f>
        <v>7.7694679328922892E-2</v>
      </c>
      <c r="H12" s="14">
        <f>'Country Tax Rates'!C12</f>
        <v>0</v>
      </c>
      <c r="I12" s="15" t="str">
        <f>VLOOKUP(A12,'Regional lookup table'!$A$2:$B$161,2)</f>
        <v>Caribbean</v>
      </c>
    </row>
    <row r="13" spans="1:9" ht="16">
      <c r="A13" s="8" t="str">
        <f>'Sovereign Ratings (Moody''s,S&amp;P)'!A13</f>
        <v>Bahrain</v>
      </c>
      <c r="B13" s="125">
        <f>'Country GDP'!B13</f>
        <v>38868.663031914904</v>
      </c>
      <c r="C13" s="9" t="str">
        <f>'Sovereign Ratings (Moody''s,S&amp;P)'!C13</f>
        <v>B2</v>
      </c>
      <c r="D13" s="11">
        <f>'10-year CDS Spreads'!C13</f>
        <v>2.7799999999999998E-2</v>
      </c>
      <c r="E13" s="21">
        <f>'ERPs by country'!D19</f>
        <v>6.7301834862385335E-2</v>
      </c>
      <c r="F13" s="10">
        <f>'ERPs by country'!E19</f>
        <v>0.15433762382750893</v>
      </c>
      <c r="G13" s="14">
        <f>'ERPs by country'!F19</f>
        <v>9.4937623827508935E-2</v>
      </c>
      <c r="H13" s="14">
        <f>'Country Tax Rates'!C13</f>
        <v>0</v>
      </c>
      <c r="I13" s="15" t="str">
        <f>VLOOKUP(A13,'Regional lookup table'!$A$2:$B$161,2)</f>
        <v>Middle East</v>
      </c>
    </row>
    <row r="14" spans="1:9" ht="16">
      <c r="A14" s="8" t="str">
        <f>'Sovereign Ratings (Moody''s,S&amp;P)'!A14</f>
        <v>Bangladesh</v>
      </c>
      <c r="B14" s="125">
        <f>'Country GDP'!B14</f>
        <v>416264.94289332599</v>
      </c>
      <c r="C14" s="9" t="str">
        <f>'Sovereign Ratings (Moody''s,S&amp;P)'!C14</f>
        <v>Ba3</v>
      </c>
      <c r="D14" s="11" t="str">
        <f>'10-year CDS Spreads'!C14</f>
        <v>NA</v>
      </c>
      <c r="E14" s="21">
        <f>'ERPs by country'!D20</f>
        <v>4.4005045871559637E-2</v>
      </c>
      <c r="F14" s="10">
        <f>'ERPs by country'!E20</f>
        <v>0.12147460019490969</v>
      </c>
      <c r="G14" s="14">
        <f>'ERPs by country'!F20</f>
        <v>6.2074600194909679E-2</v>
      </c>
      <c r="H14" s="14">
        <f>'Country Tax Rates'!C14</f>
        <v>0.32500000000000001</v>
      </c>
      <c r="I14" s="15" t="str">
        <f>VLOOKUP(A14,'Regional lookup table'!$A$2:$B$161,2)</f>
        <v>Asia</v>
      </c>
    </row>
    <row r="15" spans="1:9" ht="16">
      <c r="A15" s="8" t="str">
        <f>'Sovereign Ratings (Moody''s,S&amp;P)'!A15</f>
        <v>Barbados</v>
      </c>
      <c r="B15" s="125">
        <f>'Country GDP'!B15</f>
        <v>4900.8</v>
      </c>
      <c r="C15" s="9" t="str">
        <f>'Sovereign Ratings (Moody''s,S&amp;P)'!C15</f>
        <v>Caa1</v>
      </c>
      <c r="D15" s="11" t="str">
        <f>'10-year CDS Spreads'!C15</f>
        <v>NA</v>
      </c>
      <c r="E15" s="21">
        <f>'ERPs by country'!D21</f>
        <v>9.1749082568807344E-2</v>
      </c>
      <c r="F15" s="10">
        <f>'ERPs by country'!E21</f>
        <v>0.18882351282468096</v>
      </c>
      <c r="G15" s="14">
        <f>'ERPs by country'!F21</f>
        <v>0.12942351282468095</v>
      </c>
      <c r="H15" s="14">
        <f>'Country Tax Rates'!C15</f>
        <v>5.5E-2</v>
      </c>
      <c r="I15" s="15" t="str">
        <f>VLOOKUP(A15,'Regional lookup table'!$A$2:$B$161,2)</f>
        <v>Caribbean</v>
      </c>
    </row>
    <row r="16" spans="1:9" ht="16">
      <c r="A16" s="8" t="str">
        <f>'Sovereign Ratings (Moody''s,S&amp;P)'!A16</f>
        <v>Belarus</v>
      </c>
      <c r="B16" s="125">
        <f>'Country GDP'!B16</f>
        <v>68218.816484122595</v>
      </c>
      <c r="C16" s="9" t="str">
        <f>'Sovereign Ratings (Moody''s,S&amp;P)'!C16</f>
        <v>Ca</v>
      </c>
      <c r="D16" s="11" t="str">
        <f>'10-year CDS Spreads'!C16</f>
        <v>NA</v>
      </c>
      <c r="E16" s="21">
        <f>'ERPs by country'!D22</f>
        <v>0.14682729357798166</v>
      </c>
      <c r="F16" s="10">
        <f>'ERPs by country'!E22</f>
        <v>0.26651819215360384</v>
      </c>
      <c r="G16" s="14">
        <f>'ERPs by country'!F22</f>
        <v>0.20711819215360386</v>
      </c>
      <c r="H16" s="14">
        <f>'Country Tax Rates'!C16</f>
        <v>0.18</v>
      </c>
      <c r="I16" s="15" t="str">
        <f>VLOOKUP(A16,'Regional lookup table'!$A$2:$B$161,2)</f>
        <v>Eastern Europe &amp; Russia</v>
      </c>
    </row>
    <row r="17" spans="1:9" ht="16">
      <c r="A17" s="8" t="str">
        <f>'Sovereign Ratings (Moody''s,S&amp;P)'!A17</f>
        <v>Belgium</v>
      </c>
      <c r="B17" s="125">
        <f>'Country GDP'!B17</f>
        <v>599879.02537751</v>
      </c>
      <c r="C17" s="9" t="str">
        <f>'Sovereign Ratings (Moody''s,S&amp;P)'!C17</f>
        <v>Aa3</v>
      </c>
      <c r="D17" s="11">
        <f>'10-year CDS Spreads'!C17</f>
        <v>3.7000000000000002E-3</v>
      </c>
      <c r="E17" s="21">
        <f>'ERPs by country'!D23</f>
        <v>7.3341743119266058E-3</v>
      </c>
      <c r="F17" s="10">
        <f>'ERPs by country'!E23</f>
        <v>6.9745766699151612E-2</v>
      </c>
      <c r="G17" s="14">
        <f>'ERPs by country'!F23</f>
        <v>1.0345766699151613E-2</v>
      </c>
      <c r="H17" s="14">
        <f>'Country Tax Rates'!C17</f>
        <v>0.25</v>
      </c>
      <c r="I17" s="15" t="str">
        <f>VLOOKUP(A17,'Regional lookup table'!$A$2:$B$161,2)</f>
        <v>Western Europe</v>
      </c>
    </row>
    <row r="18" spans="1:9" ht="16">
      <c r="A18" s="8" t="str">
        <f>'Sovereign Ratings (Moody''s,S&amp;P)'!A18</f>
        <v>Belize</v>
      </c>
      <c r="B18" s="125">
        <f>'Country GDP'!B18</f>
        <v>1789.9232640299999</v>
      </c>
      <c r="C18" s="9" t="str">
        <f>'Sovereign Ratings (Moody''s,S&amp;P)'!C18</f>
        <v>Caa2</v>
      </c>
      <c r="D18" s="11" t="str">
        <f>'10-year CDS Spreads'!C18</f>
        <v>NA</v>
      </c>
      <c r="E18" s="21">
        <f>'ERPs by country'!D24</f>
        <v>0.11015642201834862</v>
      </c>
      <c r="F18" s="10">
        <f>'ERPs by country'!E24</f>
        <v>0.21478935865784579</v>
      </c>
      <c r="G18" s="14">
        <f>'ERPs by country'!F24</f>
        <v>0.15538935865784578</v>
      </c>
      <c r="H18" s="14">
        <f>'Country Tax Rates'!C18</f>
        <v>0.27179999999999999</v>
      </c>
      <c r="I18" s="15" t="str">
        <f>VLOOKUP(A18,'Regional lookup table'!$A$2:$B$161,2)</f>
        <v>Central and South America</v>
      </c>
    </row>
    <row r="19" spans="1:9" ht="16">
      <c r="A19" s="8" t="str">
        <f>'Sovereign Ratings (Moody''s,S&amp;P)'!A19</f>
        <v>Benin</v>
      </c>
      <c r="B19" s="125">
        <f>'Country GDP'!B19</f>
        <v>17785.640079119097</v>
      </c>
      <c r="C19" s="9" t="str">
        <f>'Sovereign Ratings (Moody''s,S&amp;P)'!C19</f>
        <v>B1</v>
      </c>
      <c r="D19" s="11" t="str">
        <f>'10-year CDS Spreads'!C19</f>
        <v>NA</v>
      </c>
      <c r="E19" s="21">
        <f>'ERPs by country'!D25</f>
        <v>5.5078211009174309E-2</v>
      </c>
      <c r="F19" s="10">
        <f>'ERPs by country'!E25</f>
        <v>0.13709467932892289</v>
      </c>
      <c r="G19" s="14">
        <f>'ERPs by country'!F25</f>
        <v>7.7694679328922892E-2</v>
      </c>
      <c r="H19" s="14">
        <f>'Country Tax Rates'!C19</f>
        <v>0.3</v>
      </c>
      <c r="I19" s="15" t="str">
        <f>VLOOKUP(A19,'Regional lookup table'!$A$2:$B$161,2)</f>
        <v>Africa</v>
      </c>
    </row>
    <row r="20" spans="1:9" ht="16">
      <c r="A20" s="8" t="str">
        <f>'Sovereign Ratings (Moody''s,S&amp;P)'!A20</f>
        <v>Bermuda</v>
      </c>
      <c r="B20" s="125">
        <f>'Country GDP'!B20</f>
        <v>7080.9</v>
      </c>
      <c r="C20" s="9" t="str">
        <f>'Sovereign Ratings (Moody''s,S&amp;P)'!C20</f>
        <v>A2</v>
      </c>
      <c r="D20" s="11" t="str">
        <f>'10-year CDS Spreads'!C20</f>
        <v>NA</v>
      </c>
      <c r="E20" s="21">
        <f>'ERPs by country'!D26</f>
        <v>1.0354128440366973E-2</v>
      </c>
      <c r="F20" s="10">
        <f>'ERPs by country'!E26</f>
        <v>7.4005788281155213E-2</v>
      </c>
      <c r="G20" s="14">
        <f>'ERPs by country'!F26</f>
        <v>1.4605788281155217E-2</v>
      </c>
      <c r="H20" s="14">
        <f>'Country Tax Rates'!C20</f>
        <v>0</v>
      </c>
      <c r="I20" s="15" t="str">
        <f>VLOOKUP(A20,'Regional lookup table'!$A$2:$B$161,2)</f>
        <v>Caribbean</v>
      </c>
    </row>
    <row r="21" spans="1:9" ht="16">
      <c r="A21" s="8" t="str">
        <f>'Sovereign Ratings (Moody''s,S&amp;P)'!A21</f>
        <v>Bolivia</v>
      </c>
      <c r="B21" s="125">
        <f>'Country GDP'!B21</f>
        <v>40408.208523878406</v>
      </c>
      <c r="C21" s="9" t="str">
        <f>'Sovereign Ratings (Moody''s,S&amp;P)'!C21</f>
        <v>B2</v>
      </c>
      <c r="D21" s="11" t="str">
        <f>'10-year CDS Spreads'!C21</f>
        <v>NA</v>
      </c>
      <c r="E21" s="21">
        <f>'ERPs by country'!D27</f>
        <v>6.7301834862385335E-2</v>
      </c>
      <c r="F21" s="10">
        <f>'ERPs by country'!E27</f>
        <v>0.15433762382750893</v>
      </c>
      <c r="G21" s="14">
        <f>'ERPs by country'!F27</f>
        <v>9.4937623827508935E-2</v>
      </c>
      <c r="H21" s="14">
        <f>'Country Tax Rates'!C21</f>
        <v>0.25</v>
      </c>
      <c r="I21" s="15" t="str">
        <f>VLOOKUP(A21,'Regional lookup table'!$A$2:$B$161,2)</f>
        <v>Central and South America</v>
      </c>
    </row>
    <row r="22" spans="1:9" ht="16">
      <c r="A22" s="8" t="str">
        <f>'Sovereign Ratings (Moody''s,S&amp;P)'!A22</f>
        <v>Bosnia and Herzegovina</v>
      </c>
      <c r="B22" s="125">
        <f>'Country GDP'!B22</f>
        <v>22571.512867281603</v>
      </c>
      <c r="C22" s="9" t="str">
        <f>'Sovereign Ratings (Moody''s,S&amp;P)'!C22</f>
        <v>B3</v>
      </c>
      <c r="D22" s="11" t="str">
        <f>'10-year CDS Spreads'!C22</f>
        <v>NA</v>
      </c>
      <c r="E22" s="21">
        <f>'ERPs by country'!D28</f>
        <v>7.9525458715596339E-2</v>
      </c>
      <c r="F22" s="10">
        <f>'ERPs by country'!E28</f>
        <v>0.17158056832609495</v>
      </c>
      <c r="G22" s="14">
        <f>'ERPs by country'!F28</f>
        <v>0.11218056832609494</v>
      </c>
      <c r="H22" s="14">
        <f>'Country Tax Rates'!C22</f>
        <v>0.1</v>
      </c>
      <c r="I22" s="15" t="str">
        <f>VLOOKUP(A22,'Regional lookup table'!$A$2:$B$161,2)</f>
        <v>Eastern Europe &amp; Russia</v>
      </c>
    </row>
    <row r="23" spans="1:9" ht="16">
      <c r="A23" s="8" t="str">
        <f>'Sovereign Ratings (Moody''s,S&amp;P)'!A23</f>
        <v>Botswana</v>
      </c>
      <c r="B23" s="125">
        <f>'Country GDP'!B23</f>
        <v>17613.846472991601</v>
      </c>
      <c r="C23" s="9" t="str">
        <f>'Sovereign Ratings (Moody''s,S&amp;P)'!C23</f>
        <v>A3</v>
      </c>
      <c r="D23" s="11" t="str">
        <f>'10-year CDS Spreads'!C23</f>
        <v>NA</v>
      </c>
      <c r="E23" s="21">
        <f>'ERPs by country'!D29</f>
        <v>1.4668348623853212E-2</v>
      </c>
      <c r="F23" s="10">
        <f>'ERPs by country'!E29</f>
        <v>8.009153339830323E-2</v>
      </c>
      <c r="G23" s="14">
        <f>'ERPs by country'!F29</f>
        <v>2.0691533398303225E-2</v>
      </c>
      <c r="H23" s="14">
        <f>'Country Tax Rates'!C23</f>
        <v>0.22</v>
      </c>
      <c r="I23" s="15" t="str">
        <f>VLOOKUP(A23,'Regional lookup table'!$A$2:$B$161,2)</f>
        <v>Africa</v>
      </c>
    </row>
    <row r="24" spans="1:9" ht="16">
      <c r="A24" s="8" t="str">
        <f>'Sovereign Ratings (Moody''s,S&amp;P)'!A24</f>
        <v>Brazil</v>
      </c>
      <c r="B24" s="125">
        <f>'Country GDP'!B24</f>
        <v>1608981.2208121999</v>
      </c>
      <c r="C24" s="9" t="str">
        <f>'Sovereign Ratings (Moody''s,S&amp;P)'!C24</f>
        <v>Ba2</v>
      </c>
      <c r="D24" s="11">
        <f>'10-year CDS Spreads'!C24</f>
        <v>3.5200000000000002E-2</v>
      </c>
      <c r="E24" s="21">
        <f>'ERPs by country'!D30</f>
        <v>3.6814678899082569E-2</v>
      </c>
      <c r="F24" s="10">
        <f>'ERPs by country'!E30</f>
        <v>0.11133169166632967</v>
      </c>
      <c r="G24" s="14">
        <f>'ERPs by country'!F30</f>
        <v>5.193169166632966E-2</v>
      </c>
      <c r="H24" s="14">
        <f>'Country Tax Rates'!C24</f>
        <v>0.34</v>
      </c>
      <c r="I24" s="15" t="str">
        <f>VLOOKUP(A24,'Regional lookup table'!$A$2:$B$161,2)</f>
        <v>Central and South America</v>
      </c>
    </row>
    <row r="25" spans="1:9" ht="16">
      <c r="A25" s="8" t="str">
        <f>'Sovereign Ratings (Moody''s,S&amp;P)'!A25</f>
        <v>Bulgaria</v>
      </c>
      <c r="B25" s="125">
        <f>'Country GDP'!B25</f>
        <v>80271.119426107602</v>
      </c>
      <c r="C25" s="9" t="str">
        <f>'Sovereign Ratings (Moody''s,S&amp;P)'!C25</f>
        <v>Baa1</v>
      </c>
      <c r="D25" s="11">
        <f>'10-year CDS Spreads'!C25</f>
        <v>1.4999999999999999E-2</v>
      </c>
      <c r="E25" s="21">
        <f>'ERPs by country'!D31</f>
        <v>1.9557798165137613E-2</v>
      </c>
      <c r="F25" s="10">
        <f>'ERPs by country'!E31</f>
        <v>8.6988711197737628E-2</v>
      </c>
      <c r="G25" s="14">
        <f>'ERPs by country'!F31</f>
        <v>2.758871119773763E-2</v>
      </c>
      <c r="H25" s="14">
        <f>'Country Tax Rates'!C25</f>
        <v>0.1</v>
      </c>
      <c r="I25" s="15" t="str">
        <f>VLOOKUP(A25,'Regional lookup table'!$A$2:$B$161,2)</f>
        <v>Eastern Europe &amp; Russia</v>
      </c>
    </row>
    <row r="26" spans="1:9" ht="16">
      <c r="A26" s="8" t="str">
        <f>'Sovereign Ratings (Moody''s,S&amp;P)'!A26</f>
        <v>Burkina Faso</v>
      </c>
      <c r="B26" s="125">
        <f>'Country GDP'!B26</f>
        <v>19737.615114366101</v>
      </c>
      <c r="C26" s="9" t="str">
        <f>'Sovereign Ratings (Moody''s,S&amp;P)'!C26</f>
        <v>Caa1</v>
      </c>
      <c r="D26" s="11" t="str">
        <f>'10-year CDS Spreads'!C26</f>
        <v>NA</v>
      </c>
      <c r="E26" s="21">
        <f>'ERPs by country'!D32</f>
        <v>9.1749082568807344E-2</v>
      </c>
      <c r="F26" s="10">
        <f>'ERPs by country'!E32</f>
        <v>0.18882351282468096</v>
      </c>
      <c r="G26" s="14">
        <f>'ERPs by country'!F32</f>
        <v>0.12942351282468095</v>
      </c>
      <c r="H26" s="14">
        <f>'Country Tax Rates'!C26</f>
        <v>0.28000000000000003</v>
      </c>
      <c r="I26" s="15" t="str">
        <f>VLOOKUP(A26,'Regional lookup table'!$A$2:$B$161,2)</f>
        <v>Africa</v>
      </c>
    </row>
    <row r="27" spans="1:9" ht="16">
      <c r="A27" s="8" t="str">
        <f>'Sovereign Ratings (Moody''s,S&amp;P)'!A27</f>
        <v>Cambodia</v>
      </c>
      <c r="B27" s="125">
        <f>'Country GDP'!B27</f>
        <v>26961.061119795701</v>
      </c>
      <c r="C27" s="9" t="str">
        <f>'Sovereign Ratings (Moody''s,S&amp;P)'!C27</f>
        <v>B2</v>
      </c>
      <c r="D27" s="11" t="str">
        <f>'10-year CDS Spreads'!C27</f>
        <v>NA</v>
      </c>
      <c r="E27" s="21">
        <f>'ERPs by country'!D33</f>
        <v>6.7301834862385335E-2</v>
      </c>
      <c r="F27" s="10">
        <f>'ERPs by country'!E33</f>
        <v>0.15433762382750893</v>
      </c>
      <c r="G27" s="14">
        <f>'ERPs by country'!F33</f>
        <v>9.4937623827508935E-2</v>
      </c>
      <c r="H27" s="14">
        <f>'Country Tax Rates'!C27</f>
        <v>0.2</v>
      </c>
      <c r="I27" s="15" t="str">
        <f>VLOOKUP(A27,'Regional lookup table'!$A$2:$B$161,2)</f>
        <v>Asia</v>
      </c>
    </row>
    <row r="28" spans="1:9" ht="16">
      <c r="A28" s="8" t="str">
        <f>'Sovereign Ratings (Moody''s,S&amp;P)'!A28</f>
        <v>Cameroon</v>
      </c>
      <c r="B28" s="125">
        <f>'Country GDP'!B28</f>
        <v>45238.613479830805</v>
      </c>
      <c r="C28" s="9" t="str">
        <f>'Sovereign Ratings (Moody''s,S&amp;P)'!C28</f>
        <v>B2</v>
      </c>
      <c r="D28" s="11">
        <f>'10-year CDS Spreads'!C28</f>
        <v>6.6799999999999998E-2</v>
      </c>
      <c r="E28" s="21">
        <f>'ERPs by country'!D34</f>
        <v>6.7301834862385335E-2</v>
      </c>
      <c r="F28" s="10">
        <f>'ERPs by country'!E34</f>
        <v>0.15433762382750893</v>
      </c>
      <c r="G28" s="14">
        <f>'ERPs by country'!F34</f>
        <v>9.4937623827508935E-2</v>
      </c>
      <c r="H28" s="14">
        <f>'Country Tax Rates'!C28</f>
        <v>0.33</v>
      </c>
      <c r="I28" s="15" t="str">
        <f>VLOOKUP(A28,'Regional lookup table'!$A$2:$B$161,2)</f>
        <v>Africa</v>
      </c>
    </row>
    <row r="29" spans="1:9" ht="16">
      <c r="A29" s="8" t="str">
        <f>'Sovereign Ratings (Moody''s,S&amp;P)'!A29</f>
        <v>Canada</v>
      </c>
      <c r="B29" s="125">
        <f>'Country GDP'!B29</f>
        <v>1990761.6096652299</v>
      </c>
      <c r="C29" s="9" t="str">
        <f>'Sovereign Ratings (Moody''s,S&amp;P)'!C29</f>
        <v>Aaa</v>
      </c>
      <c r="D29" s="11">
        <f>'10-year CDS Spreads'!C29</f>
        <v>3.5999999999999999E-3</v>
      </c>
      <c r="E29" s="21">
        <f>'ERPs by country'!D35</f>
        <v>0</v>
      </c>
      <c r="F29" s="10">
        <f>'ERPs by country'!E35</f>
        <v>5.9400000000000001E-2</v>
      </c>
      <c r="G29" s="14">
        <f>'ERPs by country'!F35</f>
        <v>0</v>
      </c>
      <c r="H29" s="14">
        <f>'Country Tax Rates'!C29</f>
        <v>0.25</v>
      </c>
      <c r="I29" s="15" t="str">
        <f>VLOOKUP(A29,'Regional lookup table'!$A$2:$B$161,2)</f>
        <v>North America</v>
      </c>
    </row>
    <row r="30" spans="1:9" ht="16">
      <c r="A30" s="8" t="str">
        <f>'Sovereign Ratings (Moody''s,S&amp;P)'!A30</f>
        <v>Cape Verde</v>
      </c>
      <c r="B30" s="125">
        <f>'Country GDP'!B30</f>
        <v>1.7</v>
      </c>
      <c r="C30" s="9" t="str">
        <f>'Sovereign Ratings (Moody''s,S&amp;P)'!C30</f>
        <v>B3</v>
      </c>
      <c r="D30" s="11" t="str">
        <f>'10-year CDS Spreads'!C30</f>
        <v>NA</v>
      </c>
      <c r="E30" s="21">
        <f>'ERPs by country'!D36</f>
        <v>7.9525458715596339E-2</v>
      </c>
      <c r="F30" s="10">
        <f>'ERPs by country'!E36</f>
        <v>0.17158056832609495</v>
      </c>
      <c r="G30" s="14">
        <f>'ERPs by country'!F36</f>
        <v>0.11218056832609494</v>
      </c>
      <c r="H30" s="14">
        <f>'Country Tax Rates'!C30</f>
        <v>0</v>
      </c>
      <c r="I30" s="15" t="str">
        <f>VLOOKUP(A30,'Regional lookup table'!$A$2:$B$161,2)</f>
        <v>Africa</v>
      </c>
    </row>
    <row r="31" spans="1:9" ht="16">
      <c r="A31" s="8" t="str">
        <f>'Sovereign Ratings (Moody''s,S&amp;P)'!A31</f>
        <v>Cayman Islands</v>
      </c>
      <c r="B31" s="125">
        <f>'Country GDP'!B31</f>
        <v>5608.9891955291996</v>
      </c>
      <c r="C31" s="9" t="str">
        <f>'Sovereign Ratings (Moody''s,S&amp;P)'!C31</f>
        <v>Aa3</v>
      </c>
      <c r="D31" s="11" t="str">
        <f>'10-year CDS Spreads'!C31</f>
        <v>NA</v>
      </c>
      <c r="E31" s="21">
        <f>'ERPs by country'!D37</f>
        <v>7.3341743119266058E-3</v>
      </c>
      <c r="F31" s="10">
        <f>'ERPs by country'!E37</f>
        <v>6.9745766699151612E-2</v>
      </c>
      <c r="G31" s="14">
        <f>'ERPs by country'!F37</f>
        <v>1.0345766699151613E-2</v>
      </c>
      <c r="H31" s="14">
        <f>'Country Tax Rates'!C31</f>
        <v>0</v>
      </c>
      <c r="I31" s="15" t="str">
        <f>VLOOKUP(A31,'Regional lookup table'!$A$2:$B$161,2)</f>
        <v>Caribbean</v>
      </c>
    </row>
    <row r="32" spans="1:9" ht="16">
      <c r="A32" s="8" t="str">
        <f>'Sovereign Ratings (Moody''s,S&amp;P)'!A32</f>
        <v>Chile</v>
      </c>
      <c r="B32" s="125">
        <f>'Country GDP'!B32</f>
        <v>317058.50865176</v>
      </c>
      <c r="C32" s="9" t="str">
        <f>'Sovereign Ratings (Moody''s,S&amp;P)'!C32</f>
        <v>A2</v>
      </c>
      <c r="D32" s="11">
        <f>'10-year CDS Spreads'!C32</f>
        <v>1.7600000000000001E-2</v>
      </c>
      <c r="E32" s="21">
        <f>'ERPs by country'!D38</f>
        <v>1.0354128440366973E-2</v>
      </c>
      <c r="F32" s="10">
        <f>'ERPs by country'!E38</f>
        <v>7.4005788281155213E-2</v>
      </c>
      <c r="G32" s="14">
        <f>'ERPs by country'!F38</f>
        <v>1.4605788281155217E-2</v>
      </c>
      <c r="H32" s="14">
        <f>'Country Tax Rates'!C32</f>
        <v>0.27</v>
      </c>
      <c r="I32" s="15" t="str">
        <f>VLOOKUP(A32,'Regional lookup table'!$A$2:$B$161,2)</f>
        <v>Central and South America</v>
      </c>
    </row>
    <row r="33" spans="1:9" ht="16">
      <c r="A33" s="8" t="str">
        <f>'Sovereign Ratings (Moody''s,S&amp;P)'!A33</f>
        <v>China</v>
      </c>
      <c r="B33" s="125">
        <f>'Country GDP'!B33</f>
        <v>17734062.6453714</v>
      </c>
      <c r="C33" s="9" t="str">
        <f>'Sovereign Ratings (Moody''s,S&amp;P)'!C33</f>
        <v>A1</v>
      </c>
      <c r="D33" s="11">
        <f>'10-year CDS Spreads'!C33</f>
        <v>1.11E-2</v>
      </c>
      <c r="E33" s="21">
        <f>'ERPs by country'!D39</f>
        <v>8.6284403669724778E-3</v>
      </c>
      <c r="F33" s="10">
        <f>'ERPs by country'!E39</f>
        <v>7.1571490234296015E-2</v>
      </c>
      <c r="G33" s="14">
        <f>'ERPs by country'!F39</f>
        <v>1.2171490234296015E-2</v>
      </c>
      <c r="H33" s="14">
        <f>'Country Tax Rates'!C33</f>
        <v>0.25</v>
      </c>
      <c r="I33" s="15" t="str">
        <f>VLOOKUP(A33,'Regional lookup table'!$A$2:$B$161,2)</f>
        <v>Asia</v>
      </c>
    </row>
    <row r="34" spans="1:9" ht="16">
      <c r="A34" s="8" t="str">
        <f>'Sovereign Ratings (Moody''s,S&amp;P)'!A34</f>
        <v>Colombia</v>
      </c>
      <c r="B34" s="125">
        <f>'Country GDP'!B34</f>
        <v>314322.45322829497</v>
      </c>
      <c r="C34" s="9" t="str">
        <f>'Sovereign Ratings (Moody''s,S&amp;P)'!C34</f>
        <v>Baa2</v>
      </c>
      <c r="D34" s="11">
        <f>'10-year CDS Spreads'!C34</f>
        <v>3.6499999999999998E-2</v>
      </c>
      <c r="E34" s="21">
        <f>'ERPs by country'!D40</f>
        <v>2.3296788990825688E-2</v>
      </c>
      <c r="F34" s="10">
        <f>'ERPs by country'!E40</f>
        <v>9.2263023632599236E-2</v>
      </c>
      <c r="G34" s="14">
        <f>'ERPs by country'!F40</f>
        <v>3.2863023632599235E-2</v>
      </c>
      <c r="H34" s="14">
        <f>'Country Tax Rates'!C34</f>
        <v>0.35</v>
      </c>
      <c r="I34" s="15" t="str">
        <f>VLOOKUP(A34,'Regional lookup table'!$A$2:$B$161,2)</f>
        <v>Central and South America</v>
      </c>
    </row>
    <row r="35" spans="1:9" ht="16">
      <c r="A35" s="8" t="str">
        <f>'Sovereign Ratings (Moody''s,S&amp;P)'!A35</f>
        <v>Congo (Democratic Republic of)</v>
      </c>
      <c r="B35" s="125">
        <f>'Country GDP'!B35</f>
        <v>53958.573693051301</v>
      </c>
      <c r="C35" s="9" t="str">
        <f>'Sovereign Ratings (Moody''s,S&amp;P)'!C35</f>
        <v>B3</v>
      </c>
      <c r="D35" s="11" t="str">
        <f>'10-year CDS Spreads'!C35</f>
        <v>NA</v>
      </c>
      <c r="E35" s="21">
        <f>'ERPs by country'!D41</f>
        <v>7.9525458715596339E-2</v>
      </c>
      <c r="F35" s="10">
        <f>'ERPs by country'!E41</f>
        <v>0.17158056832609495</v>
      </c>
      <c r="G35" s="14">
        <f>'ERPs by country'!F41</f>
        <v>0.11218056832609494</v>
      </c>
      <c r="H35" s="14">
        <f>'Country Tax Rates'!C35</f>
        <v>0.3</v>
      </c>
      <c r="I35" s="15" t="str">
        <f>VLOOKUP(A35,'Regional lookup table'!$A$2:$B$161,2)</f>
        <v>Africa</v>
      </c>
    </row>
    <row r="36" spans="1:9" ht="16">
      <c r="A36" s="8" t="str">
        <f>'Sovereign Ratings (Moody''s,S&amp;P)'!A36</f>
        <v>Congo (Republic of)</v>
      </c>
      <c r="B36" s="125">
        <f>'Country GDP'!B36</f>
        <v>12523.9616772966</v>
      </c>
      <c r="C36" s="9" t="str">
        <f>'Sovereign Ratings (Moody''s,S&amp;P)'!C36</f>
        <v>Caa2</v>
      </c>
      <c r="D36" s="11" t="str">
        <f>'10-year CDS Spreads'!C36</f>
        <v>NA</v>
      </c>
      <c r="E36" s="21">
        <f>'ERPs by country'!D42</f>
        <v>0.11015642201834862</v>
      </c>
      <c r="F36" s="10">
        <f>'ERPs by country'!E42</f>
        <v>0.21478935865784579</v>
      </c>
      <c r="G36" s="14">
        <f>'ERPs by country'!F42</f>
        <v>0.15538935865784578</v>
      </c>
      <c r="H36" s="14">
        <f>'Country Tax Rates'!C36</f>
        <v>0.28000000000000003</v>
      </c>
      <c r="I36" s="15" t="str">
        <f>VLOOKUP(A36,'Regional lookup table'!$A$2:$B$161,2)</f>
        <v>Africa</v>
      </c>
    </row>
    <row r="37" spans="1:9" ht="16">
      <c r="A37" s="8" t="str">
        <f>'Sovereign Ratings (Moody''s,S&amp;P)'!A37</f>
        <v>Cook Islands</v>
      </c>
      <c r="B37" s="125">
        <f>'Country GDP'!B37</f>
        <v>0.38400000000000001</v>
      </c>
      <c r="C37" s="9" t="str">
        <f>'Sovereign Ratings (Moody''s,S&amp;P)'!C37</f>
        <v>B1</v>
      </c>
      <c r="D37" s="11" t="str">
        <f>'10-year CDS Spreads'!C37</f>
        <v>NA</v>
      </c>
      <c r="E37" s="21">
        <f>'ERPs by country'!D43</f>
        <v>5.5078211009174309E-2</v>
      </c>
      <c r="F37" s="10">
        <f>'ERPs by country'!E43</f>
        <v>0.13709467932892289</v>
      </c>
      <c r="G37" s="14">
        <f>'ERPs by country'!F43</f>
        <v>7.7694679328922892E-2</v>
      </c>
      <c r="H37" s="14">
        <f>'Country Tax Rates'!C37</f>
        <v>0.2843</v>
      </c>
      <c r="I37" s="15" t="str">
        <f>VLOOKUP(A37,'Regional lookup table'!$A$2:$B$161,2)</f>
        <v>Australia &amp; New Zealand</v>
      </c>
    </row>
    <row r="38" spans="1:9" ht="16">
      <c r="A38" s="8" t="str">
        <f>'Sovereign Ratings (Moody''s,S&amp;P)'!A38</f>
        <v>Costa Rica</v>
      </c>
      <c r="B38" s="125">
        <f>'Country GDP'!B38</f>
        <v>64282.438666738999</v>
      </c>
      <c r="C38" s="9" t="str">
        <f>'Sovereign Ratings (Moody''s,S&amp;P)'!C38</f>
        <v>B2</v>
      </c>
      <c r="D38" s="11">
        <f>'10-year CDS Spreads'!C38</f>
        <v>4.3499999999999997E-2</v>
      </c>
      <c r="E38" s="21">
        <f>'ERPs by country'!D44</f>
        <v>6.7301834862385335E-2</v>
      </c>
      <c r="F38" s="10">
        <f>'ERPs by country'!E44</f>
        <v>0.15433762382750893</v>
      </c>
      <c r="G38" s="14">
        <f>'ERPs by country'!F44</f>
        <v>9.4937623827508935E-2</v>
      </c>
      <c r="H38" s="14">
        <f>'Country Tax Rates'!C38</f>
        <v>0.3</v>
      </c>
      <c r="I38" s="15" t="str">
        <f>VLOOKUP(A38,'Regional lookup table'!$A$2:$B$161,2)</f>
        <v>Central and South America</v>
      </c>
    </row>
    <row r="39" spans="1:9" ht="16">
      <c r="A39" s="8" t="str">
        <f>'Sovereign Ratings (Moody''s,S&amp;P)'!A39</f>
        <v>Côte d'Ivoire</v>
      </c>
      <c r="B39" s="125">
        <f>'Country GDP'!B39</f>
        <v>69764.827467442301</v>
      </c>
      <c r="C39" s="9" t="str">
        <f>'Sovereign Ratings (Moody''s,S&amp;P)'!C39</f>
        <v>Ba3</v>
      </c>
      <c r="D39" s="11" t="str">
        <f>'10-year CDS Spreads'!C39</f>
        <v>NA</v>
      </c>
      <c r="E39" s="21">
        <f>'ERPs by country'!D45</f>
        <v>4.4005045871559637E-2</v>
      </c>
      <c r="F39" s="10">
        <f>'ERPs by country'!E45</f>
        <v>0.12147460019490969</v>
      </c>
      <c r="G39" s="14">
        <f>'ERPs by country'!F45</f>
        <v>6.2074600194909679E-2</v>
      </c>
      <c r="H39" s="14">
        <f>'Country Tax Rates'!C39</f>
        <v>0.25</v>
      </c>
      <c r="I39" s="15" t="str">
        <f>VLOOKUP(A39,'Regional lookup table'!$A$2:$B$161,2)</f>
        <v>Africa</v>
      </c>
    </row>
    <row r="40" spans="1:9" ht="16">
      <c r="A40" s="8" t="str">
        <f>'Sovereign Ratings (Moody''s,S&amp;P)'!A40</f>
        <v>Croatia</v>
      </c>
      <c r="B40" s="125">
        <f>'Country GDP'!B40</f>
        <v>67837.788543585193</v>
      </c>
      <c r="C40" s="9" t="str">
        <f>'Sovereign Ratings (Moody''s,S&amp;P)'!C40</f>
        <v>Baa2</v>
      </c>
      <c r="D40" s="11">
        <f>'10-year CDS Spreads'!C40</f>
        <v>1.34E-2</v>
      </c>
      <c r="E40" s="21">
        <f>'ERPs by country'!D46</f>
        <v>2.3296788990825688E-2</v>
      </c>
      <c r="F40" s="10">
        <f>'ERPs by country'!E46</f>
        <v>9.2263023632599236E-2</v>
      </c>
      <c r="G40" s="14">
        <f>'ERPs by country'!F46</f>
        <v>3.2863023632599235E-2</v>
      </c>
      <c r="H40" s="14">
        <f>'Country Tax Rates'!C40</f>
        <v>0.18</v>
      </c>
      <c r="I40" s="15" t="str">
        <f>VLOOKUP(A40,'Regional lookup table'!$A$2:$B$161,2)</f>
        <v>Eastern Europe &amp; Russia</v>
      </c>
    </row>
    <row r="41" spans="1:9" ht="16">
      <c r="A41" s="8" t="str">
        <f>'Sovereign Ratings (Moody''s,S&amp;P)'!A41</f>
        <v>Cuba</v>
      </c>
      <c r="B41" s="125">
        <f>'Country GDP'!B41</f>
        <v>107352</v>
      </c>
      <c r="C41" s="9" t="str">
        <f>'Sovereign Ratings (Moody''s,S&amp;P)'!C41</f>
        <v>Ca</v>
      </c>
      <c r="D41" s="11" t="str">
        <f>'10-year CDS Spreads'!C41</f>
        <v>NA</v>
      </c>
      <c r="E41" s="21">
        <f>'ERPs by country'!D47</f>
        <v>0.14682729357798166</v>
      </c>
      <c r="F41" s="10">
        <f>'ERPs by country'!E47</f>
        <v>0.26651819215360384</v>
      </c>
      <c r="G41" s="14">
        <f>'ERPs by country'!F47</f>
        <v>0.20711819215360386</v>
      </c>
      <c r="H41" s="14">
        <f>'Country Tax Rates'!C41</f>
        <v>0.27179999999999999</v>
      </c>
      <c r="I41" s="15" t="str">
        <f>VLOOKUP(A41,'Regional lookup table'!$A$2:$B$161,2)</f>
        <v>Caribbean</v>
      </c>
    </row>
    <row r="42" spans="1:9" ht="16">
      <c r="A42" s="8" t="str">
        <f>'Sovereign Ratings (Moody''s,S&amp;P)'!A42</f>
        <v>Curacao</v>
      </c>
      <c r="B42" s="125">
        <f>'Country GDP'!B42</f>
        <v>3.1</v>
      </c>
      <c r="C42" s="9" t="str">
        <f>'Sovereign Ratings (Moody''s,S&amp;P)'!C42</f>
        <v>Baa2</v>
      </c>
      <c r="D42" s="11" t="str">
        <f>'10-year CDS Spreads'!C42</f>
        <v>NA</v>
      </c>
      <c r="E42" s="21">
        <f>'ERPs by country'!D48</f>
        <v>2.3296788990825688E-2</v>
      </c>
      <c r="F42" s="10">
        <f>'ERPs by country'!E48</f>
        <v>9.2263023632599236E-2</v>
      </c>
      <c r="G42" s="14">
        <f>'ERPs by country'!F48</f>
        <v>3.2863023632599235E-2</v>
      </c>
      <c r="H42" s="14">
        <f>'Country Tax Rates'!C42</f>
        <v>0.22</v>
      </c>
      <c r="I42" s="15" t="str">
        <f>VLOOKUP(A42,'Regional lookup table'!$A$2:$B$161,2)</f>
        <v>Caribbean</v>
      </c>
    </row>
    <row r="43" spans="1:9" ht="16">
      <c r="A43" s="8" t="str">
        <f>'Sovereign Ratings (Moody''s,S&amp;P)'!A43</f>
        <v>Cyprus</v>
      </c>
      <c r="B43" s="125">
        <f>'Country GDP'!B43</f>
        <v>27719.3376700177</v>
      </c>
      <c r="C43" s="9" t="str">
        <f>'Sovereign Ratings (Moody''s,S&amp;P)'!C43</f>
        <v>Ba1</v>
      </c>
      <c r="D43" s="11">
        <f>'10-year CDS Spreads'!C43</f>
        <v>1.3299999999999999E-2</v>
      </c>
      <c r="E43" s="21">
        <f>'ERPs by country'!D49</f>
        <v>3.0630963302752296E-2</v>
      </c>
      <c r="F43" s="10">
        <f>'ERPs by country'!E49</f>
        <v>0.10260879033175085</v>
      </c>
      <c r="G43" s="14">
        <f>'ERPs by country'!F49</f>
        <v>4.3208790331750853E-2</v>
      </c>
      <c r="H43" s="14">
        <f>'Country Tax Rates'!C43</f>
        <v>0.125</v>
      </c>
      <c r="I43" s="15" t="str">
        <f>VLOOKUP(A43,'Regional lookup table'!$A$2:$B$161,2)</f>
        <v>Western Europe</v>
      </c>
    </row>
    <row r="44" spans="1:9" ht="16">
      <c r="A44" s="8" t="str">
        <f>'Sovereign Ratings (Moody''s,S&amp;P)'!A44</f>
        <v>Czech Republic</v>
      </c>
      <c r="B44" s="125">
        <f>'Country GDP'!B44</f>
        <v>282340.84985661402</v>
      </c>
      <c r="C44" s="9" t="str">
        <f>'Sovereign Ratings (Moody''s,S&amp;P)'!C44</f>
        <v>Aa3</v>
      </c>
      <c r="D44" s="11">
        <f>'10-year CDS Spreads'!C44</f>
        <v>6.1999999999999998E-3</v>
      </c>
      <c r="E44" s="21">
        <f>'ERPs by country'!D50</f>
        <v>7.3341743119266058E-3</v>
      </c>
      <c r="F44" s="10">
        <f>'ERPs by country'!E50</f>
        <v>6.9745766699151612E-2</v>
      </c>
      <c r="G44" s="14">
        <f>'ERPs by country'!F50</f>
        <v>1.0345766699151613E-2</v>
      </c>
      <c r="H44" s="14">
        <f>'Country Tax Rates'!C44</f>
        <v>0.19</v>
      </c>
      <c r="I44" s="15" t="str">
        <f>VLOOKUP(A44,'Regional lookup table'!$A$2:$B$161,2)</f>
        <v>Eastern Europe &amp; Russia</v>
      </c>
    </row>
    <row r="45" spans="1:9" ht="16">
      <c r="A45" s="8" t="str">
        <f>'Sovereign Ratings (Moody''s,S&amp;P)'!A45</f>
        <v>Denmark</v>
      </c>
      <c r="B45" s="125">
        <f>'Country GDP'!B45</f>
        <v>397104.34347830102</v>
      </c>
      <c r="C45" s="9" t="str">
        <f>'Sovereign Ratings (Moody''s,S&amp;P)'!C45</f>
        <v>Aaa</v>
      </c>
      <c r="D45" s="11">
        <f>'10-year CDS Spreads'!C45</f>
        <v>2.3E-3</v>
      </c>
      <c r="E45" s="21">
        <f>'ERPs by country'!D51</f>
        <v>0</v>
      </c>
      <c r="F45" s="10">
        <f>'ERPs by country'!E51</f>
        <v>5.9400000000000001E-2</v>
      </c>
      <c r="G45" s="14">
        <f>'ERPs by country'!F51</f>
        <v>0</v>
      </c>
      <c r="H45" s="14">
        <f>'Country Tax Rates'!C45</f>
        <v>0.22</v>
      </c>
      <c r="I45" s="15" t="str">
        <f>VLOOKUP(A45,'Regional lookup table'!$A$2:$B$161,2)</f>
        <v>Western Europe</v>
      </c>
    </row>
    <row r="46" spans="1:9" ht="16">
      <c r="A46" s="8" t="str">
        <f>'Sovereign Ratings (Moody''s,S&amp;P)'!A46</f>
        <v>Dominican Republic</v>
      </c>
      <c r="B46" s="125">
        <f>'Country GDP'!B46</f>
        <v>94243.453937446204</v>
      </c>
      <c r="C46" s="9" t="str">
        <f>'Sovereign Ratings (Moody''s,S&amp;P)'!C46</f>
        <v>Ba3</v>
      </c>
      <c r="D46" s="11" t="str">
        <f>'10-year CDS Spreads'!C46</f>
        <v>NA</v>
      </c>
      <c r="E46" s="21">
        <f>'ERPs by country'!D52</f>
        <v>4.4005045871559637E-2</v>
      </c>
      <c r="F46" s="10">
        <f>'ERPs by country'!E52</f>
        <v>0.12147460019490969</v>
      </c>
      <c r="G46" s="14">
        <f>'ERPs by country'!F52</f>
        <v>6.2074600194909679E-2</v>
      </c>
      <c r="H46" s="14">
        <f>'Country Tax Rates'!C46</f>
        <v>0.27</v>
      </c>
      <c r="I46" s="15" t="str">
        <f>VLOOKUP(A46,'Regional lookup table'!$A$2:$B$161,2)</f>
        <v>Caribbean</v>
      </c>
    </row>
    <row r="47" spans="1:9" ht="16">
      <c r="A47" s="8" t="str">
        <f>'Sovereign Ratings (Moody''s,S&amp;P)'!A47</f>
        <v>Ecuador</v>
      </c>
      <c r="B47" s="125">
        <f>'Country GDP'!B47</f>
        <v>106165.86599999999</v>
      </c>
      <c r="C47" s="9" t="str">
        <f>'Sovereign Ratings (Moody''s,S&amp;P)'!C47</f>
        <v>Caa3</v>
      </c>
      <c r="D47" s="11">
        <f>'10-year CDS Spreads'!C47</f>
        <v>0.16930000000000001</v>
      </c>
      <c r="E47" s="21">
        <f>'ERPs by country'!D53</f>
        <v>0.12238004587155965</v>
      </c>
      <c r="F47" s="10">
        <f>'ERPs by country'!E53</f>
        <v>0.23203230315643184</v>
      </c>
      <c r="G47" s="14">
        <f>'ERPs by country'!F53</f>
        <v>0.17263230315643183</v>
      </c>
      <c r="H47" s="14">
        <f>'Country Tax Rates'!C47</f>
        <v>0.25</v>
      </c>
      <c r="I47" s="15" t="str">
        <f>VLOOKUP(A47,'Regional lookup table'!$A$2:$B$161,2)</f>
        <v>Central and South America</v>
      </c>
    </row>
    <row r="48" spans="1:9" ht="16">
      <c r="A48" s="8" t="str">
        <f>'Sovereign Ratings (Moody''s,S&amp;P)'!A48</f>
        <v>Egypt</v>
      </c>
      <c r="B48" s="125">
        <f>'Country GDP'!B48</f>
        <v>404142.76609305298</v>
      </c>
      <c r="C48" s="9" t="str">
        <f>'Sovereign Ratings (Moody''s,S&amp;P)'!C48</f>
        <v>B2</v>
      </c>
      <c r="D48" s="11">
        <f>'10-year CDS Spreads'!C48</f>
        <v>8.0100000000000005E-2</v>
      </c>
      <c r="E48" s="21">
        <f>'ERPs by country'!D54</f>
        <v>6.7301834862385335E-2</v>
      </c>
      <c r="F48" s="10">
        <f>'ERPs by country'!E54</f>
        <v>0.15433762382750893</v>
      </c>
      <c r="G48" s="14">
        <f>'ERPs by country'!F54</f>
        <v>9.4937623827508935E-2</v>
      </c>
      <c r="H48" s="14">
        <f>'Country Tax Rates'!C48</f>
        <v>0.22500000000000001</v>
      </c>
      <c r="I48" s="15" t="str">
        <f>VLOOKUP(A48,'Regional lookup table'!$A$2:$B$161,2)</f>
        <v>Africa</v>
      </c>
    </row>
    <row r="49" spans="1:9" ht="16">
      <c r="A49" s="8" t="str">
        <f>'Sovereign Ratings (Moody''s,S&amp;P)'!A49</f>
        <v>El Salvador</v>
      </c>
      <c r="B49" s="125">
        <f>'Country GDP'!B49</f>
        <v>28736.94</v>
      </c>
      <c r="C49" s="9" t="str">
        <f>'Sovereign Ratings (Moody''s,S&amp;P)'!C49</f>
        <v>Caa3</v>
      </c>
      <c r="D49" s="11">
        <f>'10-year CDS Spreads'!C49</f>
        <v>0.27460000000000001</v>
      </c>
      <c r="E49" s="21">
        <f>'ERPs by country'!D55</f>
        <v>0.12238004587155965</v>
      </c>
      <c r="F49" s="10">
        <f>'ERPs by country'!E55</f>
        <v>0.23203230315643184</v>
      </c>
      <c r="G49" s="14">
        <f>'ERPs by country'!F55</f>
        <v>0.17263230315643183</v>
      </c>
      <c r="H49" s="14">
        <f>'Country Tax Rates'!C49</f>
        <v>0.3</v>
      </c>
      <c r="I49" s="15" t="str">
        <f>VLOOKUP(A49,'Regional lookup table'!$A$2:$B$161,2)</f>
        <v>Central and South America</v>
      </c>
    </row>
    <row r="50" spans="1:9" ht="16">
      <c r="A50" s="8" t="str">
        <f>'Sovereign Ratings (Moody''s,S&amp;P)'!A50</f>
        <v>Estonia</v>
      </c>
      <c r="B50" s="125">
        <f>'Country GDP'!B50</f>
        <v>36262.924353604103</v>
      </c>
      <c r="C50" s="9" t="str">
        <f>'Sovereign Ratings (Moody''s,S&amp;P)'!C50</f>
        <v>A1</v>
      </c>
      <c r="D50" s="11">
        <f>'10-year CDS Spreads'!C50</f>
        <v>1.7600000000000001E-2</v>
      </c>
      <c r="E50" s="21">
        <f>'ERPs by country'!D56</f>
        <v>8.6284403669724778E-3</v>
      </c>
      <c r="F50" s="10">
        <f>'ERPs by country'!E56</f>
        <v>7.1571490234296015E-2</v>
      </c>
      <c r="G50" s="14">
        <f>'ERPs by country'!F56</f>
        <v>1.2171490234296015E-2</v>
      </c>
      <c r="H50" s="14">
        <f>'Country Tax Rates'!C50</f>
        <v>0.2</v>
      </c>
      <c r="I50" s="15" t="str">
        <f>VLOOKUP(A50,'Regional lookup table'!$A$2:$B$161,2)</f>
        <v>Eastern Europe &amp; Russia</v>
      </c>
    </row>
    <row r="51" spans="1:9" ht="16">
      <c r="A51" s="8" t="str">
        <f>'Sovereign Ratings (Moody''s,S&amp;P)'!A51</f>
        <v>Ethiopia</v>
      </c>
      <c r="B51" s="125">
        <f>'Country GDP'!B51</f>
        <v>111271.112329975</v>
      </c>
      <c r="C51" s="9" t="str">
        <f>'Sovereign Ratings (Moody''s,S&amp;P)'!C51</f>
        <v>Caa2</v>
      </c>
      <c r="D51" s="11">
        <f>'10-year CDS Spreads'!C51</f>
        <v>0.2833</v>
      </c>
      <c r="E51" s="21">
        <f>'ERPs by country'!D57</f>
        <v>0.11015642201834862</v>
      </c>
      <c r="F51" s="10">
        <f>'ERPs by country'!E57</f>
        <v>0.21478935865784579</v>
      </c>
      <c r="G51" s="14">
        <f>'ERPs by country'!F57</f>
        <v>0.15538935865784578</v>
      </c>
      <c r="H51" s="14">
        <f>'Country Tax Rates'!C51</f>
        <v>0.3</v>
      </c>
      <c r="I51" s="15" t="str">
        <f>VLOOKUP(A51,'Regional lookup table'!$A$2:$B$161,2)</f>
        <v>Africa</v>
      </c>
    </row>
    <row r="52" spans="1:9" ht="16">
      <c r="A52" s="8" t="str">
        <f>'Sovereign Ratings (Moody''s,S&amp;P)'!A52</f>
        <v>Fiji</v>
      </c>
      <c r="B52" s="125">
        <f>'Country GDP'!B52</f>
        <v>4592.1187095527894</v>
      </c>
      <c r="C52" s="9" t="str">
        <f>'Sovereign Ratings (Moody''s,S&amp;P)'!C52</f>
        <v>B1</v>
      </c>
      <c r="D52" s="11" t="str">
        <f>'10-year CDS Spreads'!C52</f>
        <v>NA</v>
      </c>
      <c r="E52" s="21">
        <f>'ERPs by country'!D58</f>
        <v>5.5078211009174309E-2</v>
      </c>
      <c r="F52" s="10">
        <f>'ERPs by country'!E58</f>
        <v>0.13709467932892289</v>
      </c>
      <c r="G52" s="14">
        <f>'ERPs by country'!F58</f>
        <v>7.7694679328922892E-2</v>
      </c>
      <c r="H52" s="14">
        <f>'Country Tax Rates'!C52</f>
        <v>0.2</v>
      </c>
      <c r="I52" s="15" t="str">
        <f>VLOOKUP(A52,'Regional lookup table'!$A$2:$B$161,2)</f>
        <v>Asia</v>
      </c>
    </row>
    <row r="53" spans="1:9" ht="16">
      <c r="A53" s="8" t="str">
        <f>'Sovereign Ratings (Moody''s,S&amp;P)'!A53</f>
        <v>Finland</v>
      </c>
      <c r="B53" s="125">
        <f>'Country GDP'!B53</f>
        <v>299155.23758914205</v>
      </c>
      <c r="C53" s="9" t="str">
        <f>'Sovereign Ratings (Moody''s,S&amp;P)'!C53</f>
        <v>Aa1</v>
      </c>
      <c r="D53" s="11">
        <f>'10-year CDS Spreads'!C53</f>
        <v>3.3999999999999998E-3</v>
      </c>
      <c r="E53" s="21">
        <f>'ERPs by country'!D59</f>
        <v>4.8894495412844033E-3</v>
      </c>
      <c r="F53" s="10">
        <f>'ERPs by country'!E59</f>
        <v>6.6297177799434406E-2</v>
      </c>
      <c r="G53" s="14">
        <f>'ERPs by country'!F59</f>
        <v>6.8971777994344076E-3</v>
      </c>
      <c r="H53" s="14">
        <f>'Country Tax Rates'!C53</f>
        <v>0.2</v>
      </c>
      <c r="I53" s="15" t="str">
        <f>VLOOKUP(A53,'Regional lookup table'!$A$2:$B$161,2)</f>
        <v>Western Europe</v>
      </c>
    </row>
    <row r="54" spans="1:9" ht="16">
      <c r="A54" s="8" t="str">
        <f>'Sovereign Ratings (Moody''s,S&amp;P)'!A54</f>
        <v>France</v>
      </c>
      <c r="B54" s="125">
        <f>'Country GDP'!B54</f>
        <v>2937472.7579534398</v>
      </c>
      <c r="C54" s="9" t="str">
        <f>'Sovereign Ratings (Moody''s,S&amp;P)'!C54</f>
        <v>Aa2</v>
      </c>
      <c r="D54" s="11">
        <f>'10-year CDS Spreads'!C54</f>
        <v>4.1999999999999997E-3</v>
      </c>
      <c r="E54" s="21">
        <f>'ERPs by country'!D60</f>
        <v>6.0399082568807346E-3</v>
      </c>
      <c r="F54" s="10">
        <f>'ERPs by country'!E60</f>
        <v>6.792004316400721E-2</v>
      </c>
      <c r="G54" s="14">
        <f>'ERPs by country'!F60</f>
        <v>8.5200431640072103E-3</v>
      </c>
      <c r="H54" s="14">
        <f>'Country Tax Rates'!C54</f>
        <v>0.25</v>
      </c>
      <c r="I54" s="15" t="str">
        <f>VLOOKUP(A54,'Regional lookup table'!$A$2:$B$161,2)</f>
        <v>Western Europe</v>
      </c>
    </row>
    <row r="55" spans="1:9" ht="16">
      <c r="A55" s="8" t="str">
        <f>'Sovereign Ratings (Moody''s,S&amp;P)'!A55</f>
        <v>Gabon</v>
      </c>
      <c r="B55" s="125">
        <f>'Country GDP'!B55</f>
        <v>18269.350433799198</v>
      </c>
      <c r="C55" s="9" t="str">
        <f>'Sovereign Ratings (Moody''s,S&amp;P)'!C55</f>
        <v>Caa1</v>
      </c>
      <c r="D55" s="11" t="str">
        <f>'10-year CDS Spreads'!C55</f>
        <v>NA</v>
      </c>
      <c r="E55" s="21">
        <f>'ERPs by country'!D61</f>
        <v>9.1749082568807344E-2</v>
      </c>
      <c r="F55" s="10">
        <f>'ERPs by country'!E61</f>
        <v>0.18882351282468096</v>
      </c>
      <c r="G55" s="14">
        <f>'ERPs by country'!F61</f>
        <v>0.12942351282468095</v>
      </c>
      <c r="H55" s="14">
        <f>'Country Tax Rates'!C55</f>
        <v>0.3</v>
      </c>
      <c r="I55" s="15" t="str">
        <f>VLOOKUP(A55,'Regional lookup table'!$A$2:$B$161,2)</f>
        <v>Africa</v>
      </c>
    </row>
    <row r="56" spans="1:9" ht="16">
      <c r="A56" s="8" t="str">
        <f>'Sovereign Ratings (Moody''s,S&amp;P)'!A56</f>
        <v>Georgia</v>
      </c>
      <c r="B56" s="125">
        <f>'Country GDP'!B56</f>
        <v>18700.241392157503</v>
      </c>
      <c r="C56" s="9" t="str">
        <f>'Sovereign Ratings (Moody''s,S&amp;P)'!C56</f>
        <v>Ba2</v>
      </c>
      <c r="D56" s="11" t="str">
        <f>'10-year CDS Spreads'!C56</f>
        <v>NA</v>
      </c>
      <c r="E56" s="21">
        <f>'ERPs by country'!D62</f>
        <v>3.6814678899082569E-2</v>
      </c>
      <c r="F56" s="10">
        <f>'ERPs by country'!E62</f>
        <v>0.11133169166632967</v>
      </c>
      <c r="G56" s="14">
        <f>'ERPs by country'!F62</f>
        <v>5.193169166632966E-2</v>
      </c>
      <c r="H56" s="14">
        <f>'Country Tax Rates'!C56</f>
        <v>0.15</v>
      </c>
      <c r="I56" s="15" t="str">
        <f>VLOOKUP(A56,'Regional lookup table'!$A$2:$B$161,2)</f>
        <v>Eastern Europe &amp; Russia</v>
      </c>
    </row>
    <row r="57" spans="1:9" ht="16">
      <c r="A57" s="8" t="str">
        <f>'Sovereign Ratings (Moody''s,S&amp;P)'!A57</f>
        <v>Germany</v>
      </c>
      <c r="B57" s="125">
        <f>'Country GDP'!B57</f>
        <v>4223116.2059689201</v>
      </c>
      <c r="C57" s="9" t="str">
        <f>'Sovereign Ratings (Moody''s,S&amp;P)'!C57</f>
        <v>Aaa</v>
      </c>
      <c r="D57" s="11">
        <f>'10-year CDS Spreads'!C57</f>
        <v>2.8E-3</v>
      </c>
      <c r="E57" s="21">
        <f>'ERPs by country'!D63</f>
        <v>0</v>
      </c>
      <c r="F57" s="10">
        <f>'ERPs by country'!E63</f>
        <v>5.9400000000000001E-2</v>
      </c>
      <c r="G57" s="14">
        <f>'ERPs by country'!F63</f>
        <v>0</v>
      </c>
      <c r="H57" s="14">
        <f>'Country Tax Rates'!C57</f>
        <v>0.3</v>
      </c>
      <c r="I57" s="15" t="str">
        <f>VLOOKUP(A57,'Regional lookup table'!$A$2:$B$161,2)</f>
        <v>Western Europe</v>
      </c>
    </row>
    <row r="58" spans="1:9" ht="16">
      <c r="A58" s="8" t="str">
        <f>'Sovereign Ratings (Moody''s,S&amp;P)'!A58</f>
        <v>Ghana</v>
      </c>
      <c r="B58" s="125">
        <f>'Country GDP'!B58</f>
        <v>77594.279054879502</v>
      </c>
      <c r="C58" s="9" t="str">
        <f>'Sovereign Ratings (Moody''s,S&amp;P)'!C58</f>
        <v>Ca</v>
      </c>
      <c r="D58" s="11" t="str">
        <f>'10-year CDS Spreads'!C58</f>
        <v>NA</v>
      </c>
      <c r="E58" s="21">
        <f>'ERPs by country'!D64</f>
        <v>0.14682729357798166</v>
      </c>
      <c r="F58" s="10">
        <f>'ERPs by country'!E64</f>
        <v>0.26651819215360384</v>
      </c>
      <c r="G58" s="14">
        <f>'ERPs by country'!F64</f>
        <v>0.20711819215360386</v>
      </c>
      <c r="H58" s="14">
        <f>'Country Tax Rates'!C58</f>
        <v>0.25</v>
      </c>
      <c r="I58" s="15" t="str">
        <f>VLOOKUP(A58,'Regional lookup table'!$A$2:$B$161,2)</f>
        <v>Africa</v>
      </c>
    </row>
    <row r="59" spans="1:9" ht="16">
      <c r="A59" s="8" t="str">
        <f>'Sovereign Ratings (Moody''s,S&amp;P)'!A59</f>
        <v>Greece</v>
      </c>
      <c r="B59" s="125">
        <f>'Country GDP'!B59</f>
        <v>216240.589485256</v>
      </c>
      <c r="C59" s="9" t="str">
        <f>'Sovereign Ratings (Moody''s,S&amp;P)'!C59</f>
        <v>Ba3</v>
      </c>
      <c r="D59" s="11">
        <f>'10-year CDS Spreads'!C59</f>
        <v>1.9699999999999999E-2</v>
      </c>
      <c r="E59" s="21">
        <f>'ERPs by country'!D65</f>
        <v>4.4005045871559637E-2</v>
      </c>
      <c r="F59" s="10">
        <f>'ERPs by country'!E65</f>
        <v>0.12147460019490969</v>
      </c>
      <c r="G59" s="14">
        <f>'ERPs by country'!F65</f>
        <v>6.2074600194909679E-2</v>
      </c>
      <c r="H59" s="14">
        <f>'Country Tax Rates'!C59</f>
        <v>0.22</v>
      </c>
      <c r="I59" s="15" t="str">
        <f>VLOOKUP(A59,'Regional lookup table'!$A$2:$B$161,2)</f>
        <v>Western Europe</v>
      </c>
    </row>
    <row r="60" spans="1:9" ht="16">
      <c r="A60" s="8" t="str">
        <f>'Sovereign Ratings (Moody''s,S&amp;P)'!A60</f>
        <v>Guatemala</v>
      </c>
      <c r="B60" s="125">
        <f>'Country GDP'!B60</f>
        <v>85986.321551238798</v>
      </c>
      <c r="C60" s="9" t="str">
        <f>'Sovereign Ratings (Moody''s,S&amp;P)'!C60</f>
        <v>Ba1</v>
      </c>
      <c r="D60" s="11" t="str">
        <f>'10-year CDS Spreads'!C60</f>
        <v>NA</v>
      </c>
      <c r="E60" s="21">
        <f>'ERPs by country'!D66</f>
        <v>3.0630963302752296E-2</v>
      </c>
      <c r="F60" s="10">
        <f>'ERPs by country'!E66</f>
        <v>0.10260879033175085</v>
      </c>
      <c r="G60" s="14">
        <f>'ERPs by country'!F66</f>
        <v>4.3208790331750853E-2</v>
      </c>
      <c r="H60" s="14">
        <f>'Country Tax Rates'!C60</f>
        <v>0.25</v>
      </c>
      <c r="I60" s="15" t="str">
        <f>VLOOKUP(A60,'Regional lookup table'!$A$2:$B$161,2)</f>
        <v>Central and South America</v>
      </c>
    </row>
    <row r="61" spans="1:9" ht="16">
      <c r="A61" s="8" t="str">
        <f>'Sovereign Ratings (Moody''s,S&amp;P)'!A61</f>
        <v>Guernsey (States of)</v>
      </c>
      <c r="B61" s="125">
        <f>'Country GDP'!B61</f>
        <v>3180</v>
      </c>
      <c r="C61" s="9" t="str">
        <f>'Sovereign Ratings (Moody''s,S&amp;P)'!C61</f>
        <v>Aaa</v>
      </c>
      <c r="D61" s="11" t="str">
        <f>'10-year CDS Spreads'!C61</f>
        <v>NA</v>
      </c>
      <c r="E61" s="21">
        <f>'ERPs by country'!D67</f>
        <v>0</v>
      </c>
      <c r="F61" s="10">
        <f>'ERPs by country'!E67</f>
        <v>5.9400000000000001E-2</v>
      </c>
      <c r="G61" s="14">
        <f>'ERPs by country'!F67</f>
        <v>0</v>
      </c>
      <c r="H61" s="14">
        <f>'Country Tax Rates'!C61</f>
        <v>0</v>
      </c>
      <c r="I61" s="15" t="str">
        <f>VLOOKUP(A61,'Regional lookup table'!$A$2:$B$161,2)</f>
        <v>Western Europe</v>
      </c>
    </row>
    <row r="62" spans="1:9" ht="16">
      <c r="A62" s="8" t="str">
        <f>'Sovereign Ratings (Moody''s,S&amp;P)'!A62</f>
        <v>Honduras</v>
      </c>
      <c r="B62" s="125">
        <f>'Country GDP'!B62</f>
        <v>28488.6683016401</v>
      </c>
      <c r="C62" s="9" t="str">
        <f>'Sovereign Ratings (Moody''s,S&amp;P)'!C62</f>
        <v>B1</v>
      </c>
      <c r="D62" s="11" t="str">
        <f>'10-year CDS Spreads'!C62</f>
        <v>NA</v>
      </c>
      <c r="E62" s="21">
        <f>'ERPs by country'!D68</f>
        <v>5.5078211009174309E-2</v>
      </c>
      <c r="F62" s="10">
        <f>'ERPs by country'!E68</f>
        <v>0.13709467932892289</v>
      </c>
      <c r="G62" s="14">
        <f>'ERPs by country'!F68</f>
        <v>7.7694679328922892E-2</v>
      </c>
      <c r="H62" s="14">
        <f>'Country Tax Rates'!C62</f>
        <v>0.25</v>
      </c>
      <c r="I62" s="15" t="str">
        <f>VLOOKUP(A62,'Regional lookup table'!$A$2:$B$161,2)</f>
        <v>Central and South America</v>
      </c>
    </row>
    <row r="63" spans="1:9" ht="16">
      <c r="A63" s="8" t="str">
        <f>'Sovereign Ratings (Moody''s,S&amp;P)'!A63</f>
        <v>Hong Kong</v>
      </c>
      <c r="B63" s="125">
        <f>'Country GDP'!B63</f>
        <v>346600</v>
      </c>
      <c r="C63" s="9" t="str">
        <f>'Sovereign Ratings (Moody''s,S&amp;P)'!C63</f>
        <v>Aa3</v>
      </c>
      <c r="D63" s="11">
        <f>'10-year CDS Spreads'!C63</f>
        <v>7.1000000000000004E-3</v>
      </c>
      <c r="E63" s="21">
        <f>'ERPs by country'!D69</f>
        <v>7.3341743119266058E-3</v>
      </c>
      <c r="F63" s="10">
        <f>'ERPs by country'!E69</f>
        <v>6.9745766699151612E-2</v>
      </c>
      <c r="G63" s="14">
        <f>'ERPs by country'!F69</f>
        <v>1.0345766699151613E-2</v>
      </c>
      <c r="H63" s="14">
        <f>'Country Tax Rates'!C63</f>
        <v>0.16500000000000001</v>
      </c>
      <c r="I63" s="15" t="str">
        <f>VLOOKUP(A63,'Regional lookup table'!$A$2:$B$161,2)</f>
        <v>Asia</v>
      </c>
    </row>
    <row r="64" spans="1:9" ht="16">
      <c r="A64" s="8" t="str">
        <f>'Sovereign Ratings (Moody''s,S&amp;P)'!A64</f>
        <v>Hungary</v>
      </c>
      <c r="B64" s="125">
        <f>'Country GDP'!B64</f>
        <v>182280.51758121201</v>
      </c>
      <c r="C64" s="9" t="str">
        <f>'Sovereign Ratings (Moody''s,S&amp;P)'!C64</f>
        <v>Baa2</v>
      </c>
      <c r="D64" s="11">
        <f>'10-year CDS Spreads'!C64</f>
        <v>2.4299999999999999E-2</v>
      </c>
      <c r="E64" s="21">
        <f>'ERPs by country'!D70</f>
        <v>2.3296788990825688E-2</v>
      </c>
      <c r="F64" s="10">
        <f>'ERPs by country'!E70</f>
        <v>9.2263023632599236E-2</v>
      </c>
      <c r="G64" s="14">
        <f>'ERPs by country'!F70</f>
        <v>3.2863023632599235E-2</v>
      </c>
      <c r="H64" s="14">
        <f>'Country Tax Rates'!C64</f>
        <v>0.09</v>
      </c>
      <c r="I64" s="15" t="str">
        <f>VLOOKUP(A64,'Regional lookup table'!$A$2:$B$161,2)</f>
        <v>Eastern Europe &amp; Russia</v>
      </c>
    </row>
    <row r="65" spans="1:9" ht="16">
      <c r="A65" s="8" t="str">
        <f>'Sovereign Ratings (Moody''s,S&amp;P)'!A65</f>
        <v>Iceland</v>
      </c>
      <c r="B65" s="125">
        <f>'Country GDP'!B65</f>
        <v>25458.9339158742</v>
      </c>
      <c r="C65" s="9" t="str">
        <f>'Sovereign Ratings (Moody''s,S&amp;P)'!C65</f>
        <v>A2</v>
      </c>
      <c r="D65" s="11">
        <f>'10-year CDS Spreads'!C65</f>
        <v>7.3000000000000001E-3</v>
      </c>
      <c r="E65" s="21">
        <f>'ERPs by country'!D71</f>
        <v>1.0354128440366973E-2</v>
      </c>
      <c r="F65" s="10">
        <f>'ERPs by country'!E71</f>
        <v>7.4005788281155213E-2</v>
      </c>
      <c r="G65" s="14">
        <f>'ERPs by country'!F71</f>
        <v>1.4605788281155217E-2</v>
      </c>
      <c r="H65" s="14">
        <f>'Country Tax Rates'!C65</f>
        <v>0.2</v>
      </c>
      <c r="I65" s="15" t="str">
        <f>VLOOKUP(A65,'Regional lookup table'!$A$2:$B$161,2)</f>
        <v>Western Europe</v>
      </c>
    </row>
    <row r="66" spans="1:9" ht="16">
      <c r="A66" s="8" t="str">
        <f>'Sovereign Ratings (Moody''s,S&amp;P)'!A66</f>
        <v>India</v>
      </c>
      <c r="B66" s="125">
        <f>'Country GDP'!B66</f>
        <v>3173397.5908169104</v>
      </c>
      <c r="C66" s="9" t="str">
        <f>'Sovereign Ratings (Moody''s,S&amp;P)'!C66</f>
        <v>Baa3</v>
      </c>
      <c r="D66" s="11">
        <f>'10-year CDS Spreads'!C66</f>
        <v>1.67E-2</v>
      </c>
      <c r="E66" s="21">
        <f>'ERPs by country'!D72</f>
        <v>2.6891972477064225E-2</v>
      </c>
      <c r="F66" s="10">
        <f>'ERPs by country'!E72</f>
        <v>9.733447789688926E-2</v>
      </c>
      <c r="G66" s="14">
        <f>'ERPs by country'!F72</f>
        <v>3.7934477896889252E-2</v>
      </c>
      <c r="H66" s="14">
        <f>'Country Tax Rates'!C66</f>
        <v>0.3</v>
      </c>
      <c r="I66" s="15" t="str">
        <f>VLOOKUP(A66,'Regional lookup table'!$A$2:$B$161,2)</f>
        <v>Asia</v>
      </c>
    </row>
    <row r="67" spans="1:9" ht="16">
      <c r="A67" s="8" t="str">
        <f>'Sovereign Ratings (Moody''s,S&amp;P)'!A67</f>
        <v>Indonesia</v>
      </c>
      <c r="B67" s="125">
        <f>'Country GDP'!B67</f>
        <v>1186092.9913200401</v>
      </c>
      <c r="C67" s="9" t="str">
        <f>'Sovereign Ratings (Moody''s,S&amp;P)'!C67</f>
        <v>Baa2</v>
      </c>
      <c r="D67" s="11">
        <f>'10-year CDS Spreads'!C67</f>
        <v>1.7500000000000002E-2</v>
      </c>
      <c r="E67" s="21">
        <f>'ERPs by country'!D73</f>
        <v>2.3296788990825688E-2</v>
      </c>
      <c r="F67" s="10">
        <f>'ERPs by country'!E73</f>
        <v>9.2263023632599236E-2</v>
      </c>
      <c r="G67" s="14">
        <f>'ERPs by country'!F73</f>
        <v>3.2863023632599235E-2</v>
      </c>
      <c r="H67" s="14">
        <f>'Country Tax Rates'!C67</f>
        <v>0.15</v>
      </c>
      <c r="I67" s="15" t="str">
        <f>VLOOKUP(A67,'Regional lookup table'!$A$2:$B$161,2)</f>
        <v>Asia</v>
      </c>
    </row>
    <row r="68" spans="1:9" ht="16">
      <c r="A68" s="8" t="str">
        <f>'Sovereign Ratings (Moody''s,S&amp;P)'!A68</f>
        <v>Iraq</v>
      </c>
      <c r="B68" s="125">
        <f>'Country GDP'!B68</f>
        <v>207889.33372413801</v>
      </c>
      <c r="C68" s="9" t="str">
        <f>'Sovereign Ratings (Moody''s,S&amp;P)'!C68</f>
        <v>Caa1</v>
      </c>
      <c r="D68" s="11">
        <f>'10-year CDS Spreads'!C68</f>
        <v>4.6899999999999997E-2</v>
      </c>
      <c r="E68" s="21">
        <f>'ERPs by country'!D74</f>
        <v>9.1749082568807344E-2</v>
      </c>
      <c r="F68" s="10">
        <f>'ERPs by country'!E74</f>
        <v>0.18882351282468096</v>
      </c>
      <c r="G68" s="14">
        <f>'ERPs by country'!F74</f>
        <v>0.12942351282468095</v>
      </c>
      <c r="H68" s="14">
        <f>'Country Tax Rates'!C68</f>
        <v>0.15</v>
      </c>
      <c r="I68" s="15" t="str">
        <f>VLOOKUP(A68,'Regional lookup table'!$A$2:$B$161,2)</f>
        <v>Middle East</v>
      </c>
    </row>
    <row r="69" spans="1:9" ht="16">
      <c r="A69" s="8" t="str">
        <f>'Sovereign Ratings (Moody''s,S&amp;P)'!A69</f>
        <v>Ireland</v>
      </c>
      <c r="B69" s="125">
        <f>'Country GDP'!B69</f>
        <v>498559.57671472098</v>
      </c>
      <c r="C69" s="9" t="str">
        <f>'Sovereign Ratings (Moody''s,S&amp;P)'!C69</f>
        <v>A1</v>
      </c>
      <c r="D69" s="11">
        <f>'10-year CDS Spreads'!C69</f>
        <v>4.3E-3</v>
      </c>
      <c r="E69" s="21">
        <f>'ERPs by country'!D75</f>
        <v>8.6284403669724778E-3</v>
      </c>
      <c r="F69" s="10">
        <f>'ERPs by country'!E75</f>
        <v>7.1571490234296015E-2</v>
      </c>
      <c r="G69" s="14">
        <f>'ERPs by country'!F75</f>
        <v>1.2171490234296015E-2</v>
      </c>
      <c r="H69" s="14">
        <f>'Country Tax Rates'!C69</f>
        <v>0.125</v>
      </c>
      <c r="I69" s="15" t="str">
        <f>VLOOKUP(A69,'Regional lookup table'!$A$2:$B$161,2)</f>
        <v>Western Europe</v>
      </c>
    </row>
    <row r="70" spans="1:9" ht="16">
      <c r="A70" s="8" t="str">
        <f>'Sovereign Ratings (Moody''s,S&amp;P)'!A70</f>
        <v>Isle of Man</v>
      </c>
      <c r="B70" s="125">
        <f>'Country GDP'!B70</f>
        <v>7315.3880520806706</v>
      </c>
      <c r="C70" s="9" t="str">
        <f>'Sovereign Ratings (Moody''s,S&amp;P)'!C70</f>
        <v>Aa3</v>
      </c>
      <c r="D70" s="11" t="str">
        <f>'10-year CDS Spreads'!C70</f>
        <v>NA</v>
      </c>
      <c r="E70" s="21">
        <f>'ERPs by country'!D76</f>
        <v>7.3341743119266058E-3</v>
      </c>
      <c r="F70" s="10">
        <f>'ERPs by country'!E76</f>
        <v>6.9745766699151612E-2</v>
      </c>
      <c r="G70" s="14">
        <f>'ERPs by country'!F76</f>
        <v>1.0345766699151613E-2</v>
      </c>
      <c r="H70" s="14">
        <f>'Country Tax Rates'!C70</f>
        <v>0</v>
      </c>
      <c r="I70" s="15" t="str">
        <f>VLOOKUP(A70,'Regional lookup table'!$A$2:$B$161,2)</f>
        <v>Western Europe</v>
      </c>
    </row>
    <row r="71" spans="1:9" ht="16">
      <c r="A71" s="8" t="str">
        <f>'Sovereign Ratings (Moody''s,S&amp;P)'!A71</f>
        <v>Israel</v>
      </c>
      <c r="B71" s="125">
        <f>'Country GDP'!B71</f>
        <v>481591.26613340899</v>
      </c>
      <c r="C71" s="9" t="str">
        <f>'Sovereign Ratings (Moody''s,S&amp;P)'!C71</f>
        <v>A1</v>
      </c>
      <c r="D71" s="11">
        <f>'10-year CDS Spreads'!C71</f>
        <v>6.7000000000000002E-3</v>
      </c>
      <c r="E71" s="21">
        <f>'ERPs by country'!D77</f>
        <v>8.6284403669724778E-3</v>
      </c>
      <c r="F71" s="10">
        <f>'ERPs by country'!E77</f>
        <v>7.1571490234296015E-2</v>
      </c>
      <c r="G71" s="14">
        <f>'ERPs by country'!F77</f>
        <v>1.2171490234296015E-2</v>
      </c>
      <c r="H71" s="14">
        <f>'Country Tax Rates'!C71</f>
        <v>0.23</v>
      </c>
      <c r="I71" s="15" t="str">
        <f>VLOOKUP(A71,'Regional lookup table'!$A$2:$B$161,2)</f>
        <v>Middle East</v>
      </c>
    </row>
    <row r="72" spans="1:9" ht="16">
      <c r="A72" s="8" t="str">
        <f>'Sovereign Ratings (Moody''s,S&amp;P)'!A72</f>
        <v>Italy</v>
      </c>
      <c r="B72" s="125">
        <f>'Country GDP'!B72</f>
        <v>2099880.1982588801</v>
      </c>
      <c r="C72" s="9" t="str">
        <f>'Sovereign Ratings (Moody''s,S&amp;P)'!C72</f>
        <v>Baa3</v>
      </c>
      <c r="D72" s="11">
        <f>'10-year CDS Spreads'!C72</f>
        <v>1.84E-2</v>
      </c>
      <c r="E72" s="21">
        <f>'ERPs by country'!D78</f>
        <v>2.6891972477064225E-2</v>
      </c>
      <c r="F72" s="10">
        <f>'ERPs by country'!E78</f>
        <v>9.733447789688926E-2</v>
      </c>
      <c r="G72" s="14">
        <f>'ERPs by country'!F78</f>
        <v>3.7934477896889252E-2</v>
      </c>
      <c r="H72" s="14">
        <f>'Country Tax Rates'!C72</f>
        <v>0.24</v>
      </c>
      <c r="I72" s="15" t="str">
        <f>VLOOKUP(A72,'Regional lookup table'!$A$2:$B$161,2)</f>
        <v>Western Europe</v>
      </c>
    </row>
    <row r="73" spans="1:9" ht="16">
      <c r="A73" s="8" t="str">
        <f>'Sovereign Ratings (Moody''s,S&amp;P)'!A73</f>
        <v>Jamaica</v>
      </c>
      <c r="B73" s="125">
        <f>'Country GDP'!B73</f>
        <v>13638.230995679001</v>
      </c>
      <c r="C73" s="9" t="str">
        <f>'Sovereign Ratings (Moody''s,S&amp;P)'!C73</f>
        <v>B2</v>
      </c>
      <c r="D73" s="11" t="str">
        <f>'10-year CDS Spreads'!C73</f>
        <v>NA</v>
      </c>
      <c r="E73" s="21">
        <f>'ERPs by country'!D79</f>
        <v>6.7301834862385335E-2</v>
      </c>
      <c r="F73" s="10">
        <f>'ERPs by country'!E79</f>
        <v>0.15433762382750893</v>
      </c>
      <c r="G73" s="14">
        <f>'ERPs by country'!F79</f>
        <v>9.4937623827508935E-2</v>
      </c>
      <c r="H73" s="14">
        <f>'Country Tax Rates'!C73</f>
        <v>0.25</v>
      </c>
      <c r="I73" s="15" t="str">
        <f>VLOOKUP(A73,'Regional lookup table'!$A$2:$B$161,2)</f>
        <v>Caribbean</v>
      </c>
    </row>
    <row r="74" spans="1:9" ht="16">
      <c r="A74" s="8" t="str">
        <f>'Sovereign Ratings (Moody''s,S&amp;P)'!A74</f>
        <v>Japan</v>
      </c>
      <c r="B74" s="125">
        <f>'Country GDP'!B74</f>
        <v>4937421.8804615494</v>
      </c>
      <c r="C74" s="9" t="str">
        <f>'Sovereign Ratings (Moody''s,S&amp;P)'!C74</f>
        <v>A1</v>
      </c>
      <c r="D74" s="11">
        <f>'10-year CDS Spreads'!C74</f>
        <v>3.0999999999999999E-3</v>
      </c>
      <c r="E74" s="21">
        <f>'ERPs by country'!D80</f>
        <v>8.6284403669724778E-3</v>
      </c>
      <c r="F74" s="10">
        <f>'ERPs by country'!E80</f>
        <v>7.1571490234296015E-2</v>
      </c>
      <c r="G74" s="14">
        <f>'ERPs by country'!F80</f>
        <v>1.2171490234296015E-2</v>
      </c>
      <c r="H74" s="14">
        <f>'Country Tax Rates'!C74</f>
        <v>0.23200000000000001</v>
      </c>
      <c r="I74" s="15" t="str">
        <f>VLOOKUP(A74,'Regional lookup table'!$A$2:$B$161,2)</f>
        <v>Asia</v>
      </c>
    </row>
    <row r="75" spans="1:9" ht="16">
      <c r="A75" s="8" t="str">
        <f>'Sovereign Ratings (Moody''s,S&amp;P)'!A75</f>
        <v>Jersey (States of)</v>
      </c>
      <c r="B75" s="125">
        <f>'Country GDP'!B75</f>
        <v>4890</v>
      </c>
      <c r="C75" s="9" t="str">
        <f>'Sovereign Ratings (Moody''s,S&amp;P)'!C75</f>
        <v>Aaa</v>
      </c>
      <c r="D75" s="11" t="str">
        <f>'10-year CDS Spreads'!C75</f>
        <v>NA</v>
      </c>
      <c r="E75" s="21">
        <f>'ERPs by country'!D81</f>
        <v>0</v>
      </c>
      <c r="F75" s="10">
        <f>'ERPs by country'!E81</f>
        <v>5.9400000000000001E-2</v>
      </c>
      <c r="G75" s="14">
        <f>'ERPs by country'!F81</f>
        <v>0</v>
      </c>
      <c r="H75" s="14">
        <f>'Country Tax Rates'!C75</f>
        <v>0</v>
      </c>
      <c r="I75" s="15" t="str">
        <f>VLOOKUP(A75,'Regional lookup table'!$A$2:$B$161,2)</f>
        <v>Western Europe</v>
      </c>
    </row>
    <row r="76" spans="1:9" ht="16">
      <c r="A76" s="8" t="str">
        <f>'Sovereign Ratings (Moody''s,S&amp;P)'!A76</f>
        <v>Jordan</v>
      </c>
      <c r="B76" s="125">
        <f>'Country GDP'!B76</f>
        <v>45243.661971831003</v>
      </c>
      <c r="C76" s="9" t="str">
        <f>'Sovereign Ratings (Moody''s,S&amp;P)'!C76</f>
        <v>B1</v>
      </c>
      <c r="D76" s="11" t="str">
        <f>'10-year CDS Spreads'!C76</f>
        <v>NA</v>
      </c>
      <c r="E76" s="21">
        <f>'ERPs by country'!D82</f>
        <v>5.5078211009174309E-2</v>
      </c>
      <c r="F76" s="10">
        <f>'ERPs by country'!E82</f>
        <v>0.13709467932892289</v>
      </c>
      <c r="G76" s="14">
        <f>'ERPs by country'!F82</f>
        <v>7.7694679328922892E-2</v>
      </c>
      <c r="H76" s="14">
        <f>'Country Tax Rates'!C76</f>
        <v>0.2</v>
      </c>
      <c r="I76" s="15" t="str">
        <f>VLOOKUP(A76,'Regional lookup table'!$A$2:$B$161,2)</f>
        <v>Middle East</v>
      </c>
    </row>
    <row r="77" spans="1:9" ht="16">
      <c r="A77" s="8" t="str">
        <f>'Sovereign Ratings (Moody''s,S&amp;P)'!A77</f>
        <v>Kazakhstan</v>
      </c>
      <c r="B77" s="125">
        <f>'Country GDP'!B77</f>
        <v>190814.27422621101</v>
      </c>
      <c r="C77" s="9" t="str">
        <f>'Sovereign Ratings (Moody''s,S&amp;P)'!C77</f>
        <v>Baa2</v>
      </c>
      <c r="D77" s="11">
        <f>'10-year CDS Spreads'!C77</f>
        <v>2.7E-2</v>
      </c>
      <c r="E77" s="21">
        <f>'ERPs by country'!D83</f>
        <v>2.3296788990825688E-2</v>
      </c>
      <c r="F77" s="10">
        <f>'ERPs by country'!E83</f>
        <v>9.2263023632599236E-2</v>
      </c>
      <c r="G77" s="14">
        <f>'ERPs by country'!F83</f>
        <v>3.2863023632599235E-2</v>
      </c>
      <c r="H77" s="14">
        <f>'Country Tax Rates'!C77</f>
        <v>0.2</v>
      </c>
      <c r="I77" s="15" t="str">
        <f>VLOOKUP(A77,'Regional lookup table'!$A$2:$B$161,2)</f>
        <v>Eastern Europe &amp; Russia</v>
      </c>
    </row>
    <row r="78" spans="1:9" ht="16">
      <c r="A78" s="8" t="str">
        <f>'Sovereign Ratings (Moody''s,S&amp;P)'!A78</f>
        <v>Kenya</v>
      </c>
      <c r="B78" s="125">
        <f>'Country GDP'!B78</f>
        <v>110347.079517356</v>
      </c>
      <c r="C78" s="9" t="str">
        <f>'Sovereign Ratings (Moody''s,S&amp;P)'!C78</f>
        <v>B2</v>
      </c>
      <c r="D78" s="11">
        <f>'10-year CDS Spreads'!C78</f>
        <v>7.5999999999999998E-2</v>
      </c>
      <c r="E78" s="21">
        <f>'ERPs by country'!D84</f>
        <v>6.7301834862385335E-2</v>
      </c>
      <c r="F78" s="10">
        <f>'ERPs by country'!E84</f>
        <v>0.15433762382750893</v>
      </c>
      <c r="G78" s="14">
        <f>'ERPs by country'!F84</f>
        <v>9.4937623827508935E-2</v>
      </c>
      <c r="H78" s="14">
        <f>'Country Tax Rates'!C78</f>
        <v>0.3</v>
      </c>
      <c r="I78" s="15" t="str">
        <f>VLOOKUP(A78,'Regional lookup table'!$A$2:$B$161,2)</f>
        <v>Africa</v>
      </c>
    </row>
    <row r="79" spans="1:9" ht="16">
      <c r="A79" s="8" t="str">
        <f>'Sovereign Ratings (Moody''s,S&amp;P)'!A79</f>
        <v>Korea</v>
      </c>
      <c r="B79" s="125">
        <f>'Country GDP'!B79</f>
        <v>1630.53</v>
      </c>
      <c r="C79" s="9" t="str">
        <f>'Sovereign Ratings (Moody''s,S&amp;P)'!C79</f>
        <v>Aa2</v>
      </c>
      <c r="D79" s="11">
        <f>'10-year CDS Spreads'!C79</f>
        <v>6.7999999999999996E-3</v>
      </c>
      <c r="E79" s="21">
        <f>'ERPs by country'!D85</f>
        <v>6.0399082568807346E-3</v>
      </c>
      <c r="F79" s="10">
        <f>'ERPs by country'!E85</f>
        <v>6.792004316400721E-2</v>
      </c>
      <c r="G79" s="14">
        <f>'ERPs by country'!F85</f>
        <v>8.5200431640072103E-3</v>
      </c>
      <c r="H79" s="14">
        <f>'Country Tax Rates'!C79</f>
        <v>0.25</v>
      </c>
      <c r="I79" s="15" t="str">
        <f>VLOOKUP(A79,'Regional lookup table'!$A$2:$B$161,2)</f>
        <v>Asia</v>
      </c>
    </row>
    <row r="80" spans="1:9" ht="16">
      <c r="A80" s="8" t="str">
        <f>'Sovereign Ratings (Moody''s,S&amp;P)'!A80</f>
        <v>Kuwait</v>
      </c>
      <c r="B80" s="125">
        <f>'Country GDP'!B80</f>
        <v>105960.225688145</v>
      </c>
      <c r="C80" s="9" t="str">
        <f>'Sovereign Ratings (Moody''s,S&amp;P)'!C80</f>
        <v>A1</v>
      </c>
      <c r="D80" s="11">
        <f>'10-year CDS Spreads'!C80</f>
        <v>7.9000000000000008E-3</v>
      </c>
      <c r="E80" s="21">
        <f>'ERPs by country'!D86</f>
        <v>8.6284403669724778E-3</v>
      </c>
      <c r="F80" s="10">
        <f>'ERPs by country'!E86</f>
        <v>7.1571490234296015E-2</v>
      </c>
      <c r="G80" s="14">
        <f>'ERPs by country'!F86</f>
        <v>1.2171490234296015E-2</v>
      </c>
      <c r="H80" s="14">
        <f>'Country Tax Rates'!C80</f>
        <v>0.15</v>
      </c>
      <c r="I80" s="15" t="str">
        <f>VLOOKUP(A80,'Regional lookup table'!$A$2:$B$161,2)</f>
        <v>Middle East</v>
      </c>
    </row>
    <row r="81" spans="1:9" ht="16">
      <c r="A81" s="8" t="str">
        <f>'Sovereign Ratings (Moody''s,S&amp;P)'!A81</f>
        <v>Kyrgyzstan</v>
      </c>
      <c r="B81" s="125">
        <f>'Country GDP'!B81</f>
        <v>8543.4235026133993</v>
      </c>
      <c r="C81" s="9" t="str">
        <f>'Sovereign Ratings (Moody''s,S&amp;P)'!C81</f>
        <v>B3</v>
      </c>
      <c r="D81" s="11" t="str">
        <f>'10-year CDS Spreads'!C81</f>
        <v>NA</v>
      </c>
      <c r="E81" s="21">
        <f>'ERPs by country'!D87</f>
        <v>7.9525458715596339E-2</v>
      </c>
      <c r="F81" s="10">
        <f>'ERPs by country'!E87</f>
        <v>0.17158056832609495</v>
      </c>
      <c r="G81" s="14">
        <f>'ERPs by country'!F87</f>
        <v>0.11218056832609494</v>
      </c>
      <c r="H81" s="14">
        <f>'Country Tax Rates'!C81</f>
        <v>0.1</v>
      </c>
      <c r="I81" s="15" t="str">
        <f>VLOOKUP(A81,'Regional lookup table'!$A$2:$B$161,2)</f>
        <v>Eastern Europe &amp; Russia</v>
      </c>
    </row>
    <row r="82" spans="1:9" ht="16">
      <c r="A82" s="8" t="str">
        <f>'Sovereign Ratings (Moody''s,S&amp;P)'!A82</f>
        <v>Laos</v>
      </c>
      <c r="B82" s="125">
        <f>'Country GDP'!B82</f>
        <v>18827.1485300151</v>
      </c>
      <c r="C82" s="9" t="str">
        <f>'Sovereign Ratings (Moody''s,S&amp;P)'!C82</f>
        <v>Caa3</v>
      </c>
      <c r="D82" s="11" t="str">
        <f>'10-year CDS Spreads'!C82</f>
        <v>NA</v>
      </c>
      <c r="E82" s="21">
        <f>'ERPs by country'!D88</f>
        <v>0.12238004587155965</v>
      </c>
      <c r="F82" s="10">
        <f>'ERPs by country'!E88</f>
        <v>0.23203230315643184</v>
      </c>
      <c r="G82" s="14">
        <f>'ERPs by country'!F88</f>
        <v>0.17263230315643183</v>
      </c>
      <c r="H82" s="14">
        <f>'Country Tax Rates'!C82</f>
        <v>0.2281</v>
      </c>
      <c r="I82" s="15" t="str">
        <f>VLOOKUP(A82,'Regional lookup table'!$A$2:$B$161,2)</f>
        <v>Asia</v>
      </c>
    </row>
    <row r="83" spans="1:9" ht="16">
      <c r="A83" s="8" t="str">
        <f>'Sovereign Ratings (Moody''s,S&amp;P)'!A83</f>
        <v>Latvia</v>
      </c>
      <c r="B83" s="125">
        <f>'Country GDP'!B83</f>
        <v>38872.546228565297</v>
      </c>
      <c r="C83" s="9" t="str">
        <f>'Sovereign Ratings (Moody''s,S&amp;P)'!C83</f>
        <v>A3</v>
      </c>
      <c r="D83" s="11">
        <f>'10-year CDS Spreads'!C83</f>
        <v>1.37E-2</v>
      </c>
      <c r="E83" s="21">
        <f>'ERPs by country'!D89</f>
        <v>1.4668348623853212E-2</v>
      </c>
      <c r="F83" s="10">
        <f>'ERPs by country'!E89</f>
        <v>8.009153339830323E-2</v>
      </c>
      <c r="G83" s="14">
        <f>'ERPs by country'!F89</f>
        <v>2.0691533398303225E-2</v>
      </c>
      <c r="H83" s="14">
        <f>'Country Tax Rates'!C83</f>
        <v>0.2</v>
      </c>
      <c r="I83" s="15" t="str">
        <f>VLOOKUP(A83,'Regional lookup table'!$A$2:$B$161,2)</f>
        <v>Eastern Europe &amp; Russia</v>
      </c>
    </row>
    <row r="84" spans="1:9" ht="16">
      <c r="A84" s="8" t="str">
        <f>'Sovereign Ratings (Moody''s,S&amp;P)'!A84</f>
        <v>Lebanon</v>
      </c>
      <c r="B84" s="125">
        <f>'Country GDP'!B84</f>
        <v>18076.6248401841</v>
      </c>
      <c r="C84" s="9" t="str">
        <f>'Sovereign Ratings (Moody''s,S&amp;P)'!C84</f>
        <v>C</v>
      </c>
      <c r="D84" s="11" t="str">
        <f>'10-year CDS Spreads'!C84</f>
        <v>NA</v>
      </c>
      <c r="E84" s="21">
        <f>'ERPs by country'!D90</f>
        <v>0.17499999999999999</v>
      </c>
      <c r="F84" s="10">
        <f>'ERPs by country'!E90</f>
        <v>0.30625930485826308</v>
      </c>
      <c r="G84" s="14">
        <f>'ERPs by country'!F90</f>
        <v>0.2468593048582631</v>
      </c>
      <c r="H84" s="14">
        <f>'Country Tax Rates'!C84</f>
        <v>0.17</v>
      </c>
      <c r="I84" s="15" t="str">
        <f>VLOOKUP(A84,'Regional lookup table'!$A$2:$B$161,2)</f>
        <v>Middle East</v>
      </c>
    </row>
    <row r="85" spans="1:9" ht="16">
      <c r="A85" s="8" t="str">
        <f>'Sovereign Ratings (Moody''s,S&amp;P)'!A85</f>
        <v>Liechtenstein</v>
      </c>
      <c r="B85" s="125">
        <f>'Country GDP'!B85</f>
        <v>6427.24894344939</v>
      </c>
      <c r="C85" s="9" t="str">
        <f>'Sovereign Ratings (Moody''s,S&amp;P)'!C85</f>
        <v>Aaa</v>
      </c>
      <c r="D85" s="11" t="str">
        <f>'10-year CDS Spreads'!C85</f>
        <v>NA</v>
      </c>
      <c r="E85" s="21">
        <f>'ERPs by country'!D91</f>
        <v>0</v>
      </c>
      <c r="F85" s="10">
        <f>'ERPs by country'!E91</f>
        <v>5.9400000000000001E-2</v>
      </c>
      <c r="G85" s="14">
        <f>'ERPs by country'!F91</f>
        <v>0</v>
      </c>
      <c r="H85" s="14">
        <f>'Country Tax Rates'!C85</f>
        <v>0.125</v>
      </c>
      <c r="I85" s="15" t="str">
        <f>VLOOKUP(A85,'Regional lookup table'!$A$2:$B$161,2)</f>
        <v>Western Europe</v>
      </c>
    </row>
    <row r="86" spans="1:9" ht="16">
      <c r="A86" s="8" t="str">
        <f>'Sovereign Ratings (Moody''s,S&amp;P)'!A86</f>
        <v>Lithuania</v>
      </c>
      <c r="B86" s="125">
        <f>'Country GDP'!B86</f>
        <v>65503.849704599699</v>
      </c>
      <c r="C86" s="9" t="str">
        <f>'Sovereign Ratings (Moody''s,S&amp;P)'!C86</f>
        <v>A2</v>
      </c>
      <c r="D86" s="11">
        <f>'10-year CDS Spreads'!C86</f>
        <v>1.4500000000000001E-2</v>
      </c>
      <c r="E86" s="21">
        <f>'ERPs by country'!D92</f>
        <v>1.0354128440366973E-2</v>
      </c>
      <c r="F86" s="10">
        <f>'ERPs by country'!E92</f>
        <v>7.4005788281155213E-2</v>
      </c>
      <c r="G86" s="14">
        <f>'ERPs by country'!F92</f>
        <v>1.4605788281155217E-2</v>
      </c>
      <c r="H86" s="14">
        <f>'Country Tax Rates'!C86</f>
        <v>0.15</v>
      </c>
      <c r="I86" s="15" t="str">
        <f>VLOOKUP(A86,'Regional lookup table'!$A$2:$B$161,2)</f>
        <v>Eastern Europe &amp; Russia</v>
      </c>
    </row>
    <row r="87" spans="1:9" ht="16">
      <c r="A87" s="8" t="str">
        <f>'Sovereign Ratings (Moody''s,S&amp;P)'!A87</f>
        <v>Luxembourg</v>
      </c>
      <c r="B87" s="125">
        <f>'Country GDP'!B87</f>
        <v>86710.803337099394</v>
      </c>
      <c r="C87" s="9" t="str">
        <f>'Sovereign Ratings (Moody''s,S&amp;P)'!C87</f>
        <v>Aaa</v>
      </c>
      <c r="D87" s="11" t="str">
        <f>'10-year CDS Spreads'!C87</f>
        <v>NA</v>
      </c>
      <c r="E87" s="21">
        <f>'ERPs by country'!D93</f>
        <v>0</v>
      </c>
      <c r="F87" s="10">
        <f>'ERPs by country'!E93</f>
        <v>5.9400000000000001E-2</v>
      </c>
      <c r="G87" s="14">
        <f>'ERPs by country'!F93</f>
        <v>0</v>
      </c>
      <c r="H87" s="14">
        <f>'Country Tax Rates'!C87</f>
        <v>0.24940000000000001</v>
      </c>
      <c r="I87" s="15" t="str">
        <f>VLOOKUP(A87,'Regional lookup table'!$A$2:$B$161,2)</f>
        <v>Western Europe</v>
      </c>
    </row>
    <row r="88" spans="1:9" ht="16">
      <c r="A88" s="8" t="str">
        <f>'Sovereign Ratings (Moody''s,S&amp;P)'!A88</f>
        <v>Macao</v>
      </c>
      <c r="B88" s="125">
        <f>'Country GDP'!B88</f>
        <v>29905.190181750098</v>
      </c>
      <c r="C88" s="9" t="str">
        <f>'Sovereign Ratings (Moody''s,S&amp;P)'!C88</f>
        <v>Aa3</v>
      </c>
      <c r="D88" s="11" t="str">
        <f>'10-year CDS Spreads'!C88</f>
        <v>NA</v>
      </c>
      <c r="E88" s="21">
        <f>'ERPs by country'!D94</f>
        <v>7.3341743119266058E-3</v>
      </c>
      <c r="F88" s="10">
        <f>'ERPs by country'!E94</f>
        <v>6.9745766699151612E-2</v>
      </c>
      <c r="G88" s="14">
        <f>'ERPs by country'!F94</f>
        <v>1.0345766699151613E-2</v>
      </c>
      <c r="H88" s="14">
        <f>'Country Tax Rates'!C88</f>
        <v>0.2281</v>
      </c>
      <c r="I88" s="15" t="str">
        <f>VLOOKUP(A88,'Regional lookup table'!$A$2:$B$161,2)</f>
        <v>Asia</v>
      </c>
    </row>
    <row r="89" spans="1:9" ht="16">
      <c r="A89" s="8" t="str">
        <f>'Sovereign Ratings (Moody''s,S&amp;P)'!A89</f>
        <v>Macedonia</v>
      </c>
      <c r="B89" s="125">
        <f>'Country GDP'!B89</f>
        <v>13879.2691515718</v>
      </c>
      <c r="C89" s="9" t="str">
        <f>'Sovereign Ratings (Moody''s,S&amp;P)'!C89</f>
        <v>Ba3</v>
      </c>
      <c r="D89" s="11" t="str">
        <f>'10-year CDS Spreads'!C89</f>
        <v>NA</v>
      </c>
      <c r="E89" s="21">
        <f>'ERPs by country'!D95</f>
        <v>4.4005045871559637E-2</v>
      </c>
      <c r="F89" s="10">
        <f>'ERPs by country'!E95</f>
        <v>0.12147460019490969</v>
      </c>
      <c r="G89" s="14">
        <f>'ERPs by country'!F95</f>
        <v>6.2074600194909679E-2</v>
      </c>
      <c r="H89" s="14">
        <f>'Country Tax Rates'!C89</f>
        <v>0.1</v>
      </c>
      <c r="I89" s="15" t="str">
        <f>VLOOKUP(A89,'Regional lookup table'!$A$2:$B$161,2)</f>
        <v>Eastern Europe &amp; Russia</v>
      </c>
    </row>
    <row r="90" spans="1:9" ht="16">
      <c r="A90" s="8" t="str">
        <f>'Sovereign Ratings (Moody''s,S&amp;P)'!A90</f>
        <v>Malaysia</v>
      </c>
      <c r="B90" s="125">
        <f>'Country GDP'!B90</f>
        <v>372701.35882026399</v>
      </c>
      <c r="C90" s="9" t="str">
        <f>'Sovereign Ratings (Moody''s,S&amp;P)'!C90</f>
        <v>A3</v>
      </c>
      <c r="D90" s="11">
        <f>'10-year CDS Spreads'!C90</f>
        <v>1.24E-2</v>
      </c>
      <c r="E90" s="21">
        <f>'ERPs by country'!D96</f>
        <v>1.4668348623853212E-2</v>
      </c>
      <c r="F90" s="10">
        <f>'ERPs by country'!E96</f>
        <v>8.009153339830323E-2</v>
      </c>
      <c r="G90" s="14">
        <f>'ERPs by country'!F96</f>
        <v>2.0691533398303225E-2</v>
      </c>
      <c r="H90" s="14">
        <f>'Country Tax Rates'!C90</f>
        <v>0.24</v>
      </c>
      <c r="I90" s="15" t="str">
        <f>VLOOKUP(A90,'Regional lookup table'!$A$2:$B$161,2)</f>
        <v>Asia</v>
      </c>
    </row>
    <row r="91" spans="1:9" ht="16">
      <c r="A91" s="8" t="str">
        <f>'Sovereign Ratings (Moody''s,S&amp;P)'!A91</f>
        <v>Maldives</v>
      </c>
      <c r="B91" s="125">
        <f>'Country GDP'!B91</f>
        <v>4889.6669316385496</v>
      </c>
      <c r="C91" s="9" t="str">
        <f>'Sovereign Ratings (Moody''s,S&amp;P)'!C91</f>
        <v>Caa1</v>
      </c>
      <c r="D91" s="11" t="str">
        <f>'10-year CDS Spreads'!C91</f>
        <v>NA</v>
      </c>
      <c r="E91" s="21">
        <f>'ERPs by country'!D97</f>
        <v>9.1749082568807344E-2</v>
      </c>
      <c r="F91" s="10">
        <f>'ERPs by country'!E97</f>
        <v>0.18882351282468096</v>
      </c>
      <c r="G91" s="14">
        <f>'ERPs by country'!F97</f>
        <v>0.12942351282468095</v>
      </c>
      <c r="H91" s="14">
        <f>'Country Tax Rates'!C91</f>
        <v>0.2281</v>
      </c>
      <c r="I91" s="15" t="str">
        <f>VLOOKUP(A91,'Regional lookup table'!$A$2:$B$161,2)</f>
        <v>Asia</v>
      </c>
    </row>
    <row r="92" spans="1:9" ht="16">
      <c r="A92" s="8" t="str">
        <f>'Sovereign Ratings (Moody''s,S&amp;P)'!A92</f>
        <v>Mali</v>
      </c>
      <c r="B92" s="125">
        <f>'Country GDP'!B92</f>
        <v>19143.741503148201</v>
      </c>
      <c r="C92" s="9" t="str">
        <f>'Sovereign Ratings (Moody''s,S&amp;P)'!C92</f>
        <v>Caa2</v>
      </c>
      <c r="D92" s="11" t="str">
        <f>'10-year CDS Spreads'!C92</f>
        <v>NA</v>
      </c>
      <c r="E92" s="21">
        <f>'ERPs by country'!D98</f>
        <v>0.11015642201834862</v>
      </c>
      <c r="F92" s="10">
        <f>'ERPs by country'!E98</f>
        <v>0.21478935865784579</v>
      </c>
      <c r="G92" s="14">
        <f>'ERPs by country'!F98</f>
        <v>0.15538935865784578</v>
      </c>
      <c r="H92" s="14">
        <f>'Country Tax Rates'!C92</f>
        <v>0.2281</v>
      </c>
      <c r="I92" s="15" t="str">
        <f>VLOOKUP(A92,'Regional lookup table'!$A$2:$B$161,2)</f>
        <v>Africa</v>
      </c>
    </row>
    <row r="93" spans="1:9" ht="16">
      <c r="A93" s="8" t="str">
        <f>'Sovereign Ratings (Moody''s,S&amp;P)'!A93</f>
        <v>Malta</v>
      </c>
      <c r="B93" s="125">
        <f>'Country GDP'!B93</f>
        <v>17189.730469555401</v>
      </c>
      <c r="C93" s="9" t="str">
        <f>'Sovereign Ratings (Moody''s,S&amp;P)'!C93</f>
        <v>A2</v>
      </c>
      <c r="D93" s="11" t="str">
        <f>'10-year CDS Spreads'!C93</f>
        <v>NA</v>
      </c>
      <c r="E93" s="21">
        <f>'ERPs by country'!D99</f>
        <v>1.0354128440366973E-2</v>
      </c>
      <c r="F93" s="10">
        <f>'ERPs by country'!E99</f>
        <v>7.4005788281155213E-2</v>
      </c>
      <c r="G93" s="14">
        <f>'ERPs by country'!F99</f>
        <v>1.4605788281155217E-2</v>
      </c>
      <c r="H93" s="14">
        <f>'Country Tax Rates'!C93</f>
        <v>0.35</v>
      </c>
      <c r="I93" s="15" t="str">
        <f>VLOOKUP(A93,'Regional lookup table'!$A$2:$B$161,2)</f>
        <v>Western Europe</v>
      </c>
    </row>
    <row r="94" spans="1:9" ht="16">
      <c r="A94" s="8" t="str">
        <f>'Sovereign Ratings (Moody''s,S&amp;P)'!A94</f>
        <v>Mauritius</v>
      </c>
      <c r="B94" s="125">
        <f>'Country GDP'!B94</f>
        <v>11156.6577696974</v>
      </c>
      <c r="C94" s="9" t="str">
        <f>'Sovereign Ratings (Moody''s,S&amp;P)'!C94</f>
        <v>Baa3</v>
      </c>
      <c r="D94" s="11" t="str">
        <f>'10-year CDS Spreads'!C94</f>
        <v>NA</v>
      </c>
      <c r="E94" s="21">
        <f>'ERPs by country'!D100</f>
        <v>2.6891972477064225E-2</v>
      </c>
      <c r="F94" s="10">
        <f>'ERPs by country'!E100</f>
        <v>9.733447789688926E-2</v>
      </c>
      <c r="G94" s="14">
        <f>'ERPs by country'!F100</f>
        <v>3.7934477896889252E-2</v>
      </c>
      <c r="H94" s="14">
        <f>'Country Tax Rates'!C94</f>
        <v>0.15</v>
      </c>
      <c r="I94" s="15" t="str">
        <f>VLOOKUP(A94,'Regional lookup table'!$A$2:$B$161,2)</f>
        <v>Africa</v>
      </c>
    </row>
    <row r="95" spans="1:9" ht="16">
      <c r="A95" s="8" t="str">
        <f>'Sovereign Ratings (Moody''s,S&amp;P)'!A95</f>
        <v>Mexico</v>
      </c>
      <c r="B95" s="125">
        <f>'Country GDP'!B95</f>
        <v>1293037.8663601698</v>
      </c>
      <c r="C95" s="9" t="str">
        <f>'Sovereign Ratings (Moody''s,S&amp;P)'!C95</f>
        <v>Baa2</v>
      </c>
      <c r="D95" s="11">
        <f>'10-year CDS Spreads'!C95</f>
        <v>2.1100000000000001E-2</v>
      </c>
      <c r="E95" s="21">
        <f>'ERPs by country'!D101</f>
        <v>2.3296788990825688E-2</v>
      </c>
      <c r="F95" s="10">
        <f>'ERPs by country'!E101</f>
        <v>9.2263023632599236E-2</v>
      </c>
      <c r="G95" s="14">
        <f>'ERPs by country'!F101</f>
        <v>3.2863023632599235E-2</v>
      </c>
      <c r="H95" s="14">
        <f>'Country Tax Rates'!C95</f>
        <v>0.3</v>
      </c>
      <c r="I95" s="15" t="str">
        <f>VLOOKUP(A95,'Regional lookup table'!$A$2:$B$161,2)</f>
        <v>Central and South America</v>
      </c>
    </row>
    <row r="96" spans="1:9" ht="16">
      <c r="A96" s="8" t="str">
        <f>'Sovereign Ratings (Moody''s,S&amp;P)'!A96</f>
        <v>Moldova</v>
      </c>
      <c r="B96" s="125">
        <f>'Country GDP'!B96</f>
        <v>13679.2213332052</v>
      </c>
      <c r="C96" s="9" t="str">
        <f>'Sovereign Ratings (Moody''s,S&amp;P)'!C96</f>
        <v>B3</v>
      </c>
      <c r="D96" s="11" t="str">
        <f>'10-year CDS Spreads'!C96</f>
        <v>NA</v>
      </c>
      <c r="E96" s="21">
        <f>'ERPs by country'!D102</f>
        <v>7.9525458715596339E-2</v>
      </c>
      <c r="F96" s="10">
        <f>'ERPs by country'!E102</f>
        <v>0.17158056832609495</v>
      </c>
      <c r="G96" s="14">
        <f>'ERPs by country'!F102</f>
        <v>0.11218056832609494</v>
      </c>
      <c r="H96" s="14">
        <f>'Country Tax Rates'!C96</f>
        <v>0.12</v>
      </c>
      <c r="I96" s="15" t="str">
        <f>VLOOKUP(A96,'Regional lookup table'!$A$2:$B$161,2)</f>
        <v>Eastern Europe &amp; Russia</v>
      </c>
    </row>
    <row r="97" spans="1:9" ht="16">
      <c r="A97" s="8" t="str">
        <f>'Sovereign Ratings (Moody''s,S&amp;P)'!A97</f>
        <v>Mongolia</v>
      </c>
      <c r="B97" s="125">
        <f>'Country GDP'!B97</f>
        <v>15098.022828610599</v>
      </c>
      <c r="C97" s="9" t="str">
        <f>'Sovereign Ratings (Moody''s,S&amp;P)'!C97</f>
        <v>B3</v>
      </c>
      <c r="D97" s="11" t="str">
        <f>'10-year CDS Spreads'!C97</f>
        <v>NA</v>
      </c>
      <c r="E97" s="21">
        <f>'ERPs by country'!D103</f>
        <v>7.9525458715596339E-2</v>
      </c>
      <c r="F97" s="10">
        <f>'ERPs by country'!E103</f>
        <v>0.17158056832609495</v>
      </c>
      <c r="G97" s="14">
        <f>'ERPs by country'!F103</f>
        <v>0.11218056832609494</v>
      </c>
      <c r="H97" s="14">
        <f>'Country Tax Rates'!C97</f>
        <v>0.25</v>
      </c>
      <c r="I97" s="15" t="str">
        <f>VLOOKUP(A97,'Regional lookup table'!$A$2:$B$161,2)</f>
        <v>Asia</v>
      </c>
    </row>
    <row r="98" spans="1:9" ht="16">
      <c r="A98" s="8" t="str">
        <f>'Sovereign Ratings (Moody''s,S&amp;P)'!A98</f>
        <v>Montenegro</v>
      </c>
      <c r="B98" s="125">
        <f>'Country GDP'!B98</f>
        <v>5809.1709617828501</v>
      </c>
      <c r="C98" s="9" t="str">
        <f>'Sovereign Ratings (Moody''s,S&amp;P)'!C98</f>
        <v>B1</v>
      </c>
      <c r="D98" s="11" t="str">
        <f>'10-year CDS Spreads'!C98</f>
        <v>NA</v>
      </c>
      <c r="E98" s="21">
        <f>'ERPs by country'!D104</f>
        <v>5.5078211009174309E-2</v>
      </c>
      <c r="F98" s="10">
        <f>'ERPs by country'!E104</f>
        <v>0.13709467932892289</v>
      </c>
      <c r="G98" s="14">
        <f>'ERPs by country'!F104</f>
        <v>7.7694679328922892E-2</v>
      </c>
      <c r="H98" s="14">
        <f>'Country Tax Rates'!C98</f>
        <v>0.15</v>
      </c>
      <c r="I98" s="15" t="str">
        <f>VLOOKUP(A98,'Regional lookup table'!$A$2:$B$161,2)</f>
        <v>Eastern Europe &amp; Russia</v>
      </c>
    </row>
    <row r="99" spans="1:9" ht="16">
      <c r="A99" s="8" t="str">
        <f>'Sovereign Ratings (Moody''s,S&amp;P)'!A99</f>
        <v>Montserrat</v>
      </c>
      <c r="B99" s="125">
        <f>'Country GDP'!B99</f>
        <v>25000</v>
      </c>
      <c r="C99" s="9" t="str">
        <f>'Sovereign Ratings (Moody''s,S&amp;P)'!C99</f>
        <v>Baa3</v>
      </c>
      <c r="D99" s="11" t="str">
        <f>'10-year CDS Spreads'!C99</f>
        <v>NA</v>
      </c>
      <c r="E99" s="21">
        <f>'ERPs by country'!D105</f>
        <v>2.6891972477064225E-2</v>
      </c>
      <c r="F99" s="10">
        <f>'ERPs by country'!E105</f>
        <v>9.733447789688926E-2</v>
      </c>
      <c r="G99" s="14">
        <f>'ERPs by country'!F105</f>
        <v>3.7934477896889252E-2</v>
      </c>
      <c r="H99" s="14">
        <f>'Country Tax Rates'!C99</f>
        <v>0.27179999999999999</v>
      </c>
      <c r="I99" s="15" t="str">
        <f>VLOOKUP(A99,'Regional lookup table'!$A$2:$B$161,2)</f>
        <v>Caribbean</v>
      </c>
    </row>
    <row r="100" spans="1:9" ht="16">
      <c r="A100" s="8" t="str">
        <f>'Sovereign Ratings (Moody''s,S&amp;P)'!A100</f>
        <v>Morocco</v>
      </c>
      <c r="B100" s="125">
        <f>'Country GDP'!B100</f>
        <v>132725.261467431</v>
      </c>
      <c r="C100" s="9" t="str">
        <f>'Sovereign Ratings (Moody''s,S&amp;P)'!C100</f>
        <v>Ba1</v>
      </c>
      <c r="D100" s="11">
        <f>'10-year CDS Spreads'!C100</f>
        <v>2.53E-2</v>
      </c>
      <c r="E100" s="21">
        <f>'ERPs by country'!D106</f>
        <v>3.0630963302752296E-2</v>
      </c>
      <c r="F100" s="10">
        <f>'ERPs by country'!E106</f>
        <v>0.10260879033175085</v>
      </c>
      <c r="G100" s="14">
        <f>'ERPs by country'!F106</f>
        <v>4.3208790331750853E-2</v>
      </c>
      <c r="H100" s="14">
        <f>'Country Tax Rates'!C100</f>
        <v>0.31</v>
      </c>
      <c r="I100" s="15" t="str">
        <f>VLOOKUP(A100,'Regional lookup table'!$A$2:$B$161,2)</f>
        <v>Africa</v>
      </c>
    </row>
    <row r="101" spans="1:9" ht="16">
      <c r="A101" s="8" t="str">
        <f>'Sovereign Ratings (Moody''s,S&amp;P)'!A101</f>
        <v>Mozambique</v>
      </c>
      <c r="B101" s="125">
        <f>'Country GDP'!B101</f>
        <v>16095.828896634199</v>
      </c>
      <c r="C101" s="9" t="str">
        <f>'Sovereign Ratings (Moody''s,S&amp;P)'!C101</f>
        <v>Caa2</v>
      </c>
      <c r="D101" s="11" t="str">
        <f>'10-year CDS Spreads'!C101</f>
        <v>NA</v>
      </c>
      <c r="E101" s="21">
        <f>'ERPs by country'!D107</f>
        <v>0.11015642201834862</v>
      </c>
      <c r="F101" s="10">
        <f>'ERPs by country'!E107</f>
        <v>0.21478935865784579</v>
      </c>
      <c r="G101" s="14">
        <f>'ERPs by country'!F107</f>
        <v>0.15538935865784578</v>
      </c>
      <c r="H101" s="14">
        <f>'Country Tax Rates'!C101</f>
        <v>0.32</v>
      </c>
      <c r="I101" s="15" t="str">
        <f>VLOOKUP(A101,'Regional lookup table'!$A$2:$B$161,2)</f>
        <v>Africa</v>
      </c>
    </row>
    <row r="102" spans="1:9" ht="16">
      <c r="A102" s="8" t="str">
        <f>'Sovereign Ratings (Moody''s,S&amp;P)'!A102</f>
        <v>Namibia</v>
      </c>
      <c r="B102" s="125">
        <f>'Country GDP'!B102</f>
        <v>12236.250784133601</v>
      </c>
      <c r="C102" s="9" t="str">
        <f>'Sovereign Ratings (Moody''s,S&amp;P)'!C102</f>
        <v>B1</v>
      </c>
      <c r="D102" s="11" t="str">
        <f>'10-year CDS Spreads'!C102</f>
        <v>NA</v>
      </c>
      <c r="E102" s="21">
        <f>'ERPs by country'!D108</f>
        <v>5.5078211009174309E-2</v>
      </c>
      <c r="F102" s="10">
        <f>'ERPs by country'!E108</f>
        <v>0.13709467932892289</v>
      </c>
      <c r="G102" s="14">
        <f>'ERPs by country'!F108</f>
        <v>7.7694679328922892E-2</v>
      </c>
      <c r="H102" s="14">
        <f>'Country Tax Rates'!C102</f>
        <v>0.32</v>
      </c>
      <c r="I102" s="15" t="str">
        <f>VLOOKUP(A102,'Regional lookup table'!$A$2:$B$161,2)</f>
        <v>Africa</v>
      </c>
    </row>
    <row r="103" spans="1:9" ht="16">
      <c r="A103" s="8" t="str">
        <f>'Sovereign Ratings (Moody''s,S&amp;P)'!A103</f>
        <v>Netherlands</v>
      </c>
      <c r="B103" s="125">
        <f>'Country GDP'!B103</f>
        <v>1018007.0569496</v>
      </c>
      <c r="C103" s="9" t="str">
        <f>'Sovereign Ratings (Moody''s,S&amp;P)'!C103</f>
        <v>Aaa</v>
      </c>
      <c r="D103" s="11">
        <f>'10-year CDS Spreads'!C103</f>
        <v>2.5999999999999999E-3</v>
      </c>
      <c r="E103" s="21">
        <f>'ERPs by country'!D109</f>
        <v>0</v>
      </c>
      <c r="F103" s="10">
        <f>'ERPs by country'!E109</f>
        <v>5.9400000000000001E-2</v>
      </c>
      <c r="G103" s="14">
        <f>'ERPs by country'!F109</f>
        <v>0</v>
      </c>
      <c r="H103" s="14">
        <f>'Country Tax Rates'!C103</f>
        <v>0.25800000000000001</v>
      </c>
      <c r="I103" s="15" t="str">
        <f>VLOOKUP(A103,'Regional lookup table'!$A$2:$B$161,2)</f>
        <v>Western Europe</v>
      </c>
    </row>
    <row r="104" spans="1:9" ht="16">
      <c r="A104" s="8" t="str">
        <f>'Sovereign Ratings (Moody''s,S&amp;P)'!A104</f>
        <v>New Zealand</v>
      </c>
      <c r="B104" s="125">
        <f>'Country GDP'!B104</f>
        <v>249991.512236526</v>
      </c>
      <c r="C104" s="9" t="str">
        <f>'Sovereign Ratings (Moody''s,S&amp;P)'!C104</f>
        <v>Aaa</v>
      </c>
      <c r="D104" s="11">
        <f>'10-year CDS Spreads'!C104</f>
        <v>3.8999999999999998E-3</v>
      </c>
      <c r="E104" s="21">
        <f>'ERPs by country'!D110</f>
        <v>0</v>
      </c>
      <c r="F104" s="10">
        <f>'ERPs by country'!E110</f>
        <v>5.9400000000000001E-2</v>
      </c>
      <c r="G104" s="14">
        <f>'ERPs by country'!F110</f>
        <v>0</v>
      </c>
      <c r="H104" s="14">
        <f>'Country Tax Rates'!C104</f>
        <v>0.28000000000000003</v>
      </c>
      <c r="I104" s="15" t="str">
        <f>VLOOKUP(A104,'Regional lookup table'!$A$2:$B$161,2)</f>
        <v>Australia &amp; New Zealand</v>
      </c>
    </row>
    <row r="105" spans="1:9" ht="16">
      <c r="A105" s="8" t="str">
        <f>'Sovereign Ratings (Moody''s,S&amp;P)'!A105</f>
        <v>Nicaragua</v>
      </c>
      <c r="B105" s="125">
        <f>'Country GDP'!B105</f>
        <v>14013.022092064501</v>
      </c>
      <c r="C105" s="9" t="str">
        <f>'Sovereign Ratings (Moody''s,S&amp;P)'!C105</f>
        <v>B3</v>
      </c>
      <c r="D105" s="11">
        <f>'10-year CDS Spreads'!C105</f>
        <v>6.2700000000000006E-2</v>
      </c>
      <c r="E105" s="21">
        <f>'ERPs by country'!D111</f>
        <v>7.9525458715596339E-2</v>
      </c>
      <c r="F105" s="10">
        <f>'ERPs by country'!E111</f>
        <v>0.17158056832609495</v>
      </c>
      <c r="G105" s="14">
        <f>'ERPs by country'!F111</f>
        <v>0.11218056832609494</v>
      </c>
      <c r="H105" s="14">
        <f>'Country Tax Rates'!C105</f>
        <v>0.3</v>
      </c>
      <c r="I105" s="15" t="str">
        <f>VLOOKUP(A105,'Regional lookup table'!$A$2:$B$161,2)</f>
        <v>Central and South America</v>
      </c>
    </row>
    <row r="106" spans="1:9" ht="16">
      <c r="A106" s="8" t="str">
        <f>'Sovereign Ratings (Moody''s,S&amp;P)'!A106</f>
        <v>Niger</v>
      </c>
      <c r="B106" s="125">
        <f>'Country GDP'!B106</f>
        <v>14950.9498752729</v>
      </c>
      <c r="C106" s="9" t="str">
        <f>'Sovereign Ratings (Moody''s,S&amp;P)'!C106</f>
        <v>B3</v>
      </c>
      <c r="D106" s="11" t="str">
        <f>'10-year CDS Spreads'!C106</f>
        <v>NA</v>
      </c>
      <c r="E106" s="21">
        <f>'ERPs by country'!D112</f>
        <v>7.9525458715596339E-2</v>
      </c>
      <c r="F106" s="10">
        <f>'ERPs by country'!E112</f>
        <v>0.17158056832609495</v>
      </c>
      <c r="G106" s="14">
        <f>'ERPs by country'!F112</f>
        <v>0.11218056832609494</v>
      </c>
      <c r="H106" s="14">
        <f>'Country Tax Rates'!C106</f>
        <v>0.2281</v>
      </c>
      <c r="I106" s="15" t="str">
        <f>VLOOKUP(A106,'Regional lookup table'!$A$2:$B$161,2)</f>
        <v>Africa</v>
      </c>
    </row>
    <row r="107" spans="1:9" ht="16">
      <c r="A107" s="8" t="str">
        <f>'Sovereign Ratings (Moody''s,S&amp;P)'!A107</f>
        <v>Nigeria</v>
      </c>
      <c r="B107" s="125">
        <f>'Country GDP'!B107</f>
        <v>440776.97153601499</v>
      </c>
      <c r="C107" s="9" t="str">
        <f>'Sovereign Ratings (Moody''s,S&amp;P)'!C107</f>
        <v>B3</v>
      </c>
      <c r="D107" s="11">
        <f>'10-year CDS Spreads'!C107</f>
        <v>8.5199999999999998E-2</v>
      </c>
      <c r="E107" s="21">
        <f>'ERPs by country'!D113</f>
        <v>7.9525458715596339E-2</v>
      </c>
      <c r="F107" s="10">
        <f>'ERPs by country'!E113</f>
        <v>0.17158056832609495</v>
      </c>
      <c r="G107" s="14">
        <f>'ERPs by country'!F113</f>
        <v>0.11218056832609494</v>
      </c>
      <c r="H107" s="14">
        <f>'Country Tax Rates'!C107</f>
        <v>0.3</v>
      </c>
      <c r="I107" s="15" t="str">
        <f>VLOOKUP(A107,'Regional lookup table'!$A$2:$B$161,2)</f>
        <v>Africa</v>
      </c>
    </row>
    <row r="108" spans="1:9" ht="16">
      <c r="A108" s="8" t="str">
        <f>'Sovereign Ratings (Moody''s,S&amp;P)'!A108</f>
        <v>Norway</v>
      </c>
      <c r="B108" s="125">
        <f>'Country GDP'!B108</f>
        <v>482437.01979045395</v>
      </c>
      <c r="C108" s="9" t="str">
        <f>'Sovereign Ratings (Moody''s,S&amp;P)'!C108</f>
        <v>Aaa</v>
      </c>
      <c r="D108" s="11">
        <f>'10-year CDS Spreads'!C108</f>
        <v>2.8E-3</v>
      </c>
      <c r="E108" s="21">
        <f>'ERPs by country'!D114</f>
        <v>0</v>
      </c>
      <c r="F108" s="10">
        <f>'ERPs by country'!E114</f>
        <v>5.9400000000000001E-2</v>
      </c>
      <c r="G108" s="14">
        <f>'ERPs by country'!F114</f>
        <v>0</v>
      </c>
      <c r="H108" s="14">
        <f>'Country Tax Rates'!C108</f>
        <v>0.22</v>
      </c>
      <c r="I108" s="15" t="str">
        <f>VLOOKUP(A108,'Regional lookup table'!$A$2:$B$161,2)</f>
        <v>Western Europe</v>
      </c>
    </row>
    <row r="109" spans="1:9" ht="16">
      <c r="A109" s="8" t="str">
        <f>'Sovereign Ratings (Moody''s,S&amp;P)'!A109</f>
        <v>Oman</v>
      </c>
      <c r="B109" s="125">
        <f>'Country GDP'!B109</f>
        <v>85868.626527958404</v>
      </c>
      <c r="C109" s="9" t="str">
        <f>'Sovereign Ratings (Moody''s,S&amp;P)'!C109</f>
        <v>Ba3</v>
      </c>
      <c r="D109" s="11">
        <f>'10-year CDS Spreads'!C109</f>
        <v>2.3699999999999999E-2</v>
      </c>
      <c r="E109" s="21">
        <f>'ERPs by country'!D115</f>
        <v>4.4005045871559637E-2</v>
      </c>
      <c r="F109" s="10">
        <f>'ERPs by country'!E115</f>
        <v>0.12147460019490969</v>
      </c>
      <c r="G109" s="14">
        <f>'ERPs by country'!F115</f>
        <v>6.2074600194909679E-2</v>
      </c>
      <c r="H109" s="14">
        <f>'Country Tax Rates'!C109</f>
        <v>0.15</v>
      </c>
      <c r="I109" s="15" t="str">
        <f>VLOOKUP(A109,'Regional lookup table'!$A$2:$B$161,2)</f>
        <v>Middle East</v>
      </c>
    </row>
    <row r="110" spans="1:9" ht="16">
      <c r="A110" s="8" t="str">
        <f>'Sovereign Ratings (Moody''s,S&amp;P)'!A110</f>
        <v>Pakistan</v>
      </c>
      <c r="B110" s="125">
        <f>'Country GDP'!B110</f>
        <v>346343.17048607202</v>
      </c>
      <c r="C110" s="9" t="str">
        <f>'Sovereign Ratings (Moody''s,S&amp;P)'!C110</f>
        <v>Caa1</v>
      </c>
      <c r="D110" s="11" t="str">
        <f>'10-year CDS Spreads'!C110</f>
        <v>NA</v>
      </c>
      <c r="E110" s="21">
        <f>'ERPs by country'!D116</f>
        <v>9.1749082568807344E-2</v>
      </c>
      <c r="F110" s="10">
        <f>'ERPs by country'!E116</f>
        <v>0.18882351282468096</v>
      </c>
      <c r="G110" s="14">
        <f>'ERPs by country'!F116</f>
        <v>0.12942351282468095</v>
      </c>
      <c r="H110" s="14">
        <f>'Country Tax Rates'!C110</f>
        <v>0.28999999999999998</v>
      </c>
      <c r="I110" s="15" t="str">
        <f>VLOOKUP(A110,'Regional lookup table'!$A$2:$B$161,2)</f>
        <v>Asia</v>
      </c>
    </row>
    <row r="111" spans="1:9" ht="16">
      <c r="A111" s="8" t="str">
        <f>'Sovereign Ratings (Moody''s,S&amp;P)'!A111</f>
        <v>Panama</v>
      </c>
      <c r="B111" s="125">
        <f>'Country GDP'!B111</f>
        <v>63605.065799999997</v>
      </c>
      <c r="C111" s="9" t="str">
        <f>'Sovereign Ratings (Moody''s,S&amp;P)'!C111</f>
        <v>Baa2</v>
      </c>
      <c r="D111" s="11">
        <f>'10-year CDS Spreads'!C111</f>
        <v>1.7899999999999999E-2</v>
      </c>
      <c r="E111" s="21">
        <f>'ERPs by country'!D117</f>
        <v>2.3296788990825688E-2</v>
      </c>
      <c r="F111" s="10">
        <f>'ERPs by country'!E117</f>
        <v>9.2263023632599236E-2</v>
      </c>
      <c r="G111" s="14">
        <f>'ERPs by country'!F117</f>
        <v>3.2863023632599235E-2</v>
      </c>
      <c r="H111" s="14">
        <f>'Country Tax Rates'!C111</f>
        <v>0.25</v>
      </c>
      <c r="I111" s="15" t="str">
        <f>VLOOKUP(A111,'Regional lookup table'!$A$2:$B$161,2)</f>
        <v>Central and South America</v>
      </c>
    </row>
    <row r="112" spans="1:9" ht="16">
      <c r="A112" s="8" t="str">
        <f>'Sovereign Ratings (Moody''s,S&amp;P)'!A112</f>
        <v>Papua New Guinea</v>
      </c>
      <c r="B112" s="125">
        <f>'Country GDP'!B112</f>
        <v>26594.277245782003</v>
      </c>
      <c r="C112" s="9" t="str">
        <f>'Sovereign Ratings (Moody''s,S&amp;P)'!C112</f>
        <v>B2</v>
      </c>
      <c r="D112" s="11" t="str">
        <f>'10-year CDS Spreads'!C112</f>
        <v>NA</v>
      </c>
      <c r="E112" s="21">
        <f>'ERPs by country'!D118</f>
        <v>6.7301834862385335E-2</v>
      </c>
      <c r="F112" s="10">
        <f>'ERPs by country'!E118</f>
        <v>0.15433762382750893</v>
      </c>
      <c r="G112" s="14">
        <f>'ERPs by country'!F118</f>
        <v>9.4937623827508935E-2</v>
      </c>
      <c r="H112" s="14">
        <f>'Country Tax Rates'!C112</f>
        <v>0.3</v>
      </c>
      <c r="I112" s="15" t="str">
        <f>VLOOKUP(A112,'Regional lookup table'!$A$2:$B$161,2)</f>
        <v>Asia</v>
      </c>
    </row>
    <row r="113" spans="1:9" ht="16">
      <c r="A113" s="8" t="str">
        <f>'Sovereign Ratings (Moody''s,S&amp;P)'!A113</f>
        <v>Paraguay</v>
      </c>
      <c r="B113" s="125">
        <f>'Country GDP'!B113</f>
        <v>38986.810989001096</v>
      </c>
      <c r="C113" s="9" t="str">
        <f>'Sovereign Ratings (Moody''s,S&amp;P)'!C113</f>
        <v>Ba1</v>
      </c>
      <c r="D113" s="11" t="str">
        <f>'10-year CDS Spreads'!C113</f>
        <v>NA</v>
      </c>
      <c r="E113" s="21">
        <f>'ERPs by country'!D119</f>
        <v>3.0630963302752296E-2</v>
      </c>
      <c r="F113" s="10">
        <f>'ERPs by country'!E119</f>
        <v>0.10260879033175085</v>
      </c>
      <c r="G113" s="14">
        <f>'ERPs by country'!F119</f>
        <v>4.3208790331750853E-2</v>
      </c>
      <c r="H113" s="14">
        <f>'Country Tax Rates'!C113</f>
        <v>0.1</v>
      </c>
      <c r="I113" s="15" t="str">
        <f>VLOOKUP(A113,'Regional lookup table'!$A$2:$B$161,2)</f>
        <v>Central and South America</v>
      </c>
    </row>
    <row r="114" spans="1:9" ht="16">
      <c r="A114" s="8" t="str">
        <f>'Sovereign Ratings (Moody''s,S&amp;P)'!A114</f>
        <v>Peru</v>
      </c>
      <c r="B114" s="125">
        <f>'Country GDP'!B114</f>
        <v>223249.49750038699</v>
      </c>
      <c r="C114" s="9" t="str">
        <f>'Sovereign Ratings (Moody''s,S&amp;P)'!C114</f>
        <v>Baa1</v>
      </c>
      <c r="D114" s="11">
        <f>'10-year CDS Spreads'!C114</f>
        <v>1.9400000000000001E-2</v>
      </c>
      <c r="E114" s="21">
        <f>'ERPs by country'!D120</f>
        <v>1.9557798165137613E-2</v>
      </c>
      <c r="F114" s="10">
        <f>'ERPs by country'!E120</f>
        <v>8.6988711197737628E-2</v>
      </c>
      <c r="G114" s="14">
        <f>'ERPs by country'!F120</f>
        <v>2.758871119773763E-2</v>
      </c>
      <c r="H114" s="14">
        <f>'Country Tax Rates'!C114</f>
        <v>0.29499999999999998</v>
      </c>
      <c r="I114" s="15" t="str">
        <f>VLOOKUP(A114,'Regional lookup table'!$A$2:$B$161,2)</f>
        <v>Central and South America</v>
      </c>
    </row>
    <row r="115" spans="1:9" ht="16">
      <c r="A115" s="8" t="str">
        <f>'Sovereign Ratings (Moody''s,S&amp;P)'!A115</f>
        <v>Philippines</v>
      </c>
      <c r="B115" s="125">
        <f>'Country GDP'!B115</f>
        <v>394086.41934305604</v>
      </c>
      <c r="C115" s="9" t="str">
        <f>'Sovereign Ratings (Moody''s,S&amp;P)'!C115</f>
        <v>Baa2</v>
      </c>
      <c r="D115" s="11">
        <f>'10-year CDS Spreads'!C115</f>
        <v>1.6400000000000001E-2</v>
      </c>
      <c r="E115" s="21">
        <f>'ERPs by country'!D121</f>
        <v>2.3296788990825688E-2</v>
      </c>
      <c r="F115" s="10">
        <f>'ERPs by country'!E121</f>
        <v>9.2263023632599236E-2</v>
      </c>
      <c r="G115" s="14">
        <f>'ERPs by country'!F121</f>
        <v>3.2863023632599235E-2</v>
      </c>
      <c r="H115" s="14">
        <f>'Country Tax Rates'!C115</f>
        <v>0.25</v>
      </c>
      <c r="I115" s="15" t="str">
        <f>VLOOKUP(A115,'Regional lookup table'!$A$2:$B$161,2)</f>
        <v>Asia</v>
      </c>
    </row>
    <row r="116" spans="1:9" ht="16">
      <c r="A116" s="8" t="str">
        <f>'Sovereign Ratings (Moody''s,S&amp;P)'!A116</f>
        <v>Poland</v>
      </c>
      <c r="B116" s="125">
        <f>'Country GDP'!B116</f>
        <v>674048.26639736898</v>
      </c>
      <c r="C116" s="9" t="str">
        <f>'Sovereign Ratings (Moody''s,S&amp;P)'!C116</f>
        <v>A2</v>
      </c>
      <c r="D116" s="11">
        <f>'10-year CDS Spreads'!C116</f>
        <v>1.4500000000000001E-2</v>
      </c>
      <c r="E116" s="21">
        <f>'ERPs by country'!D122</f>
        <v>1.0354128440366973E-2</v>
      </c>
      <c r="F116" s="10">
        <f>'ERPs by country'!E122</f>
        <v>7.4005788281155213E-2</v>
      </c>
      <c r="G116" s="14">
        <f>'ERPs by country'!F122</f>
        <v>1.4605788281155217E-2</v>
      </c>
      <c r="H116" s="14">
        <f>'Country Tax Rates'!C116</f>
        <v>0.19</v>
      </c>
      <c r="I116" s="15" t="str">
        <f>VLOOKUP(A116,'Regional lookup table'!$A$2:$B$161,2)</f>
        <v>Eastern Europe &amp; Russia</v>
      </c>
    </row>
    <row r="117" spans="1:9" ht="16">
      <c r="A117" s="8" t="str">
        <f>'Sovereign Ratings (Moody''s,S&amp;P)'!A117</f>
        <v>Portugal</v>
      </c>
      <c r="B117" s="125">
        <f>'Country GDP'!B117</f>
        <v>249886.46435475201</v>
      </c>
      <c r="C117" s="9" t="str">
        <f>'Sovereign Ratings (Moody''s,S&amp;P)'!C117</f>
        <v>Baa2</v>
      </c>
      <c r="D117" s="11">
        <f>'10-year CDS Spreads'!C117</f>
        <v>8.0999999999999996E-3</v>
      </c>
      <c r="E117" s="21">
        <f>'ERPs by country'!D123</f>
        <v>2.3296788990825688E-2</v>
      </c>
      <c r="F117" s="10">
        <f>'ERPs by country'!E123</f>
        <v>9.2263023632599236E-2</v>
      </c>
      <c r="G117" s="14">
        <f>'ERPs by country'!F123</f>
        <v>3.2863023632599235E-2</v>
      </c>
      <c r="H117" s="14">
        <f>'Country Tax Rates'!C117</f>
        <v>0.21</v>
      </c>
      <c r="I117" s="15" t="str">
        <f>VLOOKUP(A117,'Regional lookup table'!$A$2:$B$161,2)</f>
        <v>Western Europe</v>
      </c>
    </row>
    <row r="118" spans="1:9" ht="16">
      <c r="A118" s="8" t="str">
        <f>'Sovereign Ratings (Moody''s,S&amp;P)'!A118</f>
        <v>Qatar</v>
      </c>
      <c r="B118" s="125">
        <f>'Country GDP'!B118</f>
        <v>179570.78355054901</v>
      </c>
      <c r="C118" s="9" t="str">
        <f>'Sovereign Ratings (Moody''s,S&amp;P)'!C118</f>
        <v>Aa3</v>
      </c>
      <c r="D118" s="11">
        <f>'10-year CDS Spreads'!C118</f>
        <v>7.9000000000000008E-3</v>
      </c>
      <c r="E118" s="21">
        <f>'ERPs by country'!D124</f>
        <v>7.3341743119266058E-3</v>
      </c>
      <c r="F118" s="10">
        <f>'ERPs by country'!E124</f>
        <v>6.9745766699151612E-2</v>
      </c>
      <c r="G118" s="14">
        <f>'ERPs by country'!F124</f>
        <v>1.0345766699151613E-2</v>
      </c>
      <c r="H118" s="14">
        <f>'Country Tax Rates'!C118</f>
        <v>0.1</v>
      </c>
      <c r="I118" s="15" t="str">
        <f>VLOOKUP(A118,'Regional lookup table'!$A$2:$B$161,2)</f>
        <v>Middle East</v>
      </c>
    </row>
    <row r="119" spans="1:9" ht="16">
      <c r="A119" s="8" t="str">
        <f>'Sovereign Ratings (Moody''s,S&amp;P)'!A119</f>
        <v>Ras Al Khaimah (Emirate of)</v>
      </c>
      <c r="B119" s="125">
        <f>'Country GDP'!B119</f>
        <v>35200</v>
      </c>
      <c r="C119" s="9" t="str">
        <f>'Sovereign Ratings (Moody''s,S&amp;P)'!C119</f>
        <v>A3</v>
      </c>
      <c r="D119" s="11" t="str">
        <f>'10-year CDS Spreads'!C119</f>
        <v>NA</v>
      </c>
      <c r="E119" s="21">
        <f>'ERPs by country'!D125</f>
        <v>1.4668348623853212E-2</v>
      </c>
      <c r="F119" s="10">
        <f>'ERPs by country'!E125</f>
        <v>8.009153339830323E-2</v>
      </c>
      <c r="G119" s="14">
        <f>'ERPs by country'!F125</f>
        <v>2.0691533398303225E-2</v>
      </c>
      <c r="H119" s="14">
        <f>'Country Tax Rates'!C119</f>
        <v>0</v>
      </c>
      <c r="I119" s="15" t="str">
        <f>VLOOKUP(A119,'Regional lookup table'!$A$2:$B$161,2)</f>
        <v>Middle East</v>
      </c>
    </row>
    <row r="120" spans="1:9" ht="16">
      <c r="A120" s="8" t="str">
        <f>'Sovereign Ratings (Moody''s,S&amp;P)'!A120</f>
        <v>Romania</v>
      </c>
      <c r="B120" s="125">
        <f>'Country GDP'!B120</f>
        <v>284087.56369579799</v>
      </c>
      <c r="C120" s="9" t="str">
        <f>'Sovereign Ratings (Moody''s,S&amp;P)'!C120</f>
        <v>Baa3</v>
      </c>
      <c r="D120" s="11">
        <f>'10-year CDS Spreads'!C120</f>
        <v>3.1699999999999999E-2</v>
      </c>
      <c r="E120" s="21">
        <f>'ERPs by country'!D126</f>
        <v>2.6891972477064225E-2</v>
      </c>
      <c r="F120" s="10">
        <f>'ERPs by country'!E126</f>
        <v>9.733447789688926E-2</v>
      </c>
      <c r="G120" s="14">
        <f>'ERPs by country'!F126</f>
        <v>3.7934477896889252E-2</v>
      </c>
      <c r="H120" s="14">
        <f>'Country Tax Rates'!C120</f>
        <v>0.16</v>
      </c>
      <c r="I120" s="15" t="str">
        <f>VLOOKUP(A120,'Regional lookup table'!$A$2:$B$161,2)</f>
        <v>Eastern Europe &amp; Russia</v>
      </c>
    </row>
    <row r="121" spans="1:9" ht="16">
      <c r="A121" s="8" t="str">
        <f>'Sovereign Ratings (Moody''s,S&amp;P)'!A121</f>
        <v>Russia</v>
      </c>
      <c r="B121" s="125">
        <f>'Country GDP'!B121</f>
        <v>1775799.9193529801</v>
      </c>
      <c r="C121" s="9" t="str">
        <f>'Sovereign Ratings (Moody''s,S&amp;P)'!C121</f>
        <v>Caa1</v>
      </c>
      <c r="D121" s="11" t="str">
        <f>'10-year CDS Spreads'!C121</f>
        <v>NA</v>
      </c>
      <c r="E121" s="21">
        <f>'ERPs by country'!D127</f>
        <v>9.1749082568807344E-2</v>
      </c>
      <c r="F121" s="10">
        <f>'ERPs by country'!E127</f>
        <v>0.18882351282468096</v>
      </c>
      <c r="G121" s="14">
        <f>'ERPs by country'!F127</f>
        <v>0.12942351282468095</v>
      </c>
      <c r="H121" s="14">
        <f>'Country Tax Rates'!C121</f>
        <v>0.2</v>
      </c>
      <c r="I121" s="15" t="str">
        <f>VLOOKUP(A121,'Regional lookup table'!$A$2:$B$161,2)</f>
        <v>Eastern Europe &amp; Russia</v>
      </c>
    </row>
    <row r="122" spans="1:9" ht="16">
      <c r="A122" s="8" t="str">
        <f>'Sovereign Ratings (Moody''s,S&amp;P)'!A122</f>
        <v>Rwanda</v>
      </c>
      <c r="B122" s="125">
        <f>'Country GDP'!B122</f>
        <v>11070.3565194804</v>
      </c>
      <c r="C122" s="9" t="str">
        <f>'Sovereign Ratings (Moody''s,S&amp;P)'!C122</f>
        <v>B2</v>
      </c>
      <c r="D122" s="11">
        <f>'10-year CDS Spreads'!C122</f>
        <v>5.4199999999999998E-2</v>
      </c>
      <c r="E122" s="21">
        <f>'ERPs by country'!D128</f>
        <v>6.7301834862385335E-2</v>
      </c>
      <c r="F122" s="10">
        <f>'ERPs by country'!E128</f>
        <v>0.15433762382750893</v>
      </c>
      <c r="G122" s="14">
        <f>'ERPs by country'!F128</f>
        <v>9.4937623827508935E-2</v>
      </c>
      <c r="H122" s="14">
        <f>'Country Tax Rates'!C122</f>
        <v>0.3</v>
      </c>
      <c r="I122" s="15" t="str">
        <f>VLOOKUP(A122,'Regional lookup table'!$A$2:$B$161,2)</f>
        <v>Africa</v>
      </c>
    </row>
    <row r="123" spans="1:9" ht="16">
      <c r="A123" s="8" t="str">
        <f>'Sovereign Ratings (Moody''s,S&amp;P)'!A123</f>
        <v>Saudi Arabia</v>
      </c>
      <c r="B123" s="125">
        <f>'Country GDP'!B123</f>
        <v>833541.23656931496</v>
      </c>
      <c r="C123" s="9" t="str">
        <f>'Sovereign Ratings (Moody''s,S&amp;P)'!C123</f>
        <v>A1</v>
      </c>
      <c r="D123" s="11">
        <f>'10-year CDS Spreads'!C123</f>
        <v>9.5999999999999992E-3</v>
      </c>
      <c r="E123" s="21">
        <f>'ERPs by country'!D129</f>
        <v>8.6284403669724778E-3</v>
      </c>
      <c r="F123" s="10">
        <f>'ERPs by country'!E129</f>
        <v>7.1571490234296015E-2</v>
      </c>
      <c r="G123" s="14">
        <f>'ERPs by country'!F129</f>
        <v>1.2171490234296015E-2</v>
      </c>
      <c r="H123" s="14">
        <f>'Country Tax Rates'!C123</f>
        <v>0.2</v>
      </c>
      <c r="I123" s="15" t="str">
        <f>VLOOKUP(A123,'Regional lookup table'!$A$2:$B$161,2)</f>
        <v>Middle East</v>
      </c>
    </row>
    <row r="124" spans="1:9" ht="16">
      <c r="A124" s="8" t="str">
        <f>'Sovereign Ratings (Moody''s,S&amp;P)'!A124</f>
        <v>Senegal</v>
      </c>
      <c r="B124" s="125">
        <f>'Country GDP'!B124</f>
        <v>27625.3883521688</v>
      </c>
      <c r="C124" s="9" t="str">
        <f>'Sovereign Ratings (Moody''s,S&amp;P)'!C124</f>
        <v>Ba3</v>
      </c>
      <c r="D124" s="11">
        <f>'10-year CDS Spreads'!C124</f>
        <v>5.3900000000000003E-2</v>
      </c>
      <c r="E124" s="21">
        <f>'ERPs by country'!D130</f>
        <v>4.4005045871559637E-2</v>
      </c>
      <c r="F124" s="10">
        <f>'ERPs by country'!E130</f>
        <v>0.12147460019490969</v>
      </c>
      <c r="G124" s="14">
        <f>'ERPs by country'!F130</f>
        <v>6.2074600194909679E-2</v>
      </c>
      <c r="H124" s="14">
        <f>'Country Tax Rates'!C124</f>
        <v>0.3</v>
      </c>
      <c r="I124" s="15" t="str">
        <f>VLOOKUP(A124,'Regional lookup table'!$A$2:$B$161,2)</f>
        <v>Africa</v>
      </c>
    </row>
    <row r="125" spans="1:9" ht="16">
      <c r="A125" s="8" t="str">
        <f>'Sovereign Ratings (Moody''s,S&amp;P)'!A125</f>
        <v>Serbia</v>
      </c>
      <c r="B125" s="125">
        <f>'Country GDP'!B125</f>
        <v>63068.134601125399</v>
      </c>
      <c r="C125" s="9" t="str">
        <f>'Sovereign Ratings (Moody''s,S&amp;P)'!C125</f>
        <v>Ba2</v>
      </c>
      <c r="D125" s="11">
        <f>'10-year CDS Spreads'!C125</f>
        <v>2.93E-2</v>
      </c>
      <c r="E125" s="21">
        <f>'ERPs by country'!D131</f>
        <v>3.6814678899082569E-2</v>
      </c>
      <c r="F125" s="10">
        <f>'ERPs by country'!E131</f>
        <v>0.11133169166632967</v>
      </c>
      <c r="G125" s="14">
        <f>'ERPs by country'!F131</f>
        <v>5.193169166632966E-2</v>
      </c>
      <c r="H125" s="14">
        <f>'Country Tax Rates'!C125</f>
        <v>0.15</v>
      </c>
      <c r="I125" s="15" t="str">
        <f>VLOOKUP(A125,'Regional lookup table'!$A$2:$B$161,2)</f>
        <v>Eastern Europe &amp; Russia</v>
      </c>
    </row>
    <row r="126" spans="1:9" ht="16">
      <c r="A126" s="8" t="str">
        <f>'Sovereign Ratings (Moody''s,S&amp;P)'!A126</f>
        <v>Sharjah</v>
      </c>
      <c r="B126" s="125">
        <f>'Country GDP'!B126</f>
        <v>24800</v>
      </c>
      <c r="C126" s="9" t="str">
        <f>'Sovereign Ratings (Moody''s,S&amp;P)'!C126</f>
        <v>Ba1</v>
      </c>
      <c r="D126" s="11" t="str">
        <f>'10-year CDS Spreads'!C126</f>
        <v>NA</v>
      </c>
      <c r="E126" s="21">
        <f>'ERPs by country'!D132</f>
        <v>3.0630963302752296E-2</v>
      </c>
      <c r="F126" s="10">
        <f>'ERPs by country'!E132</f>
        <v>0.10260879033175085</v>
      </c>
      <c r="G126" s="14">
        <f>'ERPs by country'!F132</f>
        <v>4.3208790331750853E-2</v>
      </c>
      <c r="H126" s="14">
        <f>'Country Tax Rates'!C126</f>
        <v>0</v>
      </c>
      <c r="I126" s="15" t="str">
        <f>VLOOKUP(A126,'Regional lookup table'!$A$2:$B$161,2)</f>
        <v>Middle East</v>
      </c>
    </row>
    <row r="127" spans="1:9" ht="16">
      <c r="A127" s="8" t="str">
        <f>'Sovereign Ratings (Moody''s,S&amp;P)'!A127</f>
        <v>Singapore</v>
      </c>
      <c r="B127" s="125">
        <f>'Country GDP'!B127</f>
        <v>396986.89988835104</v>
      </c>
      <c r="C127" s="9" t="str">
        <f>'Sovereign Ratings (Moody''s,S&amp;P)'!C127</f>
        <v>Aaa</v>
      </c>
      <c r="D127" s="11" t="str">
        <f>'10-year CDS Spreads'!C127</f>
        <v>NA</v>
      </c>
      <c r="E127" s="21">
        <f>'ERPs by country'!D133</f>
        <v>0</v>
      </c>
      <c r="F127" s="10">
        <f>'ERPs by country'!E133</f>
        <v>5.9400000000000001E-2</v>
      </c>
      <c r="G127" s="14">
        <f>'ERPs by country'!F133</f>
        <v>0</v>
      </c>
      <c r="H127" s="14">
        <f>'Country Tax Rates'!C127</f>
        <v>0.17</v>
      </c>
      <c r="I127" s="15" t="str">
        <f>VLOOKUP(A127,'Regional lookup table'!$A$2:$B$161,2)</f>
        <v>Asia</v>
      </c>
    </row>
    <row r="128" spans="1:9" ht="16">
      <c r="A128" s="8" t="str">
        <f>'Sovereign Ratings (Moody''s,S&amp;P)'!A128</f>
        <v>Slovakia</v>
      </c>
      <c r="B128" s="125">
        <f>'Country GDP'!B128</f>
        <v>114870.706410165</v>
      </c>
      <c r="C128" s="9" t="str">
        <f>'Sovereign Ratings (Moody''s,S&amp;P)'!C128</f>
        <v>A2</v>
      </c>
      <c r="D128" s="11">
        <f>'10-year CDS Spreads'!C128</f>
        <v>7.4999999999999997E-3</v>
      </c>
      <c r="E128" s="21">
        <f>'ERPs by country'!D134</f>
        <v>1.0354128440366973E-2</v>
      </c>
      <c r="F128" s="10">
        <f>'ERPs by country'!E134</f>
        <v>7.4005788281155213E-2</v>
      </c>
      <c r="G128" s="14">
        <f>'ERPs by country'!F134</f>
        <v>1.4605788281155217E-2</v>
      </c>
      <c r="H128" s="14">
        <f>'Country Tax Rates'!C128</f>
        <v>0.21</v>
      </c>
      <c r="I128" s="15" t="str">
        <f>VLOOKUP(A128,'Regional lookup table'!$A$2:$B$161,2)</f>
        <v>Eastern Europe &amp; Russia</v>
      </c>
    </row>
    <row r="129" spans="1:9" ht="16">
      <c r="A129" s="8" t="str">
        <f>'Sovereign Ratings (Moody''s,S&amp;P)'!A129</f>
        <v>Slovenia</v>
      </c>
      <c r="B129" s="125">
        <f>'Country GDP'!B129</f>
        <v>61526.331889499001</v>
      </c>
      <c r="C129" s="9" t="str">
        <f>'Sovereign Ratings (Moody''s,S&amp;P)'!C129</f>
        <v>A3</v>
      </c>
      <c r="D129" s="11">
        <f>'10-year CDS Spreads'!C129</f>
        <v>0.01</v>
      </c>
      <c r="E129" s="21">
        <f>'ERPs by country'!D135</f>
        <v>1.4668348623853212E-2</v>
      </c>
      <c r="F129" s="10">
        <f>'ERPs by country'!E135</f>
        <v>8.009153339830323E-2</v>
      </c>
      <c r="G129" s="14">
        <f>'ERPs by country'!F135</f>
        <v>2.0691533398303225E-2</v>
      </c>
      <c r="H129" s="14">
        <f>'Country Tax Rates'!C129</f>
        <v>0.19</v>
      </c>
      <c r="I129" s="15" t="str">
        <f>VLOOKUP(A129,'Regional lookup table'!$A$2:$B$161,2)</f>
        <v>Eastern Europe &amp; Russia</v>
      </c>
    </row>
    <row r="130" spans="1:9" ht="16">
      <c r="A130" s="8" t="str">
        <f>'Sovereign Ratings (Moody''s,S&amp;P)'!A130</f>
        <v>Solomon Islands</v>
      </c>
      <c r="B130" s="125">
        <f>'Country GDP'!B130</f>
        <v>1645.21388162016</v>
      </c>
      <c r="C130" s="9" t="str">
        <f>'Sovereign Ratings (Moody''s,S&amp;P)'!C130</f>
        <v>Caa1</v>
      </c>
      <c r="D130" s="11" t="str">
        <f>'10-year CDS Spreads'!C130</f>
        <v>NA</v>
      </c>
      <c r="E130" s="21">
        <f>'ERPs by country'!D136</f>
        <v>9.1749082568807344E-2</v>
      </c>
      <c r="F130" s="10">
        <f>'ERPs by country'!E136</f>
        <v>0.18882351282468096</v>
      </c>
      <c r="G130" s="14">
        <f>'ERPs by country'!F136</f>
        <v>0.12942351282468095</v>
      </c>
      <c r="H130" s="14">
        <f>'Country Tax Rates'!C130</f>
        <v>0.3</v>
      </c>
      <c r="I130" s="15" t="str">
        <f>VLOOKUP(A130,'Regional lookup table'!$A$2:$B$161,2)</f>
        <v>Asia</v>
      </c>
    </row>
    <row r="131" spans="1:9" ht="16">
      <c r="A131" s="8" t="str">
        <f>'Sovereign Ratings (Moody''s,S&amp;P)'!A131</f>
        <v>South Africa</v>
      </c>
      <c r="B131" s="125">
        <f>'Country GDP'!B131</f>
        <v>419946.42812600802</v>
      </c>
      <c r="C131" s="9" t="str">
        <f>'Sovereign Ratings (Moody''s,S&amp;P)'!C131</f>
        <v>Ba2</v>
      </c>
      <c r="D131" s="11">
        <f>'10-year CDS Spreads'!C131</f>
        <v>3.5099999999999999E-2</v>
      </c>
      <c r="E131" s="21">
        <f>'ERPs by country'!D137</f>
        <v>3.6814678899082569E-2</v>
      </c>
      <c r="F131" s="10">
        <f>'ERPs by country'!E137</f>
        <v>0.11133169166632967</v>
      </c>
      <c r="G131" s="14">
        <f>'ERPs by country'!F137</f>
        <v>5.193169166632966E-2</v>
      </c>
      <c r="H131" s="14">
        <f>'Country Tax Rates'!C131</f>
        <v>0.27</v>
      </c>
      <c r="I131" s="15" t="str">
        <f>VLOOKUP(A131,'Regional lookup table'!$A$2:$B$161,2)</f>
        <v>Africa</v>
      </c>
    </row>
    <row r="132" spans="1:9" ht="16">
      <c r="A132" s="8" t="str">
        <f>'Sovereign Ratings (Moody''s,S&amp;P)'!A132</f>
        <v>Spain</v>
      </c>
      <c r="B132" s="125">
        <f>'Country GDP'!B132</f>
        <v>1425276.5862829199</v>
      </c>
      <c r="C132" s="9" t="str">
        <f>'Sovereign Ratings (Moody''s,S&amp;P)'!C132</f>
        <v>Baa1</v>
      </c>
      <c r="D132" s="11">
        <f>'10-year CDS Spreads'!C132</f>
        <v>8.2000000000000007E-3</v>
      </c>
      <c r="E132" s="21">
        <f>'ERPs by country'!D138</f>
        <v>1.9557798165137613E-2</v>
      </c>
      <c r="F132" s="10">
        <f>'ERPs by country'!E138</f>
        <v>8.6988711197737628E-2</v>
      </c>
      <c r="G132" s="14">
        <f>'ERPs by country'!F138</f>
        <v>2.758871119773763E-2</v>
      </c>
      <c r="H132" s="14">
        <f>'Country Tax Rates'!C132</f>
        <v>0.25</v>
      </c>
      <c r="I132" s="15" t="str">
        <f>VLOOKUP(A132,'Regional lookup table'!$A$2:$B$161,2)</f>
        <v>Western Europe</v>
      </c>
    </row>
    <row r="133" spans="1:9" ht="16">
      <c r="A133" s="8" t="str">
        <f>'Sovereign Ratings (Moody''s,S&amp;P)'!A133</f>
        <v>Sri Lanka</v>
      </c>
      <c r="B133" s="125">
        <f>'Country GDP'!B133</f>
        <v>84518.83039261571</v>
      </c>
      <c r="C133" s="9" t="str">
        <f>'Sovereign Ratings (Moody''s,S&amp;P)'!C133</f>
        <v>Ca</v>
      </c>
      <c r="D133" s="11" t="str">
        <f>'10-year CDS Spreads'!C133</f>
        <v>NA</v>
      </c>
      <c r="E133" s="21">
        <f>'ERPs by country'!D139</f>
        <v>0.14682729357798166</v>
      </c>
      <c r="F133" s="10">
        <f>'ERPs by country'!E139</f>
        <v>0.26651819215360384</v>
      </c>
      <c r="G133" s="14">
        <f>'ERPs by country'!F139</f>
        <v>0.20711819215360386</v>
      </c>
      <c r="H133" s="14">
        <f>'Country Tax Rates'!C133</f>
        <v>0.24</v>
      </c>
      <c r="I133" s="15" t="str">
        <f>VLOOKUP(A133,'Regional lookup table'!$A$2:$B$161,2)</f>
        <v>Asia</v>
      </c>
    </row>
    <row r="134" spans="1:9" ht="16">
      <c r="A134" s="8" t="str">
        <f>'Sovereign Ratings (Moody''s,S&amp;P)'!A134</f>
        <v>St. Maarten</v>
      </c>
      <c r="B134" s="125">
        <f>'Country GDP'!B134</f>
        <v>11900</v>
      </c>
      <c r="C134" s="9" t="str">
        <f>'Sovereign Ratings (Moody''s,S&amp;P)'!C134</f>
        <v>Ba2</v>
      </c>
      <c r="D134" s="11" t="str">
        <f>'10-year CDS Spreads'!C134</f>
        <v>NA</v>
      </c>
      <c r="E134" s="21">
        <f>'ERPs by country'!D140</f>
        <v>3.6814678899082569E-2</v>
      </c>
      <c r="F134" s="10">
        <f>'ERPs by country'!E140</f>
        <v>0.11133169166632967</v>
      </c>
      <c r="G134" s="14">
        <f>'ERPs by country'!F140</f>
        <v>5.193169166632966E-2</v>
      </c>
      <c r="H134" s="14">
        <f>'Country Tax Rates'!C134</f>
        <v>0.27179999999999999</v>
      </c>
      <c r="I134" s="15" t="str">
        <f>VLOOKUP(A134,'Regional lookup table'!$A$2:$B$161,2)</f>
        <v>Caribbean</v>
      </c>
    </row>
    <row r="135" spans="1:9" ht="16">
      <c r="A135" s="8" t="str">
        <f>'Sovereign Ratings (Moody''s,S&amp;P)'!A135</f>
        <v>St. Vincent &amp; the Grenadines</v>
      </c>
      <c r="B135" s="125">
        <f>'Country GDP'!B135</f>
        <v>8100</v>
      </c>
      <c r="C135" s="9" t="str">
        <f>'Sovereign Ratings (Moody''s,S&amp;P)'!C135</f>
        <v>B3</v>
      </c>
      <c r="D135" s="11" t="str">
        <f>'10-year CDS Spreads'!C135</f>
        <v>NA</v>
      </c>
      <c r="E135" s="21">
        <f>'ERPs by country'!D141</f>
        <v>7.9525458715596339E-2</v>
      </c>
      <c r="F135" s="10">
        <f>'ERPs by country'!E141</f>
        <v>0.17158056832609495</v>
      </c>
      <c r="G135" s="14">
        <f>'ERPs by country'!F141</f>
        <v>0.11218056832609494</v>
      </c>
      <c r="H135" s="14">
        <f>'Country Tax Rates'!C135</f>
        <v>0.27179999999999999</v>
      </c>
      <c r="I135" s="15" t="str">
        <f>VLOOKUP(A135,'Regional lookup table'!$A$2:$B$161,2)</f>
        <v>Caribbean</v>
      </c>
    </row>
    <row r="136" spans="1:9" ht="16">
      <c r="A136" s="8" t="str">
        <f>'Sovereign Ratings (Moody''s,S&amp;P)'!A136</f>
        <v>Suriname</v>
      </c>
      <c r="B136" s="125">
        <f>'Country GDP'!B136</f>
        <v>2862.1319796954299</v>
      </c>
      <c r="C136" s="9" t="str">
        <f>'Sovereign Ratings (Moody''s,S&amp;P)'!C136</f>
        <v>Caa3</v>
      </c>
      <c r="D136" s="11" t="str">
        <f>'10-year CDS Spreads'!C136</f>
        <v>NA</v>
      </c>
      <c r="E136" s="21">
        <f>'ERPs by country'!D142</f>
        <v>0.12238004587155965</v>
      </c>
      <c r="F136" s="10">
        <f>'ERPs by country'!E142</f>
        <v>0.23203230315643184</v>
      </c>
      <c r="G136" s="14">
        <f>'ERPs by country'!F142</f>
        <v>0.17263230315643183</v>
      </c>
      <c r="H136" s="14">
        <f>'Country Tax Rates'!C136</f>
        <v>0.36</v>
      </c>
      <c r="I136" s="15" t="str">
        <f>VLOOKUP(A136,'Regional lookup table'!$A$2:$B$161,2)</f>
        <v>Central and South America</v>
      </c>
    </row>
    <row r="137" spans="1:9" ht="16">
      <c r="A137" s="8" t="str">
        <f>'Sovereign Ratings (Moody''s,S&amp;P)'!A137</f>
        <v>Swaziland</v>
      </c>
      <c r="B137" s="125">
        <f>'Country GDP'!B137</f>
        <v>4941.3731820826097</v>
      </c>
      <c r="C137" s="9" t="str">
        <f>'Sovereign Ratings (Moody''s,S&amp;P)'!C137</f>
        <v>B3</v>
      </c>
      <c r="D137" s="11" t="str">
        <f>'10-year CDS Spreads'!C137</f>
        <v>NA</v>
      </c>
      <c r="E137" s="21">
        <f>'ERPs by country'!D143</f>
        <v>7.9525458715596339E-2</v>
      </c>
      <c r="F137" s="10">
        <f>'ERPs by country'!E143</f>
        <v>0.17158056832609495</v>
      </c>
      <c r="G137" s="14">
        <f>'ERPs by country'!F143</f>
        <v>0.11218056832609494</v>
      </c>
      <c r="H137" s="14">
        <f>'Country Tax Rates'!C137</f>
        <v>0.27500000000000002</v>
      </c>
      <c r="I137" s="15" t="str">
        <f>VLOOKUP(A137,'Regional lookup table'!$A$2:$B$161,2)</f>
        <v>Africa</v>
      </c>
    </row>
    <row r="138" spans="1:9" ht="16">
      <c r="A138" s="8" t="str">
        <f>'Sovereign Ratings (Moody''s,S&amp;P)'!A138</f>
        <v>Sweden</v>
      </c>
      <c r="B138" s="125">
        <f>'Country GDP'!B138</f>
        <v>627437.89888729004</v>
      </c>
      <c r="C138" s="9" t="str">
        <f>'Sovereign Ratings (Moody''s,S&amp;P)'!C138</f>
        <v>Aaa</v>
      </c>
      <c r="D138" s="11">
        <f>'10-year CDS Spreads'!C138</f>
        <v>2.5999999999999999E-3</v>
      </c>
      <c r="E138" s="21">
        <f>'ERPs by country'!D144</f>
        <v>0</v>
      </c>
      <c r="F138" s="10">
        <f>'ERPs by country'!E144</f>
        <v>5.9400000000000001E-2</v>
      </c>
      <c r="G138" s="14">
        <f>'ERPs by country'!F144</f>
        <v>0</v>
      </c>
      <c r="H138" s="14">
        <f>'Country Tax Rates'!C138</f>
        <v>0.20600000000000002</v>
      </c>
      <c r="I138" s="15" t="str">
        <f>VLOOKUP(A138,'Regional lookup table'!$A$2:$B$161,2)</f>
        <v>Western Europe</v>
      </c>
    </row>
    <row r="139" spans="1:9" ht="16">
      <c r="A139" s="8" t="str">
        <f>'Sovereign Ratings (Moody''s,S&amp;P)'!A139</f>
        <v>Switzerland</v>
      </c>
      <c r="B139" s="125">
        <f>'Country GDP'!B139</f>
        <v>812866.92886747001</v>
      </c>
      <c r="C139" s="9" t="str">
        <f>'Sovereign Ratings (Moody''s,S&amp;P)'!C139</f>
        <v>Aaa</v>
      </c>
      <c r="D139" s="11">
        <f>'10-year CDS Spreads'!C139</f>
        <v>1.6999999999999999E-3</v>
      </c>
      <c r="E139" s="21">
        <f>'ERPs by country'!D145</f>
        <v>0</v>
      </c>
      <c r="F139" s="10">
        <f>'ERPs by country'!E145</f>
        <v>5.9400000000000001E-2</v>
      </c>
      <c r="G139" s="14">
        <f>'ERPs by country'!F145</f>
        <v>0</v>
      </c>
      <c r="H139" s="14">
        <f>'Country Tax Rates'!C139</f>
        <v>0.18</v>
      </c>
      <c r="I139" s="15" t="str">
        <f>VLOOKUP(A139,'Regional lookup table'!$A$2:$B$161,2)</f>
        <v>Western Europe</v>
      </c>
    </row>
    <row r="140" spans="1:9" ht="16">
      <c r="A140" s="8" t="str">
        <f>'Sovereign Ratings (Moody''s,S&amp;P)'!A140</f>
        <v>Taiwan</v>
      </c>
      <c r="B140" s="125">
        <f>'Country GDP'!B140</f>
        <v>689000</v>
      </c>
      <c r="C140" s="9" t="str">
        <f>'Sovereign Ratings (Moody''s,S&amp;P)'!C140</f>
        <v>Aa3</v>
      </c>
      <c r="D140" s="11" t="str">
        <f>'10-year CDS Spreads'!C140</f>
        <v>NA</v>
      </c>
      <c r="E140" s="21">
        <f>'ERPs by country'!D146</f>
        <v>7.3341743119266058E-3</v>
      </c>
      <c r="F140" s="10">
        <f>'ERPs by country'!E146</f>
        <v>6.9745766699151612E-2</v>
      </c>
      <c r="G140" s="14">
        <f>'ERPs by country'!F146</f>
        <v>1.0345766699151613E-2</v>
      </c>
      <c r="H140" s="14">
        <f>'Country Tax Rates'!C140</f>
        <v>0.2</v>
      </c>
      <c r="I140" s="15" t="str">
        <f>VLOOKUP(A140,'Regional lookup table'!$A$2:$B$161,2)</f>
        <v>Asia</v>
      </c>
    </row>
    <row r="141" spans="1:9" ht="16">
      <c r="A141" s="8" t="str">
        <f>'Sovereign Ratings (Moody''s,S&amp;P)'!A141</f>
        <v>Tajikistan</v>
      </c>
      <c r="B141" s="125">
        <f>'Country GDP'!B141</f>
        <v>8746.2706364014211</v>
      </c>
      <c r="C141" s="9" t="str">
        <f>'Sovereign Ratings (Moody''s,S&amp;P)'!C141</f>
        <v>B3</v>
      </c>
      <c r="D141" s="11" t="str">
        <f>'10-year CDS Spreads'!C141</f>
        <v>NA</v>
      </c>
      <c r="E141" s="21">
        <f>'ERPs by country'!D147</f>
        <v>7.9525458715596339E-2</v>
      </c>
      <c r="F141" s="10">
        <f>'ERPs by country'!E147</f>
        <v>0.17158056832609495</v>
      </c>
      <c r="G141" s="14">
        <f>'ERPs by country'!F147</f>
        <v>0.11218056832609494</v>
      </c>
      <c r="H141" s="14">
        <f>'Country Tax Rates'!C141</f>
        <v>0.18</v>
      </c>
      <c r="I141" s="15" t="str">
        <f>VLOOKUP(A141,'Regional lookup table'!$A$2:$B$161,2)</f>
        <v>Eastern Europe &amp; Russia</v>
      </c>
    </row>
    <row r="142" spans="1:9" ht="16">
      <c r="A142" s="8" t="str">
        <f>'Sovereign Ratings (Moody''s,S&amp;P)'!A142</f>
        <v>Tanzania</v>
      </c>
      <c r="B142" s="125">
        <f>'Country GDP'!B142</f>
        <v>67775.101794347807</v>
      </c>
      <c r="C142" s="9" t="str">
        <f>'Sovereign Ratings (Moody''s,S&amp;P)'!C142</f>
        <v>B2</v>
      </c>
      <c r="D142" s="11" t="str">
        <f>'10-year CDS Spreads'!C142</f>
        <v>NA</v>
      </c>
      <c r="E142" s="21">
        <f>'ERPs by country'!D148</f>
        <v>6.7301834862385335E-2</v>
      </c>
      <c r="F142" s="10">
        <f>'ERPs by country'!E148</f>
        <v>0.15433762382750893</v>
      </c>
      <c r="G142" s="14">
        <f>'ERPs by country'!F148</f>
        <v>9.4937623827508935E-2</v>
      </c>
      <c r="H142" s="14">
        <f>'Country Tax Rates'!C142</f>
        <v>0.3</v>
      </c>
      <c r="I142" s="15" t="str">
        <f>VLOOKUP(A142,'Regional lookup table'!$A$2:$B$161,2)</f>
        <v>Africa</v>
      </c>
    </row>
    <row r="143" spans="1:9" ht="16">
      <c r="A143" s="8" t="str">
        <f>'Sovereign Ratings (Moody''s,S&amp;P)'!A143</f>
        <v>Thailand</v>
      </c>
      <c r="B143" s="125">
        <f>'Country GDP'!B143</f>
        <v>505981.655622305</v>
      </c>
      <c r="C143" s="9" t="str">
        <f>'Sovereign Ratings (Moody''s,S&amp;P)'!C143</f>
        <v>Baa1</v>
      </c>
      <c r="D143" s="11">
        <f>'10-year CDS Spreads'!C143</f>
        <v>8.6999999999999994E-3</v>
      </c>
      <c r="E143" s="21">
        <f>'ERPs by country'!D149</f>
        <v>1.9557798165137613E-2</v>
      </c>
      <c r="F143" s="10">
        <f>'ERPs by country'!E149</f>
        <v>8.6988711197737628E-2</v>
      </c>
      <c r="G143" s="14">
        <f>'ERPs by country'!F149</f>
        <v>2.758871119773763E-2</v>
      </c>
      <c r="H143" s="14">
        <f>'Country Tax Rates'!C143</f>
        <v>0.2</v>
      </c>
      <c r="I143" s="15" t="str">
        <f>VLOOKUP(A143,'Regional lookup table'!$A$2:$B$161,2)</f>
        <v>Asia</v>
      </c>
    </row>
    <row r="144" spans="1:9" ht="16">
      <c r="A144" s="8" t="str">
        <f>'Sovereign Ratings (Moody''s,S&amp;P)'!A144</f>
        <v>Togo</v>
      </c>
      <c r="B144" s="125">
        <f>'Country GDP'!B144</f>
        <v>8413.2005676151002</v>
      </c>
      <c r="C144" s="9" t="str">
        <f>'Sovereign Ratings (Moody''s,S&amp;P)'!C144</f>
        <v>B3</v>
      </c>
      <c r="D144" s="11" t="str">
        <f>'10-year CDS Spreads'!C144</f>
        <v>NA</v>
      </c>
      <c r="E144" s="21">
        <f>'ERPs by country'!D150</f>
        <v>7.9525458715596339E-2</v>
      </c>
      <c r="F144" s="10">
        <f>'ERPs by country'!E150</f>
        <v>0.17158056832609495</v>
      </c>
      <c r="G144" s="14">
        <f>'ERPs by country'!F150</f>
        <v>0.11218056832609494</v>
      </c>
      <c r="H144" s="14">
        <f>'Country Tax Rates'!C144</f>
        <v>0.2281</v>
      </c>
      <c r="I144" s="15" t="str">
        <f>VLOOKUP(A144,'Regional lookup table'!$A$2:$B$161,2)</f>
        <v>Africa</v>
      </c>
    </row>
    <row r="145" spans="1:9" ht="16">
      <c r="A145" s="8" t="str">
        <f>'Sovereign Ratings (Moody''s,S&amp;P)'!A145</f>
        <v>Trinidad and Tobago</v>
      </c>
      <c r="B145" s="125">
        <f>'Country GDP'!B145</f>
        <v>21391.802311011797</v>
      </c>
      <c r="C145" s="9" t="str">
        <f>'Sovereign Ratings (Moody''s,S&amp;P)'!C145</f>
        <v>Ba2</v>
      </c>
      <c r="D145" s="11" t="str">
        <f>'10-year CDS Spreads'!C145</f>
        <v>NA</v>
      </c>
      <c r="E145" s="21">
        <f>'ERPs by country'!D151</f>
        <v>3.6814678899082569E-2</v>
      </c>
      <c r="F145" s="10">
        <f>'ERPs by country'!E151</f>
        <v>0.11133169166632967</v>
      </c>
      <c r="G145" s="14">
        <f>'ERPs by country'!F151</f>
        <v>5.193169166632966E-2</v>
      </c>
      <c r="H145" s="14">
        <f>'Country Tax Rates'!C145</f>
        <v>0.3</v>
      </c>
      <c r="I145" s="15" t="str">
        <f>VLOOKUP(A145,'Regional lookup table'!$A$2:$B$161,2)</f>
        <v>Caribbean</v>
      </c>
    </row>
    <row r="146" spans="1:9" ht="16">
      <c r="A146" s="8" t="str">
        <f>'Sovereign Ratings (Moody''s,S&amp;P)'!A146</f>
        <v>Tunisia</v>
      </c>
      <c r="B146" s="125">
        <f>'Country GDP'!B146</f>
        <v>46840.042941492204</v>
      </c>
      <c r="C146" s="9" t="str">
        <f>'Sovereign Ratings (Moody''s,S&amp;P)'!C146</f>
        <v>Caa1</v>
      </c>
      <c r="D146" s="11">
        <f>'10-year CDS Spreads'!C146</f>
        <v>8.6900000000000005E-2</v>
      </c>
      <c r="E146" s="21">
        <f>'ERPs by country'!D152</f>
        <v>9.1749082568807344E-2</v>
      </c>
      <c r="F146" s="10">
        <f>'ERPs by country'!E152</f>
        <v>0.18882351282468096</v>
      </c>
      <c r="G146" s="14">
        <f>'ERPs by country'!F152</f>
        <v>0.12942351282468095</v>
      </c>
      <c r="H146" s="14">
        <f>'Country Tax Rates'!C146</f>
        <v>0.15</v>
      </c>
      <c r="I146" s="15" t="str">
        <f>VLOOKUP(A146,'Regional lookup table'!$A$2:$B$161,2)</f>
        <v>Africa</v>
      </c>
    </row>
    <row r="147" spans="1:9" ht="16">
      <c r="A147" s="8" t="str">
        <f>'Sovereign Ratings (Moody''s,S&amp;P)'!A147</f>
        <v>Turkey</v>
      </c>
      <c r="B147" s="125">
        <f>'Country GDP'!B147</f>
        <v>815271.75172442303</v>
      </c>
      <c r="C147" s="9" t="str">
        <f>'Sovereign Ratings (Moody''s,S&amp;P)'!C147</f>
        <v>B3</v>
      </c>
      <c r="D147" s="11">
        <f>'10-year CDS Spreads'!C147</f>
        <v>5.2999999999999999E-2</v>
      </c>
      <c r="E147" s="21">
        <f>'ERPs by country'!D153</f>
        <v>7.9525458715596339E-2</v>
      </c>
      <c r="F147" s="10">
        <f>'ERPs by country'!E153</f>
        <v>0.17158056832609495</v>
      </c>
      <c r="G147" s="14">
        <f>'ERPs by country'!F153</f>
        <v>0.11218056832609494</v>
      </c>
      <c r="H147" s="14">
        <f>'Country Tax Rates'!C147</f>
        <v>0.23</v>
      </c>
      <c r="I147" s="15" t="str">
        <f>VLOOKUP(A147,'Regional lookup table'!$A$2:$B$161,2)</f>
        <v>Western Europe</v>
      </c>
    </row>
    <row r="148" spans="1:9" ht="16">
      <c r="A148" s="8" t="str">
        <f>'Sovereign Ratings (Moody''s,S&amp;P)'!A148</f>
        <v>Turks and Caicos Islands</v>
      </c>
      <c r="B148" s="125">
        <f>'Country GDP'!B148</f>
        <v>943.269768</v>
      </c>
      <c r="C148" s="9" t="str">
        <f>'Sovereign Ratings (Moody''s,S&amp;P)'!C148</f>
        <v>Baa1</v>
      </c>
      <c r="D148" s="11" t="str">
        <f>'10-year CDS Spreads'!C148</f>
        <v>NA</v>
      </c>
      <c r="E148" s="21">
        <f>'ERPs by country'!D154</f>
        <v>1.9557798165137613E-2</v>
      </c>
      <c r="F148" s="10">
        <f>'ERPs by country'!E154</f>
        <v>8.6988711197737628E-2</v>
      </c>
      <c r="G148" s="14">
        <f>'ERPs by country'!F154</f>
        <v>2.758871119773763E-2</v>
      </c>
      <c r="H148" s="14">
        <f>'Country Tax Rates'!C148</f>
        <v>0</v>
      </c>
      <c r="I148" s="15" t="str">
        <f>VLOOKUP(A148,'Regional lookup table'!$A$2:$B$161,2)</f>
        <v>Caribbean</v>
      </c>
    </row>
    <row r="149" spans="1:9" ht="16">
      <c r="A149" s="8" t="str">
        <f>'Sovereign Ratings (Moody''s,S&amp;P)'!A149</f>
        <v>Uganda</v>
      </c>
      <c r="B149" s="125">
        <f>'Country GDP'!B149</f>
        <v>40434.701516952795</v>
      </c>
      <c r="C149" s="9" t="str">
        <f>'Sovereign Ratings (Moody''s,S&amp;P)'!C149</f>
        <v>B2</v>
      </c>
      <c r="D149" s="11" t="str">
        <f>'10-year CDS Spreads'!C149</f>
        <v>NA</v>
      </c>
      <c r="E149" s="21">
        <f>'ERPs by country'!D155</f>
        <v>6.7301834862385335E-2</v>
      </c>
      <c r="F149" s="10">
        <f>'ERPs by country'!E155</f>
        <v>0.15433762382750893</v>
      </c>
      <c r="G149" s="14">
        <f>'ERPs by country'!F155</f>
        <v>9.4937623827508935E-2</v>
      </c>
      <c r="H149" s="14">
        <f>'Country Tax Rates'!C149</f>
        <v>0.3</v>
      </c>
      <c r="I149" s="15" t="str">
        <f>VLOOKUP(A149,'Regional lookup table'!$A$2:$B$161,2)</f>
        <v>Africa</v>
      </c>
    </row>
    <row r="150" spans="1:9" ht="16">
      <c r="A150" s="8" t="str">
        <f>'Sovereign Ratings (Moody''s,S&amp;P)'!A150</f>
        <v>Ukraine</v>
      </c>
      <c r="B150" s="125">
        <f>'Country GDP'!B150</f>
        <v>200085.53774435399</v>
      </c>
      <c r="C150" s="9" t="str">
        <f>'Sovereign Ratings (Moody''s,S&amp;P)'!C150</f>
        <v>Caa3</v>
      </c>
      <c r="D150" s="11" t="str">
        <f>'10-year CDS Spreads'!C150</f>
        <v>NA</v>
      </c>
      <c r="E150" s="21">
        <f>'ERPs by country'!D156</f>
        <v>0.12238004587155965</v>
      </c>
      <c r="F150" s="10">
        <f>'ERPs by country'!E156</f>
        <v>0.23203230315643184</v>
      </c>
      <c r="G150" s="14">
        <f>'ERPs by country'!F156</f>
        <v>0.17263230315643183</v>
      </c>
      <c r="H150" s="14">
        <f>'Country Tax Rates'!C150</f>
        <v>0.18</v>
      </c>
      <c r="I150" s="15" t="str">
        <f>VLOOKUP(A150,'Regional lookup table'!$A$2:$B$161,2)</f>
        <v>Eastern Europe &amp; Russia</v>
      </c>
    </row>
    <row r="151" spans="1:9" ht="16">
      <c r="A151" s="8" t="str">
        <f>'Sovereign Ratings (Moody''s,S&amp;P)'!A151</f>
        <v>United Arab Emirates</v>
      </c>
      <c r="B151" s="125">
        <f>'Country GDP'!B151</f>
        <v>358868.76517492399</v>
      </c>
      <c r="C151" s="9" t="str">
        <f>'Sovereign Ratings (Moody''s,S&amp;P)'!C151</f>
        <v>Aa2</v>
      </c>
      <c r="D151" s="11" t="str">
        <f>'10-year CDS Spreads'!C151</f>
        <v>NA</v>
      </c>
      <c r="E151" s="21">
        <f>'ERPs by country'!D157</f>
        <v>6.0399082568807346E-3</v>
      </c>
      <c r="F151" s="10">
        <f>'ERPs by country'!E157</f>
        <v>6.792004316400721E-2</v>
      </c>
      <c r="G151" s="14">
        <f>'ERPs by country'!F157</f>
        <v>8.5200431640072103E-3</v>
      </c>
      <c r="H151" s="14">
        <f>'Country Tax Rates'!C151</f>
        <v>0</v>
      </c>
      <c r="I151" s="15" t="str">
        <f>VLOOKUP(A151,'Regional lookup table'!$A$2:$B$161,2)</f>
        <v>Middle East</v>
      </c>
    </row>
    <row r="152" spans="1:9" ht="16">
      <c r="A152" s="8" t="str">
        <f>'Sovereign Ratings (Moody''s,S&amp;P)'!A152</f>
        <v>United Kingdom</v>
      </c>
      <c r="B152" s="125">
        <f>'Country GDP'!B152</f>
        <v>3186859.7391850199</v>
      </c>
      <c r="C152" s="9" t="str">
        <f>'Sovereign Ratings (Moody''s,S&amp;P)'!C152</f>
        <v>Aa3</v>
      </c>
      <c r="D152" s="11">
        <f>'10-year CDS Spreads'!C152</f>
        <v>3.5999999999999999E-3</v>
      </c>
      <c r="E152" s="21">
        <f>'ERPs by country'!D158</f>
        <v>7.3341743119266058E-3</v>
      </c>
      <c r="F152" s="10">
        <f>'ERPs by country'!E158</f>
        <v>6.9745766699151612E-2</v>
      </c>
      <c r="G152" s="14">
        <f>'ERPs by country'!F158</f>
        <v>1.0345766699151613E-2</v>
      </c>
      <c r="H152" s="14">
        <f>'Country Tax Rates'!C152</f>
        <v>0.25</v>
      </c>
      <c r="I152" s="15" t="str">
        <f>VLOOKUP(A152,'Regional lookup table'!$A$2:$B$161,2)</f>
        <v>Western Europe</v>
      </c>
    </row>
    <row r="153" spans="1:9" ht="15" customHeight="1">
      <c r="A153" s="8" t="str">
        <f>'Sovereign Ratings (Moody''s,S&amp;P)'!A153</f>
        <v>United States</v>
      </c>
      <c r="B153" s="125">
        <f>'Country GDP'!B153</f>
        <v>22996100</v>
      </c>
      <c r="C153" s="9" t="str">
        <f>'Sovereign Ratings (Moody''s,S&amp;P)'!C153</f>
        <v>Aaa</v>
      </c>
      <c r="D153" s="11">
        <f>'10-year CDS Spreads'!C153</f>
        <v>3.2000000000000002E-3</v>
      </c>
      <c r="E153" s="21">
        <f>'ERPs by country'!D159</f>
        <v>0</v>
      </c>
      <c r="F153" s="10">
        <f>'ERPs by country'!E159</f>
        <v>5.9400000000000001E-2</v>
      </c>
      <c r="G153" s="14">
        <f>'ERPs by country'!F159</f>
        <v>0</v>
      </c>
      <c r="H153" s="14">
        <f>'Country Tax Rates'!C153</f>
        <v>0.25</v>
      </c>
      <c r="I153" s="15" t="str">
        <f>VLOOKUP(A153,'Regional lookup table'!$A$2:$B$161,2)</f>
        <v>North America</v>
      </c>
    </row>
    <row r="154" spans="1:9" ht="16">
      <c r="A154" s="8" t="str">
        <f>'Sovereign Ratings (Moody''s,S&amp;P)'!A154</f>
        <v>Uruguay</v>
      </c>
      <c r="B154" s="125">
        <f>'Country GDP'!B154</f>
        <v>59319.547636087598</v>
      </c>
      <c r="C154" s="9" t="str">
        <f>'Sovereign Ratings (Moody''s,S&amp;P)'!C154</f>
        <v>Baa2</v>
      </c>
      <c r="D154" s="11">
        <f>'10-year CDS Spreads'!C154</f>
        <v>1.43E-2</v>
      </c>
      <c r="E154" s="21">
        <f>'ERPs by country'!D160</f>
        <v>2.3296788990825688E-2</v>
      </c>
      <c r="F154" s="10">
        <f>'ERPs by country'!E160</f>
        <v>9.2263023632599236E-2</v>
      </c>
      <c r="G154" s="14">
        <f>'ERPs by country'!F160</f>
        <v>3.2863023632599235E-2</v>
      </c>
      <c r="H154" s="14">
        <f>'Country Tax Rates'!C154</f>
        <v>0.25</v>
      </c>
      <c r="I154" s="15" t="str">
        <f>VLOOKUP(A154,'Regional lookup table'!$A$2:$B$161,2)</f>
        <v>Central and South America</v>
      </c>
    </row>
    <row r="155" spans="1:9" ht="16">
      <c r="A155" s="8" t="str">
        <f>'Sovereign Ratings (Moody''s,S&amp;P)'!A155</f>
        <v>Uzbekistan</v>
      </c>
      <c r="B155" s="125">
        <f>'Country GDP'!B155</f>
        <v>69238.903106173791</v>
      </c>
      <c r="C155" s="9" t="str">
        <f>'Sovereign Ratings (Moody''s,S&amp;P)'!C155</f>
        <v>B1</v>
      </c>
      <c r="D155" s="11" t="str">
        <f>'10-year CDS Spreads'!C155</f>
        <v>NA</v>
      </c>
      <c r="E155" s="21">
        <f>'ERPs by country'!D161</f>
        <v>5.5078211009174309E-2</v>
      </c>
      <c r="F155" s="10">
        <f>'ERPs by country'!E161</f>
        <v>0.13709467932892289</v>
      </c>
      <c r="G155" s="14">
        <f>'ERPs by country'!F161</f>
        <v>7.7694679328922892E-2</v>
      </c>
      <c r="H155" s="14">
        <f>'Country Tax Rates'!C155</f>
        <v>0.15</v>
      </c>
      <c r="I155" s="15" t="str">
        <f>VLOOKUP(A155,'Regional lookup table'!$A$2:$B$161,2)</f>
        <v>Eastern Europe &amp; Russia</v>
      </c>
    </row>
    <row r="156" spans="1:9" ht="16">
      <c r="A156" s="8" t="str">
        <f>'Sovereign Ratings (Moody''s,S&amp;P)'!A156</f>
        <v>Venezuela</v>
      </c>
      <c r="B156" s="125">
        <f>'Country GDP'!B156</f>
        <v>98400</v>
      </c>
      <c r="C156" s="9" t="str">
        <f>'Sovereign Ratings (Moody''s,S&amp;P)'!C156</f>
        <v>C</v>
      </c>
      <c r="D156" s="11" t="str">
        <f>'10-year CDS Spreads'!C156</f>
        <v>NA</v>
      </c>
      <c r="E156" s="21">
        <f>'ERPs by country'!D162</f>
        <v>0.17499999999999999</v>
      </c>
      <c r="F156" s="10">
        <f>'ERPs by country'!E162</f>
        <v>0.30625930485826308</v>
      </c>
      <c r="G156" s="14">
        <f>'ERPs by country'!F162</f>
        <v>0.2468593048582631</v>
      </c>
      <c r="H156" s="14">
        <f>'Country Tax Rates'!C156</f>
        <v>0.34</v>
      </c>
      <c r="I156" s="15" t="str">
        <f>VLOOKUP(A156,'Regional lookup table'!$A$2:$B$161,2)</f>
        <v>Central and South America</v>
      </c>
    </row>
    <row r="157" spans="1:9" ht="16">
      <c r="A157" s="8" t="str">
        <f>'Sovereign Ratings (Moody''s,S&amp;P)'!A157</f>
        <v>Vietnam</v>
      </c>
      <c r="B157" s="125">
        <f>'Country GDP'!B157</f>
        <v>362637.52407096897</v>
      </c>
      <c r="C157" s="9" t="str">
        <f>'Sovereign Ratings (Moody''s,S&amp;P)'!C157</f>
        <v>Ba2</v>
      </c>
      <c r="D157" s="11">
        <f>'10-year CDS Spreads'!C157</f>
        <v>2.07E-2</v>
      </c>
      <c r="E157" s="21">
        <f>'ERPs by country'!D163</f>
        <v>3.6814678899082569E-2</v>
      </c>
      <c r="F157" s="10">
        <f>'ERPs by country'!E163</f>
        <v>0.11133169166632967</v>
      </c>
      <c r="G157" s="14">
        <f>'ERPs by country'!F163</f>
        <v>5.193169166632966E-2</v>
      </c>
      <c r="H157" s="14">
        <f>'Country Tax Rates'!C157</f>
        <v>0.2</v>
      </c>
      <c r="I157" s="15" t="str">
        <f>VLOOKUP(A157,'Regional lookup table'!$A$2:$B$161,2)</f>
        <v>Asia</v>
      </c>
    </row>
    <row r="158" spans="1:9" ht="16">
      <c r="A158" s="8" t="str">
        <f>'Sovereign Ratings (Moody''s,S&amp;P)'!A158</f>
        <v>Zambia</v>
      </c>
      <c r="B158" s="125">
        <f>'Country GDP'!B158</f>
        <v>21203.0590803507</v>
      </c>
      <c r="C158" s="9" t="str">
        <f>'Sovereign Ratings (Moody''s,S&amp;P)'!C158</f>
        <v>Ca</v>
      </c>
      <c r="D158" s="11" t="str">
        <f>'10-year CDS Spreads'!C158</f>
        <v>NA</v>
      </c>
      <c r="E158" s="21">
        <f>'ERPs by country'!D164</f>
        <v>0.14682729357798166</v>
      </c>
      <c r="F158" s="10">
        <f>'ERPs by country'!E164</f>
        <v>0.26651819215360384</v>
      </c>
      <c r="G158" s="14">
        <f>'ERPs by country'!F164</f>
        <v>0.20711819215360386</v>
      </c>
      <c r="H158" s="14">
        <f>'Country Tax Rates'!C158</f>
        <v>0.35</v>
      </c>
      <c r="I158" s="15" t="str">
        <f>VLOOKUP(A158,'Regional lookup table'!$A$2:$B$161,2)</f>
        <v>Africa</v>
      </c>
    </row>
  </sheetData>
  <phoneticPr fontId="14" type="noConversion"/>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8"/>
  <sheetViews>
    <sheetView topLeftCell="A107" zoomScaleNormal="100" workbookViewId="0">
      <selection activeCell="C121" sqref="C121"/>
    </sheetView>
  </sheetViews>
  <sheetFormatPr baseColWidth="10" defaultRowHeight="16"/>
  <cols>
    <col min="1" max="1" width="24.83203125" style="38" bestFit="1" customWidth="1"/>
    <col min="2" max="2" width="16.1640625" style="38" bestFit="1" customWidth="1"/>
    <col min="3" max="3" width="19.6640625" style="38" bestFit="1" customWidth="1"/>
  </cols>
  <sheetData>
    <row r="1" spans="1:15" ht="34">
      <c r="A1" s="66" t="s">
        <v>561</v>
      </c>
      <c r="B1" s="67" t="s">
        <v>270</v>
      </c>
      <c r="C1" s="67" t="s">
        <v>271</v>
      </c>
    </row>
    <row r="2" spans="1:15">
      <c r="A2" s="46" t="str">
        <f>'Ratings worksheet'!A2</f>
        <v>Abu Dhabi</v>
      </c>
      <c r="B2" s="56" t="str">
        <f>'Ratings worksheet'!B2</f>
        <v>NA</v>
      </c>
      <c r="C2" s="56" t="str">
        <f>IF('Ratings worksheet'!C2="NA",VLOOKUP('Ratings worksheet'!B2,'Sovereign Ratings (Moody''s,S&amp;P)'!$F$9:$G$33,2,FALSE),'Ratings worksheet'!C2)</f>
        <v>Aa2</v>
      </c>
      <c r="F2" s="257" t="s">
        <v>93</v>
      </c>
      <c r="G2" s="257"/>
      <c r="H2" s="257"/>
      <c r="I2" s="257"/>
      <c r="J2" s="257"/>
      <c r="K2" s="257"/>
      <c r="L2" s="257"/>
      <c r="M2" s="257"/>
      <c r="N2" s="257"/>
      <c r="O2" s="257"/>
    </row>
    <row r="3" spans="1:15">
      <c r="A3" s="46" t="str">
        <f>'Ratings worksheet'!A3</f>
        <v>Albania</v>
      </c>
      <c r="B3" s="56" t="str">
        <f>'Ratings worksheet'!B3</f>
        <v>B+</v>
      </c>
      <c r="C3" s="56" t="str">
        <f>IF('Ratings worksheet'!C3="NA",VLOOKUP('Ratings worksheet'!B3,'Sovereign Ratings (Moody''s,S&amp;P)'!$F$9:$G$33,2,FALSE),'Ratings worksheet'!C3)</f>
        <v>B1</v>
      </c>
      <c r="F3" s="257" t="s">
        <v>229</v>
      </c>
      <c r="G3" s="257"/>
      <c r="H3" s="257"/>
      <c r="I3" s="257"/>
      <c r="J3" s="257"/>
      <c r="K3" s="257"/>
      <c r="L3" s="257"/>
      <c r="M3" s="257"/>
      <c r="N3" s="257"/>
      <c r="O3" s="257"/>
    </row>
    <row r="4" spans="1:15">
      <c r="A4" s="46" t="str">
        <f>'Ratings worksheet'!A4</f>
        <v>Andorra (Principality of)</v>
      </c>
      <c r="B4" s="56" t="str">
        <f>'Ratings worksheet'!B4</f>
        <v>BBB+</v>
      </c>
      <c r="C4" s="56" t="str">
        <f>IF('Ratings worksheet'!C4="NA",VLOOKUP('Ratings worksheet'!B4,'Sovereign Ratings (Moody''s,S&amp;P)'!$F$9:$G$33,2,FALSE),'Ratings worksheet'!C4)</f>
        <v>Baa2</v>
      </c>
      <c r="F4" s="258" t="s">
        <v>230</v>
      </c>
      <c r="G4" s="258"/>
      <c r="H4" s="258"/>
      <c r="I4" s="258"/>
      <c r="J4" s="258"/>
      <c r="K4" s="258"/>
      <c r="L4" s="258"/>
      <c r="M4" s="258"/>
      <c r="N4" s="258"/>
      <c r="O4" s="258"/>
    </row>
    <row r="5" spans="1:15">
      <c r="A5" s="46" t="str">
        <f>'Ratings worksheet'!A5</f>
        <v>Angola</v>
      </c>
      <c r="B5" s="56" t="str">
        <f>'Ratings worksheet'!B5</f>
        <v>B-</v>
      </c>
      <c r="C5" s="56" t="str">
        <f>IF('Ratings worksheet'!C5="NA",VLOOKUP('Ratings worksheet'!B5,'Sovereign Ratings (Moody''s,S&amp;P)'!$F$9:$G$33,2,FALSE),'Ratings worksheet'!C5)</f>
        <v>B3</v>
      </c>
      <c r="F5" s="258" t="s">
        <v>231</v>
      </c>
      <c r="G5" s="258"/>
      <c r="H5" s="258"/>
      <c r="I5" s="258"/>
      <c r="J5" s="258"/>
      <c r="K5" s="258"/>
      <c r="L5" s="258"/>
      <c r="M5" s="258"/>
      <c r="N5" s="258"/>
      <c r="O5" s="258"/>
    </row>
    <row r="6" spans="1:15">
      <c r="A6" s="46" t="str">
        <f>'Ratings worksheet'!A6</f>
        <v>Argentina</v>
      </c>
      <c r="B6" s="56" t="str">
        <f>'Ratings worksheet'!B6</f>
        <v>CCC+ </v>
      </c>
      <c r="C6" s="56" t="str">
        <f>IF('Ratings worksheet'!C6="NA",VLOOKUP('Ratings worksheet'!B6,'Sovereign Ratings (Moody''s,S&amp;P)'!$F$9:$G$33,2,FALSE),'Ratings worksheet'!C6)</f>
        <v>Ca</v>
      </c>
      <c r="F6" s="35" t="s">
        <v>252</v>
      </c>
    </row>
    <row r="7" spans="1:15">
      <c r="A7" s="46" t="str">
        <f>'Ratings worksheet'!A7</f>
        <v>Armenia</v>
      </c>
      <c r="B7" s="56" t="str">
        <f>'Ratings worksheet'!B7</f>
        <v>B+ </v>
      </c>
      <c r="C7" s="56" t="str">
        <f>IF('Ratings worksheet'!C7="NA",VLOOKUP('Ratings worksheet'!B7,'Sovereign Ratings (Moody''s,S&amp;P)'!$F$9:$G$33,2,FALSE),'Ratings worksheet'!C7)</f>
        <v>Ba3</v>
      </c>
      <c r="F7" s="35" t="s">
        <v>232</v>
      </c>
    </row>
    <row r="8" spans="1:15">
      <c r="A8" s="46" t="str">
        <f>'Ratings worksheet'!A8</f>
        <v>Aruba</v>
      </c>
      <c r="B8" s="56" t="str">
        <f>'Ratings worksheet'!B8</f>
        <v>BBB</v>
      </c>
      <c r="C8" s="56" t="str">
        <f>IF('Ratings worksheet'!C8="NA",VLOOKUP('Ratings worksheet'!B8,'Sovereign Ratings (Moody''s,S&amp;P)'!$F$9:$G$33,2,FALSE),'Ratings worksheet'!C8)</f>
        <v>Baa2</v>
      </c>
      <c r="F8" s="28" t="s">
        <v>233</v>
      </c>
      <c r="G8" s="29" t="s">
        <v>234</v>
      </c>
    </row>
    <row r="9" spans="1:15">
      <c r="A9" s="46" t="str">
        <f>'Ratings worksheet'!A9</f>
        <v>Australia</v>
      </c>
      <c r="B9" s="56" t="str">
        <f>'Ratings worksheet'!B9</f>
        <v>AAA</v>
      </c>
      <c r="C9" s="56" t="str">
        <f>IF('Ratings worksheet'!C9="NA",VLOOKUP('Ratings worksheet'!B9,'Sovereign Ratings (Moody''s,S&amp;P)'!$F$9:$G$33,2,FALSE),'Ratings worksheet'!C9)</f>
        <v>Aaa</v>
      </c>
      <c r="F9" s="30" t="s">
        <v>224</v>
      </c>
      <c r="G9" s="15" t="s">
        <v>42</v>
      </c>
    </row>
    <row r="10" spans="1:15">
      <c r="A10" s="46" t="str">
        <f>'Ratings worksheet'!A10</f>
        <v>Austria</v>
      </c>
      <c r="B10" s="56" t="str">
        <f>'Ratings worksheet'!B10</f>
        <v>AA+</v>
      </c>
      <c r="C10" s="56" t="str">
        <f>IF('Ratings worksheet'!C10="NA",VLOOKUP('Ratings worksheet'!B10,'Sovereign Ratings (Moody''s,S&amp;P)'!$F$9:$G$33,2,FALSE),'Ratings worksheet'!C10)</f>
        <v>Aa1</v>
      </c>
      <c r="F10" s="30" t="s">
        <v>198</v>
      </c>
      <c r="G10" s="15" t="s">
        <v>43</v>
      </c>
    </row>
    <row r="11" spans="1:15">
      <c r="A11" s="46" t="str">
        <f>'Ratings worksheet'!A11</f>
        <v>Azerbaijan</v>
      </c>
      <c r="B11" s="56" t="str">
        <f>'Ratings worksheet'!B11</f>
        <v>BB+</v>
      </c>
      <c r="C11" s="56" t="str">
        <f>IF('Ratings worksheet'!C11="NA",VLOOKUP('Ratings worksheet'!B11,'Sovereign Ratings (Moody''s,S&amp;P)'!$F$9:$G$33,2,FALSE),'Ratings worksheet'!C11)</f>
        <v>Ba1</v>
      </c>
      <c r="F11" s="30" t="s">
        <v>222</v>
      </c>
      <c r="G11" s="15" t="s">
        <v>41</v>
      </c>
    </row>
    <row r="12" spans="1:15">
      <c r="A12" s="46" t="str">
        <f>'Ratings worksheet'!A12</f>
        <v>Bahamas</v>
      </c>
      <c r="B12" s="56" t="str">
        <f>'Ratings worksheet'!B12</f>
        <v>B+</v>
      </c>
      <c r="C12" s="56" t="str">
        <f>IF('Ratings worksheet'!C12="NA",VLOOKUP('Ratings worksheet'!B12,'Sovereign Ratings (Moody''s,S&amp;P)'!$F$9:$G$33,2,FALSE),'Ratings worksheet'!C12)</f>
        <v>B1</v>
      </c>
      <c r="F12" s="30" t="s">
        <v>207</v>
      </c>
      <c r="G12" s="15" t="s">
        <v>45</v>
      </c>
    </row>
    <row r="13" spans="1:15">
      <c r="A13" s="46" t="str">
        <f>'Ratings worksheet'!A13</f>
        <v>Bahrain</v>
      </c>
      <c r="B13" s="56" t="str">
        <f>'Ratings worksheet'!B13</f>
        <v>B+ </v>
      </c>
      <c r="C13" s="56" t="str">
        <f>IF('Ratings worksheet'!C13="NA",VLOOKUP('Ratings worksheet'!B13,'Sovereign Ratings (Moody''s,S&amp;P)'!$F$9:$G$33,2,FALSE),'Ratings worksheet'!C13)</f>
        <v>B2</v>
      </c>
      <c r="F13" s="30" t="s">
        <v>210</v>
      </c>
      <c r="G13" s="15" t="s">
        <v>46</v>
      </c>
    </row>
    <row r="14" spans="1:15">
      <c r="A14" s="46" t="str">
        <f>'Ratings worksheet'!A14</f>
        <v>Bangladesh</v>
      </c>
      <c r="B14" s="56" t="str">
        <f>'Ratings worksheet'!B14</f>
        <v>BB-</v>
      </c>
      <c r="C14" s="56" t="str">
        <f>IF('Ratings worksheet'!C14="NA",VLOOKUP('Ratings worksheet'!B14,'Sovereign Ratings (Moody''s,S&amp;P)'!$F$9:$G$33,2,FALSE),'Ratings worksheet'!C14)</f>
        <v>Ba3</v>
      </c>
      <c r="F14" s="30" t="s">
        <v>204</v>
      </c>
      <c r="G14" s="15" t="s">
        <v>44</v>
      </c>
    </row>
    <row r="15" spans="1:15">
      <c r="A15" s="46" t="str">
        <f>'Ratings worksheet'!A15</f>
        <v>Barbados</v>
      </c>
      <c r="B15" s="56" t="str">
        <f>'Ratings worksheet'!B15</f>
        <v>B-</v>
      </c>
      <c r="C15" s="56" t="str">
        <f>IF('Ratings worksheet'!C15="NA",VLOOKUP('Ratings worksheet'!B15,'Sovereign Ratings (Moody''s,S&amp;P)'!$F$9:$G$33,2,FALSE),'Ratings worksheet'!C15)</f>
        <v>Caa1</v>
      </c>
      <c r="F15" s="30" t="s">
        <v>203</v>
      </c>
      <c r="G15" s="15" t="s">
        <v>47</v>
      </c>
    </row>
    <row r="16" spans="1:15">
      <c r="A16" s="46" t="str">
        <f>'Ratings worksheet'!A16</f>
        <v>Belarus</v>
      </c>
      <c r="B16" s="56" t="str">
        <f>'Ratings worksheet'!B16</f>
        <v>SD</v>
      </c>
      <c r="C16" s="56" t="str">
        <f>IF('Ratings worksheet'!C16="NA",VLOOKUP('Ratings worksheet'!B16,'Sovereign Ratings (Moody''s,S&amp;P)'!$F$9:$G$33,2,FALSE),'Ratings worksheet'!C16)</f>
        <v>Ca</v>
      </c>
      <c r="F16" s="30" t="s">
        <v>209</v>
      </c>
      <c r="G16" s="15" t="s">
        <v>49</v>
      </c>
    </row>
    <row r="17" spans="1:7">
      <c r="A17" s="46" t="str">
        <f>'Ratings worksheet'!A17</f>
        <v>Belgium</v>
      </c>
      <c r="B17" s="56" t="str">
        <f>'Ratings worksheet'!B17</f>
        <v>AA</v>
      </c>
      <c r="C17" s="56" t="str">
        <f>IF('Ratings worksheet'!C17="NA",VLOOKUP('Ratings worksheet'!B17,'Sovereign Ratings (Moody''s,S&amp;P)'!$F$9:$G$33,2,FALSE),'Ratings worksheet'!C17)</f>
        <v>Aa3</v>
      </c>
      <c r="F17" s="30" t="s">
        <v>200</v>
      </c>
      <c r="G17" s="15" t="s">
        <v>78</v>
      </c>
    </row>
    <row r="18" spans="1:7">
      <c r="A18" s="46" t="str">
        <f>'Ratings worksheet'!A18</f>
        <v>Belize</v>
      </c>
      <c r="B18" s="56" t="str">
        <f>'Ratings worksheet'!B18</f>
        <v>B-</v>
      </c>
      <c r="C18" s="56" t="str">
        <f>IF('Ratings worksheet'!C18="NA",VLOOKUP('Ratings worksheet'!B18,'Sovereign Ratings (Moody''s,S&amp;P)'!$F$9:$G$33,2,FALSE),'Ratings worksheet'!C18)</f>
        <v>Caa2</v>
      </c>
      <c r="F18" s="30" t="s">
        <v>196</v>
      </c>
      <c r="G18" s="15" t="s">
        <v>48</v>
      </c>
    </row>
    <row r="19" spans="1:7">
      <c r="A19" s="46" t="str">
        <f>'Ratings worksheet'!A19</f>
        <v>Benin</v>
      </c>
      <c r="B19" s="56" t="str">
        <f>'Ratings worksheet'!B19</f>
        <v>B+</v>
      </c>
      <c r="C19" s="56" t="str">
        <f>IF('Ratings worksheet'!C19="NA",VLOOKUP('Ratings worksheet'!B19,'Sovereign Ratings (Moody''s,S&amp;P)'!$F$9:$G$33,2,FALSE),'Ratings worksheet'!C19)</f>
        <v>B1</v>
      </c>
      <c r="F19" s="30" t="s">
        <v>215</v>
      </c>
      <c r="G19" s="15" t="s">
        <v>80</v>
      </c>
    </row>
    <row r="20" spans="1:7">
      <c r="A20" s="46" t="str">
        <f>'Ratings worksheet'!A20</f>
        <v>Bermuda</v>
      </c>
      <c r="B20" s="56" t="str">
        <f>'Ratings worksheet'!B20</f>
        <v>A+</v>
      </c>
      <c r="C20" s="56" t="str">
        <f>IF('Ratings worksheet'!C20="NA",VLOOKUP('Ratings worksheet'!B20,'Sovereign Ratings (Moody''s,S&amp;P)'!$F$9:$G$33,2,FALSE),'Ratings worksheet'!C20)</f>
        <v>A2</v>
      </c>
      <c r="F20" s="30" t="s">
        <v>199</v>
      </c>
      <c r="G20" s="15" t="s">
        <v>81</v>
      </c>
    </row>
    <row r="21" spans="1:7">
      <c r="A21" s="46" t="str">
        <f>'Ratings worksheet'!A21</f>
        <v>Bolivia</v>
      </c>
      <c r="B21" s="56" t="str">
        <f>'Ratings worksheet'!B21</f>
        <v>B</v>
      </c>
      <c r="C21" s="56" t="str">
        <f>IF('Ratings worksheet'!C21="NA",VLOOKUP('Ratings worksheet'!B21,'Sovereign Ratings (Moody''s,S&amp;P)'!$F$9:$G$33,2,FALSE),'Ratings worksheet'!C21)</f>
        <v>B2</v>
      </c>
      <c r="F21" s="30" t="s">
        <v>216</v>
      </c>
      <c r="G21" s="15" t="s">
        <v>79</v>
      </c>
    </row>
    <row r="22" spans="1:7">
      <c r="A22" s="46" t="str">
        <f>'Ratings worksheet'!A22</f>
        <v>Bosnia and Herzegovina</v>
      </c>
      <c r="B22" s="56" t="str">
        <f>'Ratings worksheet'!B22</f>
        <v>B</v>
      </c>
      <c r="C22" s="56" t="str">
        <f>IF('Ratings worksheet'!C22="NA",VLOOKUP('Ratings worksheet'!B22,'Sovereign Ratings (Moody''s,S&amp;P)'!$F$9:$G$33,2,FALSE),'Ratings worksheet'!C22)</f>
        <v>B3</v>
      </c>
      <c r="F22" s="30" t="s">
        <v>206</v>
      </c>
      <c r="G22" s="15" t="s">
        <v>83</v>
      </c>
    </row>
    <row r="23" spans="1:7">
      <c r="A23" s="46" t="str">
        <f>'Ratings worksheet'!A23</f>
        <v>Botswana</v>
      </c>
      <c r="B23" s="56" t="str">
        <f>'Ratings worksheet'!B23</f>
        <v>BBB+</v>
      </c>
      <c r="C23" s="56" t="str">
        <f>IF('Ratings worksheet'!C23="NA",VLOOKUP('Ratings worksheet'!B23,'Sovereign Ratings (Moody''s,S&amp;P)'!$F$9:$G$33,2,FALSE),'Ratings worksheet'!C23)</f>
        <v>A3</v>
      </c>
      <c r="F23" s="30" t="s">
        <v>205</v>
      </c>
      <c r="G23" s="15" t="s">
        <v>124</v>
      </c>
    </row>
    <row r="24" spans="1:7">
      <c r="A24" s="46" t="str">
        <f>'Ratings worksheet'!A24</f>
        <v>Brazil</v>
      </c>
      <c r="B24" s="56" t="str">
        <f>'Ratings worksheet'!B24</f>
        <v>BB-</v>
      </c>
      <c r="C24" s="56" t="str">
        <f>IF('Ratings worksheet'!C24="NA",VLOOKUP('Ratings worksheet'!B24,'Sovereign Ratings (Moody''s,S&amp;P)'!$F$9:$G$33,2,FALSE),'Ratings worksheet'!C24)</f>
        <v>Ba2</v>
      </c>
      <c r="F24" s="30" t="s">
        <v>202</v>
      </c>
      <c r="G24" s="15" t="s">
        <v>82</v>
      </c>
    </row>
    <row r="25" spans="1:7">
      <c r="A25" s="46" t="str">
        <f>'Ratings worksheet'!A25</f>
        <v>Bulgaria</v>
      </c>
      <c r="B25" s="56" t="str">
        <f>'Ratings worksheet'!B25</f>
        <v>BBB</v>
      </c>
      <c r="C25" s="56" t="str">
        <f>IF('Ratings worksheet'!C25="NA",VLOOKUP('Ratings worksheet'!B25,'Sovereign Ratings (Moody''s,S&amp;P)'!$F$9:$G$33,2,FALSE),'Ratings worksheet'!C25)</f>
        <v>Baa1</v>
      </c>
      <c r="F25" s="30" t="s">
        <v>137</v>
      </c>
      <c r="G25" s="15" t="s">
        <v>244</v>
      </c>
    </row>
    <row r="26" spans="1:7">
      <c r="A26" s="46" t="str">
        <f>'Ratings worksheet'!A26</f>
        <v>Burkina Faso</v>
      </c>
      <c r="B26" s="56" t="str">
        <f>'Ratings worksheet'!B26</f>
        <v>CCC+</v>
      </c>
      <c r="C26" s="56" t="str">
        <f>IF('Ratings worksheet'!C26="NA",VLOOKUP('Ratings worksheet'!B26,'Sovereign Ratings (Moody''s,S&amp;P)'!$F$9:$G$33,2,FALSE),'Ratings worksheet'!C26)</f>
        <v>Caa1</v>
      </c>
      <c r="F26" s="30" t="s">
        <v>245</v>
      </c>
      <c r="G26" s="15" t="s">
        <v>246</v>
      </c>
    </row>
    <row r="27" spans="1:7">
      <c r="A27" s="46" t="str">
        <f>'Ratings worksheet'!A27</f>
        <v>Cambodia</v>
      </c>
      <c r="B27" s="56" t="str">
        <f>'Ratings worksheet'!B27</f>
        <v>NA</v>
      </c>
      <c r="C27" s="56" t="str">
        <f>IF('Ratings worksheet'!C27="NA",VLOOKUP('Ratings worksheet'!B27,'Sovereign Ratings (Moody''s,S&amp;P)'!$F$9:$G$33,2,FALSE),'Ratings worksheet'!C27)</f>
        <v>B2</v>
      </c>
      <c r="F27" s="30" t="s">
        <v>242</v>
      </c>
      <c r="G27" s="15" t="s">
        <v>243</v>
      </c>
    </row>
    <row r="28" spans="1:7">
      <c r="A28" s="46" t="str">
        <f>'Ratings worksheet'!A28</f>
        <v>Cameroon</v>
      </c>
      <c r="B28" s="56" t="str">
        <f>'Ratings worksheet'!B28</f>
        <v>B-</v>
      </c>
      <c r="C28" s="56" t="str">
        <f>IF('Ratings worksheet'!C28="NA",VLOOKUP('Ratings worksheet'!B28,'Sovereign Ratings (Moody''s,S&amp;P)'!$F$9:$G$33,2,FALSE),'Ratings worksheet'!C28)</f>
        <v>B2</v>
      </c>
      <c r="F28" s="30" t="s">
        <v>238</v>
      </c>
      <c r="G28" s="15" t="s">
        <v>239</v>
      </c>
    </row>
    <row r="29" spans="1:7" s="16" customFormat="1">
      <c r="A29" s="46" t="str">
        <f>'Ratings worksheet'!A29</f>
        <v>Canada</v>
      </c>
      <c r="B29" s="56" t="str">
        <f>'Ratings worksheet'!B29</f>
        <v>AAA</v>
      </c>
      <c r="C29" s="56" t="str">
        <f>IF('Ratings worksheet'!C29="NA",VLOOKUP('Ratings worksheet'!B29,'Sovereign Ratings (Moody''s,S&amp;P)'!$F$9:$G$33,2,FALSE),'Ratings worksheet'!C29)</f>
        <v>Aaa</v>
      </c>
      <c r="F29" s="30" t="s">
        <v>240</v>
      </c>
      <c r="G29" s="15" t="s">
        <v>241</v>
      </c>
    </row>
    <row r="30" spans="1:7">
      <c r="A30" s="46" t="str">
        <f>'Ratings worksheet'!A30</f>
        <v>Cape Verde</v>
      </c>
      <c r="B30" s="56" t="str">
        <f>'Ratings worksheet'!B30</f>
        <v>B-</v>
      </c>
      <c r="C30" s="56" t="str">
        <f>IF('Ratings worksheet'!C30="NA",VLOOKUP('Ratings worksheet'!B30,'Sovereign Ratings (Moody''s,S&amp;P)'!$F$9:$G$33,2,FALSE),'Ratings worksheet'!C30)</f>
        <v>B3</v>
      </c>
      <c r="F30" s="30" t="s">
        <v>237</v>
      </c>
      <c r="G30" s="15" t="s">
        <v>253</v>
      </c>
    </row>
    <row r="31" spans="1:7">
      <c r="A31" s="46" t="str">
        <f>'Ratings worksheet'!A31</f>
        <v>Cayman Islands</v>
      </c>
      <c r="B31" s="56" t="str">
        <f>'Ratings worksheet'!B31</f>
        <v>NA</v>
      </c>
      <c r="C31" s="56" t="str">
        <f>IF('Ratings worksheet'!C31="NA",VLOOKUP('Ratings worksheet'!B31,'Sovereign Ratings (Moody''s,S&amp;P)'!$F$9:$G$33,2,FALSE),'Ratings worksheet'!C31)</f>
        <v>Aa3</v>
      </c>
      <c r="F31" s="30" t="s">
        <v>235</v>
      </c>
      <c r="G31" s="15" t="s">
        <v>58</v>
      </c>
    </row>
    <row r="32" spans="1:7">
      <c r="A32" s="46" t="str">
        <f>'Ratings worksheet'!A32</f>
        <v>Chile</v>
      </c>
      <c r="B32" s="56" t="str">
        <f>'Ratings worksheet'!B32</f>
        <v>A</v>
      </c>
      <c r="C32" s="56" t="str">
        <f>IF('Ratings worksheet'!C32="NA",VLOOKUP('Ratings worksheet'!B32,'Sovereign Ratings (Moody''s,S&amp;P)'!$F$9:$G$33,2,FALSE),'Ratings worksheet'!C32)</f>
        <v>A2</v>
      </c>
      <c r="F32" s="30" t="s">
        <v>236</v>
      </c>
      <c r="G32" s="15" t="s">
        <v>62</v>
      </c>
    </row>
    <row r="33" spans="1:7">
      <c r="A33" s="46" t="str">
        <f>'Ratings worksheet'!A33</f>
        <v>China</v>
      </c>
      <c r="B33" s="56" t="str">
        <f>'Ratings worksheet'!B33</f>
        <v>A+</v>
      </c>
      <c r="C33" s="56" t="str">
        <f>IF('Ratings worksheet'!C33="NA",VLOOKUP('Ratings worksheet'!B33,'Sovereign Ratings (Moody''s,S&amp;P)'!$F$9:$G$33,2,FALSE),'Ratings worksheet'!C33)</f>
        <v>A1</v>
      </c>
      <c r="F33" s="30" t="s">
        <v>218</v>
      </c>
      <c r="G33" s="15" t="s">
        <v>100</v>
      </c>
    </row>
    <row r="34" spans="1:7">
      <c r="A34" s="46" t="str">
        <f>'Ratings worksheet'!A34</f>
        <v>Colombia</v>
      </c>
      <c r="B34" s="56" t="str">
        <f>'Ratings worksheet'!B34</f>
        <v>BB+</v>
      </c>
      <c r="C34" s="56" t="str">
        <f>IF('Ratings worksheet'!C34="NA",VLOOKUP('Ratings worksheet'!B34,'Sovereign Ratings (Moody''s,S&amp;P)'!$F$9:$G$33,2,FALSE),'Ratings worksheet'!C34)</f>
        <v>Baa2</v>
      </c>
    </row>
    <row r="35" spans="1:7">
      <c r="A35" s="46" t="str">
        <f>'Ratings worksheet'!A35</f>
        <v>Congo (Democratic Republic of)</v>
      </c>
      <c r="B35" s="56" t="str">
        <f>'Ratings worksheet'!B35</f>
        <v>B-</v>
      </c>
      <c r="C35" s="56" t="str">
        <f>IF('Ratings worksheet'!C35="NA",VLOOKUP('Ratings worksheet'!B35,'Sovereign Ratings (Moody''s,S&amp;P)'!$F$9:$G$33,2,FALSE),'Ratings worksheet'!C35)</f>
        <v>B3</v>
      </c>
    </row>
    <row r="36" spans="1:7">
      <c r="A36" s="46" t="str">
        <f>'Ratings worksheet'!A36</f>
        <v>Congo (Republic of)</v>
      </c>
      <c r="B36" s="56" t="str">
        <f>'Ratings worksheet'!B36</f>
        <v>CCC+</v>
      </c>
      <c r="C36" s="56" t="str">
        <f>IF('Ratings worksheet'!C36="NA",VLOOKUP('Ratings worksheet'!B36,'Sovereign Ratings (Moody''s,S&amp;P)'!$F$9:$G$33,2,FALSE),'Ratings worksheet'!C36)</f>
        <v>Caa2</v>
      </c>
    </row>
    <row r="37" spans="1:7">
      <c r="A37" s="46" t="str">
        <f>'Ratings worksheet'!A37</f>
        <v>Cook Islands</v>
      </c>
      <c r="B37" s="56" t="str">
        <f>'Ratings worksheet'!B37</f>
        <v>NA</v>
      </c>
      <c r="C37" s="56" t="str">
        <f>IF('Ratings worksheet'!C37="NA",VLOOKUP('Ratings worksheet'!B37,'Sovereign Ratings (Moody''s,S&amp;P)'!$F$9:$G$33,2,FALSE),'Ratings worksheet'!C37)</f>
        <v>B1</v>
      </c>
    </row>
    <row r="38" spans="1:7">
      <c r="A38" s="46" t="str">
        <f>'Ratings worksheet'!A38</f>
        <v>Costa Rica</v>
      </c>
      <c r="B38" s="56" t="str">
        <f>'Ratings worksheet'!B38</f>
        <v>B</v>
      </c>
      <c r="C38" s="56" t="str">
        <f>IF('Ratings worksheet'!C38="NA",VLOOKUP('Ratings worksheet'!B38,'Sovereign Ratings (Moody''s,S&amp;P)'!$F$9:$G$33,2,FALSE),'Ratings worksheet'!C38)</f>
        <v>B2</v>
      </c>
    </row>
    <row r="39" spans="1:7">
      <c r="A39" s="46" t="str">
        <f>'Ratings worksheet'!A39</f>
        <v>Côte d'Ivoire</v>
      </c>
      <c r="B39" s="56" t="str">
        <f>'Ratings worksheet'!B39</f>
        <v>BB-</v>
      </c>
      <c r="C39" s="56" t="str">
        <f>IF('Ratings worksheet'!C39="NA",VLOOKUP('Ratings worksheet'!B39,'Sovereign Ratings (Moody''s,S&amp;P)'!$F$9:$G$33,2,FALSE),'Ratings worksheet'!C39)</f>
        <v>Ba3</v>
      </c>
    </row>
    <row r="40" spans="1:7">
      <c r="A40" s="46" t="str">
        <f>'Ratings worksheet'!A40</f>
        <v>Croatia</v>
      </c>
      <c r="B40" s="56" t="str">
        <f>'Ratings worksheet'!B40</f>
        <v>BBB+</v>
      </c>
      <c r="C40" s="56" t="str">
        <f>IF('Ratings worksheet'!C40="NA",VLOOKUP('Ratings worksheet'!B40,'Sovereign Ratings (Moody''s,S&amp;P)'!$F$9:$G$33,2,FALSE),'Ratings worksheet'!C40)</f>
        <v>Baa2</v>
      </c>
    </row>
    <row r="41" spans="1:7">
      <c r="A41" s="46" t="str">
        <f>'Ratings worksheet'!A41</f>
        <v>Cuba</v>
      </c>
      <c r="B41" s="56" t="str">
        <f>'Ratings worksheet'!B41</f>
        <v>NA</v>
      </c>
      <c r="C41" s="56" t="str">
        <f>IF('Ratings worksheet'!C41="NA",VLOOKUP('Ratings worksheet'!B41,'Sovereign Ratings (Moody''s,S&amp;P)'!$F$9:$G$33,2,FALSE),'Ratings worksheet'!C41)</f>
        <v>Ca</v>
      </c>
    </row>
    <row r="42" spans="1:7">
      <c r="A42" s="46" t="str">
        <f>'Ratings worksheet'!A42</f>
        <v>Curacao</v>
      </c>
      <c r="B42" s="56" t="s">
        <v>206</v>
      </c>
      <c r="C42" s="56" t="s">
        <v>83</v>
      </c>
    </row>
    <row r="43" spans="1:7">
      <c r="A43" s="46" t="str">
        <f>'Ratings worksheet'!A43</f>
        <v>Cyprus</v>
      </c>
      <c r="B43" s="56" t="str">
        <f>'Ratings worksheet'!B43</f>
        <v>BBB</v>
      </c>
      <c r="C43" s="56" t="str">
        <f>IF('Ratings worksheet'!C43="NA",VLOOKUP('Ratings worksheet'!B43,'Sovereign Ratings (Moody''s,S&amp;P)'!$F$9:$G$33,2,FALSE),'Ratings worksheet'!C43)</f>
        <v>Ba1</v>
      </c>
    </row>
    <row r="44" spans="1:7">
      <c r="A44" s="46" t="str">
        <f>'Ratings worksheet'!A44</f>
        <v>Czech Republic</v>
      </c>
      <c r="B44" s="56" t="str">
        <f>'Ratings worksheet'!B44</f>
        <v>AA-</v>
      </c>
      <c r="C44" s="56" t="str">
        <f>IF('Ratings worksheet'!C44="NA",VLOOKUP('Ratings worksheet'!B44,'Sovereign Ratings (Moody''s,S&amp;P)'!$F$9:$G$33,2,FALSE),'Ratings worksheet'!C44)</f>
        <v>Aa3</v>
      </c>
    </row>
    <row r="45" spans="1:7">
      <c r="A45" s="46" t="str">
        <f>'Ratings worksheet'!A45</f>
        <v>Denmark</v>
      </c>
      <c r="B45" s="56" t="str">
        <f>'Ratings worksheet'!B45</f>
        <v>AAA</v>
      </c>
      <c r="C45" s="56" t="str">
        <f>IF('Ratings worksheet'!C45="NA",VLOOKUP('Ratings worksheet'!B45,'Sovereign Ratings (Moody''s,S&amp;P)'!$F$9:$G$33,2,FALSE),'Ratings worksheet'!C45)</f>
        <v>Aaa</v>
      </c>
    </row>
    <row r="46" spans="1:7">
      <c r="A46" s="46" t="str">
        <f>'Ratings worksheet'!A46</f>
        <v>Dominican Republic</v>
      </c>
      <c r="B46" s="56" t="str">
        <f>'Ratings worksheet'!B46</f>
        <v>BB</v>
      </c>
      <c r="C46" s="56" t="str">
        <f>IF('Ratings worksheet'!C46="NA",VLOOKUP('Ratings worksheet'!B46,'Sovereign Ratings (Moody''s,S&amp;P)'!$F$9:$G$33,2,FALSE),'Ratings worksheet'!C46)</f>
        <v>Ba3</v>
      </c>
    </row>
    <row r="47" spans="1:7">
      <c r="A47" s="46" t="str">
        <f>'Ratings worksheet'!A47</f>
        <v>Ecuador</v>
      </c>
      <c r="B47" s="56" t="str">
        <f>'Ratings worksheet'!B47</f>
        <v>B-</v>
      </c>
      <c r="C47" s="56" t="str">
        <f>IF('Ratings worksheet'!C47="NA",VLOOKUP('Ratings worksheet'!B47,'Sovereign Ratings (Moody''s,S&amp;P)'!$F$9:$G$33,2,FALSE),'Ratings worksheet'!C47)</f>
        <v>Caa3</v>
      </c>
    </row>
    <row r="48" spans="1:7">
      <c r="A48" s="46" t="str">
        <f>'Ratings worksheet'!A48</f>
        <v>Egypt</v>
      </c>
      <c r="B48" s="56" t="str">
        <f>'Ratings worksheet'!B48</f>
        <v>B</v>
      </c>
      <c r="C48" s="56" t="str">
        <f>IF('Ratings worksheet'!C48="NA",VLOOKUP('Ratings worksheet'!B48,'Sovereign Ratings (Moody''s,S&amp;P)'!$F$9:$G$33,2,FALSE),'Ratings worksheet'!C48)</f>
        <v>B2</v>
      </c>
    </row>
    <row r="49" spans="1:3">
      <c r="A49" s="46" t="str">
        <f>'Ratings worksheet'!A49</f>
        <v>El Salvador</v>
      </c>
      <c r="B49" s="56" t="str">
        <f>'Ratings worksheet'!B49</f>
        <v>CCC+ </v>
      </c>
      <c r="C49" s="56" t="str">
        <f>IF('Ratings worksheet'!C49="NA",VLOOKUP('Ratings worksheet'!B49,'Sovereign Ratings (Moody''s,S&amp;P)'!$F$9:$G$33,2,FALSE),'Ratings worksheet'!C49)</f>
        <v>Caa3</v>
      </c>
    </row>
    <row r="50" spans="1:3">
      <c r="A50" s="46" t="str">
        <f>'Ratings worksheet'!A50</f>
        <v>Estonia</v>
      </c>
      <c r="B50" s="56" t="str">
        <f>'Ratings worksheet'!B50</f>
        <v>AA- </v>
      </c>
      <c r="C50" s="56" t="str">
        <f>IF('Ratings worksheet'!C50="NA",VLOOKUP('Ratings worksheet'!B50,'Sovereign Ratings (Moody''s,S&amp;P)'!$F$9:$G$33,2,FALSE),'Ratings worksheet'!C50)</f>
        <v>A1</v>
      </c>
    </row>
    <row r="51" spans="1:3">
      <c r="A51" s="46" t="str">
        <f>'Ratings worksheet'!A51</f>
        <v>Ethiopia</v>
      </c>
      <c r="B51" s="56" t="str">
        <f>'Ratings worksheet'!B51</f>
        <v>CCC </v>
      </c>
      <c r="C51" s="56" t="str">
        <f>IF('Ratings worksheet'!C51="NA",VLOOKUP('Ratings worksheet'!B51,'Sovereign Ratings (Moody''s,S&amp;P)'!$F$9:$G$33,2,FALSE),'Ratings worksheet'!C51)</f>
        <v>Caa2</v>
      </c>
    </row>
    <row r="52" spans="1:3">
      <c r="A52" s="46" t="str">
        <f>'Ratings worksheet'!A52</f>
        <v>Fiji</v>
      </c>
      <c r="B52" s="56" t="str">
        <f>'Ratings worksheet'!B52</f>
        <v>B+</v>
      </c>
      <c r="C52" s="56" t="str">
        <f>IF('Ratings worksheet'!C52="NA",VLOOKUP('Ratings worksheet'!B52,'Sovereign Ratings (Moody''s,S&amp;P)'!$F$9:$G$33,2,FALSE),'Ratings worksheet'!C52)</f>
        <v>B1</v>
      </c>
    </row>
    <row r="53" spans="1:3">
      <c r="A53" s="46" t="str">
        <f>'Ratings worksheet'!A53</f>
        <v>Finland</v>
      </c>
      <c r="B53" s="56" t="str">
        <f>'Ratings worksheet'!B53</f>
        <v>AA+</v>
      </c>
      <c r="C53" s="56" t="str">
        <f>IF('Ratings worksheet'!C53="NA",VLOOKUP('Ratings worksheet'!B53,'Sovereign Ratings (Moody''s,S&amp;P)'!$F$9:$G$33,2,FALSE),'Ratings worksheet'!C53)</f>
        <v>Aa1</v>
      </c>
    </row>
    <row r="54" spans="1:3">
      <c r="A54" s="46" t="str">
        <f>'Ratings worksheet'!A54</f>
        <v>France</v>
      </c>
      <c r="B54" s="56" t="str">
        <f>'Ratings worksheet'!B54</f>
        <v>AA </v>
      </c>
      <c r="C54" s="56" t="str">
        <f>IF('Ratings worksheet'!C54="NA",VLOOKUP('Ratings worksheet'!B54,'Sovereign Ratings (Moody''s,S&amp;P)'!$F$9:$G$33,2,FALSE),'Ratings worksheet'!C54)</f>
        <v>Aa2</v>
      </c>
    </row>
    <row r="55" spans="1:3">
      <c r="A55" s="46" t="str">
        <f>'Ratings worksheet'!A55</f>
        <v>Gabon</v>
      </c>
      <c r="B55" s="56" t="str">
        <f>'Ratings worksheet'!B55</f>
        <v>NA</v>
      </c>
      <c r="C55" s="56" t="str">
        <f>IF('Ratings worksheet'!C55="NA",VLOOKUP('Ratings worksheet'!B55,'Sovereign Ratings (Moody''s,S&amp;P)'!$F$9:$G$33,2,FALSE),'Ratings worksheet'!C55)</f>
        <v>Caa1</v>
      </c>
    </row>
    <row r="56" spans="1:3">
      <c r="A56" s="46" t="str">
        <f>'Ratings worksheet'!A56</f>
        <v>Georgia</v>
      </c>
      <c r="B56" s="56" t="str">
        <f>'Ratings worksheet'!B56</f>
        <v>BB</v>
      </c>
      <c r="C56" s="56" t="str">
        <f>IF('Ratings worksheet'!C56="NA",VLOOKUP('Ratings worksheet'!B56,'Sovereign Ratings (Moody''s,S&amp;P)'!$F$9:$G$33,2,FALSE),'Ratings worksheet'!C56)</f>
        <v>Ba2</v>
      </c>
    </row>
    <row r="57" spans="1:3">
      <c r="A57" s="46" t="str">
        <f>'Ratings worksheet'!A57</f>
        <v>Germany</v>
      </c>
      <c r="B57" s="56" t="str">
        <f>'Ratings worksheet'!B57</f>
        <v>AAA</v>
      </c>
      <c r="C57" s="56" t="str">
        <f>IF('Ratings worksheet'!C57="NA",VLOOKUP('Ratings worksheet'!B57,'Sovereign Ratings (Moody''s,S&amp;P)'!$F$9:$G$33,2,FALSE),'Ratings worksheet'!C57)</f>
        <v>Aaa</v>
      </c>
    </row>
    <row r="58" spans="1:3">
      <c r="A58" s="46" t="str">
        <f>'Ratings worksheet'!A58</f>
        <v>Ghana</v>
      </c>
      <c r="B58" s="56" t="str">
        <f>'Ratings worksheet'!B58</f>
        <v>SD</v>
      </c>
      <c r="C58" s="56" t="str">
        <f>IF('Ratings worksheet'!C58="NA",VLOOKUP('Ratings worksheet'!B58,'Sovereign Ratings (Moody''s,S&amp;P)'!$F$9:$G$33,2,FALSE),'Ratings worksheet'!C58)</f>
        <v>Ca</v>
      </c>
    </row>
    <row r="59" spans="1:3">
      <c r="A59" s="46" t="str">
        <f>'Ratings worksheet'!A59</f>
        <v>Greece</v>
      </c>
      <c r="B59" s="56" t="str">
        <f>'Ratings worksheet'!B59</f>
        <v>BB+</v>
      </c>
      <c r="C59" s="56" t="str">
        <f>IF('Ratings worksheet'!C59="NA",VLOOKUP('Ratings worksheet'!B59,'Sovereign Ratings (Moody''s,S&amp;P)'!$F$9:$G$33,2,FALSE),'Ratings worksheet'!C59)</f>
        <v>Ba3</v>
      </c>
    </row>
    <row r="60" spans="1:3">
      <c r="A60" s="46" t="str">
        <f>'Ratings worksheet'!A60</f>
        <v>Guatemala</v>
      </c>
      <c r="B60" s="56" t="str">
        <f>'Ratings worksheet'!B60</f>
        <v>BB- </v>
      </c>
      <c r="C60" s="56" t="str">
        <f>IF('Ratings worksheet'!C60="NA",VLOOKUP('Ratings worksheet'!B60,'Sovereign Ratings (Moody''s,S&amp;P)'!$F$9:$G$33,2,FALSE),'Ratings worksheet'!C60)</f>
        <v>Ba1</v>
      </c>
    </row>
    <row r="61" spans="1:3">
      <c r="A61" s="46" t="str">
        <f>'Ratings worksheet'!A61</f>
        <v>Guernsey (States of)</v>
      </c>
      <c r="B61" s="56" t="str">
        <f>'Ratings worksheet'!B61</f>
        <v>AAA</v>
      </c>
      <c r="C61" s="56" t="str">
        <f>IF('Ratings worksheet'!C61="NA",VLOOKUP('Ratings worksheet'!B61,'Sovereign Ratings (Moody''s,S&amp;P)'!$F$9:$G$33,2,FALSE),'Ratings worksheet'!C61)</f>
        <v>Aaa</v>
      </c>
    </row>
    <row r="62" spans="1:3">
      <c r="A62" s="46" t="str">
        <f>'Ratings worksheet'!A62</f>
        <v>Honduras</v>
      </c>
      <c r="B62" s="56" t="str">
        <f>'Ratings worksheet'!B62</f>
        <v>BB- </v>
      </c>
      <c r="C62" s="56" t="str">
        <f>IF('Ratings worksheet'!C62="NA",VLOOKUP('Ratings worksheet'!B62,'Sovereign Ratings (Moody''s,S&amp;P)'!$F$9:$G$33,2,FALSE),'Ratings worksheet'!C62)</f>
        <v>B1</v>
      </c>
    </row>
    <row r="63" spans="1:3">
      <c r="A63" s="46" t="str">
        <f>'Ratings worksheet'!A63</f>
        <v>Hong Kong</v>
      </c>
      <c r="B63" s="56" t="str">
        <f>'Ratings worksheet'!B63</f>
        <v>AA+</v>
      </c>
      <c r="C63" s="56" t="str">
        <f>IF('Ratings worksheet'!C63="NA",VLOOKUP('Ratings worksheet'!B63,'Sovereign Ratings (Moody''s,S&amp;P)'!$F$9:$G$33,2,FALSE),'Ratings worksheet'!C63)</f>
        <v>Aa3</v>
      </c>
    </row>
    <row r="64" spans="1:3">
      <c r="A64" s="46" t="str">
        <f>'Ratings worksheet'!A64</f>
        <v>Hungary</v>
      </c>
      <c r="B64" s="56" t="str">
        <f>'Ratings worksheet'!B64</f>
        <v>BBB </v>
      </c>
      <c r="C64" s="56" t="str">
        <f>IF('Ratings worksheet'!C64="NA",VLOOKUP('Ratings worksheet'!B64,'Sovereign Ratings (Moody''s,S&amp;P)'!$F$9:$G$33,2,FALSE),'Ratings worksheet'!C64)</f>
        <v>Baa2</v>
      </c>
    </row>
    <row r="65" spans="1:3">
      <c r="A65" s="46" t="str">
        <f>'Ratings worksheet'!A65</f>
        <v>Iceland</v>
      </c>
      <c r="B65" s="56" t="str">
        <f>'Ratings worksheet'!B65</f>
        <v>A</v>
      </c>
      <c r="C65" s="56" t="str">
        <f>IF('Ratings worksheet'!C65="NA",VLOOKUP('Ratings worksheet'!B65,'Sovereign Ratings (Moody''s,S&amp;P)'!$F$9:$G$33,2,FALSE),'Ratings worksheet'!C65)</f>
        <v>A2</v>
      </c>
    </row>
    <row r="66" spans="1:3">
      <c r="A66" s="46" t="str">
        <f>'Ratings worksheet'!A66</f>
        <v>India</v>
      </c>
      <c r="B66" s="56" t="str">
        <f>'Ratings worksheet'!B66</f>
        <v>BBB-</v>
      </c>
      <c r="C66" s="56" t="str">
        <f>IF('Ratings worksheet'!C66="NA",VLOOKUP('Ratings worksheet'!B66,'Sovereign Ratings (Moody''s,S&amp;P)'!$F$9:$G$33,2,FALSE),'Ratings worksheet'!C66)</f>
        <v>Baa3</v>
      </c>
    </row>
    <row r="67" spans="1:3">
      <c r="A67" s="46" t="str">
        <f>'Ratings worksheet'!A67</f>
        <v>Indonesia</v>
      </c>
      <c r="B67" s="56" t="str">
        <f>'Ratings worksheet'!B67</f>
        <v>BBB</v>
      </c>
      <c r="C67" s="56" t="str">
        <f>IF('Ratings worksheet'!C67="NA",VLOOKUP('Ratings worksheet'!B67,'Sovereign Ratings (Moody''s,S&amp;P)'!$F$9:$G$33,2,FALSE),'Ratings worksheet'!C67)</f>
        <v>Baa2</v>
      </c>
    </row>
    <row r="68" spans="1:3">
      <c r="A68" s="46" t="str">
        <f>'Ratings worksheet'!A68</f>
        <v>Iraq</v>
      </c>
      <c r="B68" s="56" t="str">
        <f>'Ratings worksheet'!B68</f>
        <v>B-</v>
      </c>
      <c r="C68" s="56" t="str">
        <f>IF('Ratings worksheet'!C68="NA",VLOOKUP('Ratings worksheet'!B68,'Sovereign Ratings (Moody''s,S&amp;P)'!$F$9:$G$33,2,FALSE),'Ratings worksheet'!C68)</f>
        <v>Caa1</v>
      </c>
    </row>
    <row r="69" spans="1:3">
      <c r="A69" s="46" t="str">
        <f>'Ratings worksheet'!A69</f>
        <v>Ireland</v>
      </c>
      <c r="B69" s="56" t="str">
        <f>'Ratings worksheet'!B69</f>
        <v>AA- </v>
      </c>
      <c r="C69" s="56" t="str">
        <f>IF('Ratings worksheet'!C69="NA",VLOOKUP('Ratings worksheet'!B69,'Sovereign Ratings (Moody''s,S&amp;P)'!$F$9:$G$33,2,FALSE),'Ratings worksheet'!C69)</f>
        <v>A1</v>
      </c>
    </row>
    <row r="70" spans="1:3">
      <c r="A70" s="46" t="str">
        <f>'Ratings worksheet'!A70</f>
        <v>Isle of Man</v>
      </c>
      <c r="B70" s="56" t="str">
        <f>'Ratings worksheet'!B70</f>
        <v>N/A</v>
      </c>
      <c r="C70" s="56" t="str">
        <f>IF('Ratings worksheet'!C70="NA",VLOOKUP('Ratings worksheet'!B70,'Sovereign Ratings (Moody''s,S&amp;P)'!$F$9:$G$33,2,FALSE),'Ratings worksheet'!C70)</f>
        <v>Aa3</v>
      </c>
    </row>
    <row r="71" spans="1:3">
      <c r="A71" s="46" t="str">
        <f>'Ratings worksheet'!A71</f>
        <v>Israel</v>
      </c>
      <c r="B71" s="56" t="str">
        <f>'Ratings worksheet'!B71</f>
        <v>AA-</v>
      </c>
      <c r="C71" s="56" t="str">
        <f>IF('Ratings worksheet'!C71="NA",VLOOKUP('Ratings worksheet'!B71,'Sovereign Ratings (Moody''s,S&amp;P)'!$F$9:$G$33,2,FALSE),'Ratings worksheet'!C71)</f>
        <v>A1</v>
      </c>
    </row>
    <row r="72" spans="1:3">
      <c r="A72" s="46" t="str">
        <f>'Ratings worksheet'!A72</f>
        <v>Italy</v>
      </c>
      <c r="B72" s="56" t="str">
        <f>'Ratings worksheet'!B72</f>
        <v>BBB</v>
      </c>
      <c r="C72" s="56" t="str">
        <f>IF('Ratings worksheet'!C72="NA",VLOOKUP('Ratings worksheet'!B72,'Sovereign Ratings (Moody''s,S&amp;P)'!$F$9:$G$33,2,FALSE),'Ratings worksheet'!C72)</f>
        <v>Baa3</v>
      </c>
    </row>
    <row r="73" spans="1:3">
      <c r="A73" s="46" t="str">
        <f>'Ratings worksheet'!A73</f>
        <v>Jamaica</v>
      </c>
      <c r="B73" s="56" t="str">
        <f>'Ratings worksheet'!B73</f>
        <v>B+</v>
      </c>
      <c r="C73" s="56" t="str">
        <f>IF('Ratings worksheet'!C73="NA",VLOOKUP('Ratings worksheet'!B73,'Sovereign Ratings (Moody''s,S&amp;P)'!$F$9:$G$33,2,FALSE),'Ratings worksheet'!C73)</f>
        <v>B2</v>
      </c>
    </row>
    <row r="74" spans="1:3">
      <c r="A74" s="46" t="str">
        <f>'Ratings worksheet'!A74</f>
        <v>Japan</v>
      </c>
      <c r="B74" s="56" t="str">
        <f>'Ratings worksheet'!B74</f>
        <v>A+</v>
      </c>
      <c r="C74" s="56" t="str">
        <f>IF('Ratings worksheet'!C74="NA",VLOOKUP('Ratings worksheet'!B74,'Sovereign Ratings (Moody''s,S&amp;P)'!$F$9:$G$33,2,FALSE),'Ratings worksheet'!C74)</f>
        <v>A1</v>
      </c>
    </row>
    <row r="75" spans="1:3">
      <c r="A75" s="46" t="str">
        <f>'Ratings worksheet'!A75</f>
        <v>Jersey (States of)</v>
      </c>
      <c r="B75" s="56" t="str">
        <f>'Ratings worksheet'!B75</f>
        <v>AAA</v>
      </c>
      <c r="C75" s="56" t="str">
        <f>IF('Ratings worksheet'!C75="NA",VLOOKUP('Ratings worksheet'!B75,'Sovereign Ratings (Moody''s,S&amp;P)'!$F$9:$G$33,2,FALSE),'Ratings worksheet'!C75)</f>
        <v>Aaa</v>
      </c>
    </row>
    <row r="76" spans="1:3">
      <c r="A76" s="46" t="str">
        <f>'Ratings worksheet'!A76</f>
        <v>Jordan</v>
      </c>
      <c r="B76" s="56" t="str">
        <f>'Ratings worksheet'!B76</f>
        <v>B+</v>
      </c>
      <c r="C76" s="56" t="str">
        <f>IF('Ratings worksheet'!C76="NA",VLOOKUP('Ratings worksheet'!B76,'Sovereign Ratings (Moody''s,S&amp;P)'!$F$9:$G$33,2,FALSE),'Ratings worksheet'!C76)</f>
        <v>B1</v>
      </c>
    </row>
    <row r="77" spans="1:3">
      <c r="A77" s="46" t="str">
        <f>'Ratings worksheet'!A77</f>
        <v>Kazakhstan</v>
      </c>
      <c r="B77" s="56" t="str">
        <f>'Ratings worksheet'!B77</f>
        <v>BBB- </v>
      </c>
      <c r="C77" s="56" t="str">
        <f>IF('Ratings worksheet'!C77="NA",VLOOKUP('Ratings worksheet'!B77,'Sovereign Ratings (Moody''s,S&amp;P)'!$F$9:$G$33,2,FALSE),'Ratings worksheet'!C77)</f>
        <v>Baa2</v>
      </c>
    </row>
    <row r="78" spans="1:3">
      <c r="A78" s="46" t="str">
        <f>'Ratings worksheet'!A78</f>
        <v>Kenya</v>
      </c>
      <c r="B78" s="56" t="str">
        <f>'Ratings worksheet'!B78</f>
        <v>B</v>
      </c>
      <c r="C78" s="56" t="str">
        <f>IF('Ratings worksheet'!C78="NA",VLOOKUP('Ratings worksheet'!B78,'Sovereign Ratings (Moody''s,S&amp;P)'!$F$9:$G$33,2,FALSE),'Ratings worksheet'!C78)</f>
        <v>B2</v>
      </c>
    </row>
    <row r="79" spans="1:3">
      <c r="A79" s="46" t="str">
        <f>'Ratings worksheet'!A79</f>
        <v>Korea</v>
      </c>
      <c r="B79" s="56" t="str">
        <f>'Ratings worksheet'!B79</f>
        <v>AA</v>
      </c>
      <c r="C79" s="56" t="str">
        <f>IF('Ratings worksheet'!C79="NA",VLOOKUP('Ratings worksheet'!B79,'Sovereign Ratings (Moody''s,S&amp;P)'!$F$9:$G$33,2,FALSE),'Ratings worksheet'!C79)</f>
        <v>Aa2</v>
      </c>
    </row>
    <row r="80" spans="1:3">
      <c r="A80" s="46" t="str">
        <f>'Ratings worksheet'!A80</f>
        <v>Kuwait</v>
      </c>
      <c r="B80" s="56" t="str">
        <f>'Ratings worksheet'!B80</f>
        <v>A+</v>
      </c>
      <c r="C80" s="56" t="str">
        <f>IF('Ratings worksheet'!C80="NA",VLOOKUP('Ratings worksheet'!B80,'Sovereign Ratings (Moody''s,S&amp;P)'!$F$9:$G$33,2,FALSE),'Ratings worksheet'!C80)</f>
        <v>A1</v>
      </c>
    </row>
    <row r="81" spans="1:3">
      <c r="A81" s="46" t="str">
        <f>'Ratings worksheet'!A81</f>
        <v>Kyrgyzstan</v>
      </c>
      <c r="B81" s="56" t="str">
        <f>'Ratings worksheet'!B81</f>
        <v>NA</v>
      </c>
      <c r="C81" s="56" t="str">
        <f>IF('Ratings worksheet'!C81="NA",VLOOKUP('Ratings worksheet'!B81,'Sovereign Ratings (Moody''s,S&amp;P)'!$F$9:$G$33,2,FALSE),'Ratings worksheet'!C81)</f>
        <v>B3</v>
      </c>
    </row>
    <row r="82" spans="1:3">
      <c r="A82" s="46" t="str">
        <f>'Ratings worksheet'!A82</f>
        <v>Laos</v>
      </c>
      <c r="B82" s="56" t="str">
        <f>'Ratings worksheet'!B82</f>
        <v>NA</v>
      </c>
      <c r="C82" s="56" t="str">
        <f>IF('Ratings worksheet'!C82="NA",VLOOKUP('Ratings worksheet'!B82,'Sovereign Ratings (Moody''s,S&amp;P)'!$F$9:$G$33,2,FALSE),'Ratings worksheet'!C82)</f>
        <v>Caa3</v>
      </c>
    </row>
    <row r="83" spans="1:3">
      <c r="A83" s="46" t="str">
        <f>'Ratings worksheet'!A83</f>
        <v>Latvia</v>
      </c>
      <c r="B83" s="56" t="str">
        <f>'Ratings worksheet'!B83</f>
        <v>A+ </v>
      </c>
      <c r="C83" s="56" t="str">
        <f>IF('Ratings worksheet'!C83="NA",VLOOKUP('Ratings worksheet'!B83,'Sovereign Ratings (Moody''s,S&amp;P)'!$F$9:$G$33,2,FALSE),'Ratings worksheet'!C83)</f>
        <v>A3</v>
      </c>
    </row>
    <row r="84" spans="1:3">
      <c r="A84" s="46" t="str">
        <f>'Ratings worksheet'!A84</f>
        <v>Lebanon</v>
      </c>
      <c r="B84" s="56" t="str">
        <f>'Ratings worksheet'!B84</f>
        <v>D</v>
      </c>
      <c r="C84" s="56" t="str">
        <f>IF('Ratings worksheet'!C84="NA",VLOOKUP('Ratings worksheet'!B84,'Sovereign Ratings (Moody''s,S&amp;P)'!$F$9:$G$33,2,FALSE),'Ratings worksheet'!C84)</f>
        <v>C</v>
      </c>
    </row>
    <row r="85" spans="1:3">
      <c r="A85" s="46" t="str">
        <f>'Ratings worksheet'!A85</f>
        <v>Liechtenstein</v>
      </c>
      <c r="B85" s="56" t="str">
        <f>'Ratings worksheet'!B85</f>
        <v>AAA</v>
      </c>
      <c r="C85" s="56" t="str">
        <f>IF('Ratings worksheet'!C85="NA",VLOOKUP('Ratings worksheet'!B85,'Sovereign Ratings (Moody''s,S&amp;P)'!$F$9:$G$33,2,FALSE),'Ratings worksheet'!C85)</f>
        <v>Aaa</v>
      </c>
    </row>
    <row r="86" spans="1:3">
      <c r="A86" s="46" t="str">
        <f>'Ratings worksheet'!A86</f>
        <v>Lithuania</v>
      </c>
      <c r="B86" s="56" t="str">
        <f>'Ratings worksheet'!B86</f>
        <v>A+ </v>
      </c>
      <c r="C86" s="56" t="str">
        <f>IF('Ratings worksheet'!C86="NA",VLOOKUP('Ratings worksheet'!B86,'Sovereign Ratings (Moody''s,S&amp;P)'!$F$9:$G$33,2,FALSE),'Ratings worksheet'!C86)</f>
        <v>A2</v>
      </c>
    </row>
    <row r="87" spans="1:3">
      <c r="A87" s="46" t="str">
        <f>'Ratings worksheet'!A87</f>
        <v>Luxembourg</v>
      </c>
      <c r="B87" s="56" t="str">
        <f>'Ratings worksheet'!B87</f>
        <v>AAA</v>
      </c>
      <c r="C87" s="56" t="str">
        <f>IF('Ratings worksheet'!C87="NA",VLOOKUP('Ratings worksheet'!B87,'Sovereign Ratings (Moody''s,S&amp;P)'!$F$9:$G$33,2,FALSE),'Ratings worksheet'!C87)</f>
        <v>Aaa</v>
      </c>
    </row>
    <row r="88" spans="1:3">
      <c r="A88" s="46" t="str">
        <f>'Ratings worksheet'!A88</f>
        <v>Macao</v>
      </c>
      <c r="B88" s="56" t="str">
        <f>'Ratings worksheet'!B88</f>
        <v>NA</v>
      </c>
      <c r="C88" s="56" t="str">
        <f>IF('Ratings worksheet'!C88="NA",VLOOKUP('Ratings worksheet'!B88,'Sovereign Ratings (Moody''s,S&amp;P)'!$F$9:$G$33,2,FALSE),'Ratings worksheet'!C88)</f>
        <v>Aa3</v>
      </c>
    </row>
    <row r="89" spans="1:3">
      <c r="A89" s="46" t="str">
        <f>'Ratings worksheet'!A89</f>
        <v>Macedonia</v>
      </c>
      <c r="B89" s="56" t="str">
        <f>'Ratings worksheet'!B89</f>
        <v>BB-</v>
      </c>
      <c r="C89" s="56" t="str">
        <f>IF('Ratings worksheet'!C89="NA",VLOOKUP('Ratings worksheet'!B89,'Sovereign Ratings (Moody''s,S&amp;P)'!$F$9:$G$33,2,FALSE),'Ratings worksheet'!C89)</f>
        <v>Ba3</v>
      </c>
    </row>
    <row r="90" spans="1:3">
      <c r="A90" s="46" t="str">
        <f>'Ratings worksheet'!A90</f>
        <v>Malaysia</v>
      </c>
      <c r="B90" s="56" t="str">
        <f>'Ratings worksheet'!B90</f>
        <v>A-</v>
      </c>
      <c r="C90" s="56" t="str">
        <f>IF('Ratings worksheet'!C90="NA",VLOOKUP('Ratings worksheet'!B90,'Sovereign Ratings (Moody''s,S&amp;P)'!$F$9:$G$33,2,FALSE),'Ratings worksheet'!C90)</f>
        <v>A3</v>
      </c>
    </row>
    <row r="91" spans="1:3">
      <c r="A91" s="46" t="str">
        <f>'Ratings worksheet'!A91</f>
        <v>Maldives</v>
      </c>
      <c r="B91" s="56" t="str">
        <f>'Ratings worksheet'!B91</f>
        <v>NA</v>
      </c>
      <c r="C91" s="56" t="str">
        <f>IF('Ratings worksheet'!C91="NA",VLOOKUP('Ratings worksheet'!B91,'Sovereign Ratings (Moody''s,S&amp;P)'!$F$9:$G$33,2,FALSE),'Ratings worksheet'!C91)</f>
        <v>Caa1</v>
      </c>
    </row>
    <row r="92" spans="1:3">
      <c r="A92" s="46" t="str">
        <f>'Ratings worksheet'!A92</f>
        <v>Mali</v>
      </c>
      <c r="B92" s="56" t="str">
        <f>'Ratings worksheet'!B92</f>
        <v>NA</v>
      </c>
      <c r="C92" s="56" t="str">
        <f>IF('Ratings worksheet'!C92="NA",VLOOKUP('Ratings worksheet'!B92,'Sovereign Ratings (Moody''s,S&amp;P)'!$F$9:$G$33,2,FALSE),'Ratings worksheet'!C92)</f>
        <v>Caa2</v>
      </c>
    </row>
    <row r="93" spans="1:3">
      <c r="A93" s="46" t="str">
        <f>'Ratings worksheet'!A93</f>
        <v>Malta</v>
      </c>
      <c r="B93" s="56" t="str">
        <f>'Ratings worksheet'!B93</f>
        <v>A-</v>
      </c>
      <c r="C93" s="56" t="str">
        <f>IF('Ratings worksheet'!C93="NA",VLOOKUP('Ratings worksheet'!B93,'Sovereign Ratings (Moody''s,S&amp;P)'!$F$9:$G$33,2,FALSE),'Ratings worksheet'!C93)</f>
        <v>A2</v>
      </c>
    </row>
    <row r="94" spans="1:3">
      <c r="A94" s="46" t="str">
        <f>'Ratings worksheet'!A94</f>
        <v>Mauritius</v>
      </c>
      <c r="B94" s="56" t="str">
        <f>'Ratings worksheet'!B94</f>
        <v>NA</v>
      </c>
      <c r="C94" s="56" t="str">
        <f>IF('Ratings worksheet'!C94="NA",VLOOKUP('Ratings worksheet'!B94,'Sovereign Ratings (Moody''s,S&amp;P)'!$F$9:$G$33,2,FALSE),'Ratings worksheet'!C94)</f>
        <v>Baa3</v>
      </c>
    </row>
    <row r="95" spans="1:3">
      <c r="A95" s="46" t="str">
        <f>'Ratings worksheet'!A95</f>
        <v>Mexico</v>
      </c>
      <c r="B95" s="56" t="str">
        <f>'Ratings worksheet'!B95</f>
        <v>BBB</v>
      </c>
      <c r="C95" s="56" t="str">
        <f>IF('Ratings worksheet'!C95="NA",VLOOKUP('Ratings worksheet'!B95,'Sovereign Ratings (Moody''s,S&amp;P)'!$F$9:$G$33,2,FALSE),'Ratings worksheet'!C95)</f>
        <v>Baa2</v>
      </c>
    </row>
    <row r="96" spans="1:3">
      <c r="A96" s="46" t="str">
        <f>'Ratings worksheet'!A96</f>
        <v>Moldova</v>
      </c>
      <c r="B96" s="56" t="str">
        <f>'Ratings worksheet'!B96</f>
        <v>NA</v>
      </c>
      <c r="C96" s="56" t="str">
        <f>IF('Ratings worksheet'!C96="NA",VLOOKUP('Ratings worksheet'!B96,'Sovereign Ratings (Moody''s,S&amp;P)'!$F$9:$G$33,2,FALSE),'Ratings worksheet'!C96)</f>
        <v>B3</v>
      </c>
    </row>
    <row r="97" spans="1:3">
      <c r="A97" s="46" t="str">
        <f>'Ratings worksheet'!A97</f>
        <v>Mongolia</v>
      </c>
      <c r="B97" s="56" t="str">
        <f>'Ratings worksheet'!B97</f>
        <v>B</v>
      </c>
      <c r="C97" s="56" t="str">
        <f>IF('Ratings worksheet'!C97="NA",VLOOKUP('Ratings worksheet'!B97,'Sovereign Ratings (Moody''s,S&amp;P)'!$F$9:$G$33,2,FALSE),'Ratings worksheet'!C97)</f>
        <v>B3</v>
      </c>
    </row>
    <row r="98" spans="1:3">
      <c r="A98" s="46" t="str">
        <f>'Ratings worksheet'!A98</f>
        <v>Montenegro</v>
      </c>
      <c r="B98" s="56" t="str">
        <f>'Ratings worksheet'!B98</f>
        <v>B</v>
      </c>
      <c r="C98" s="56" t="str">
        <f>IF('Ratings worksheet'!C98="NA",VLOOKUP('Ratings worksheet'!B98,'Sovereign Ratings (Moody''s,S&amp;P)'!$F$9:$G$33,2,FALSE),'Ratings worksheet'!C98)</f>
        <v>B1</v>
      </c>
    </row>
    <row r="99" spans="1:3">
      <c r="A99" s="46" t="str">
        <f>'Ratings worksheet'!A99</f>
        <v>Montserrat</v>
      </c>
      <c r="B99" s="56" t="str">
        <f>'Ratings worksheet'!B99</f>
        <v>BBB-</v>
      </c>
      <c r="C99" s="56" t="str">
        <f>IF('Ratings worksheet'!C99="NA",VLOOKUP('Ratings worksheet'!B99,'Sovereign Ratings (Moody''s,S&amp;P)'!$F$9:$G$33,2,FALSE),'Ratings worksheet'!C99)</f>
        <v>Baa3</v>
      </c>
    </row>
    <row r="100" spans="1:3">
      <c r="A100" s="46" t="str">
        <f>'Ratings worksheet'!A100</f>
        <v>Morocco</v>
      </c>
      <c r="B100" s="56" t="str">
        <f>'Ratings worksheet'!B100</f>
        <v>BB+</v>
      </c>
      <c r="C100" s="56" t="str">
        <f>IF('Ratings worksheet'!C100="NA",VLOOKUP('Ratings worksheet'!B100,'Sovereign Ratings (Moody''s,S&amp;P)'!$F$9:$G$33,2,FALSE),'Ratings worksheet'!C100)</f>
        <v>Ba1</v>
      </c>
    </row>
    <row r="101" spans="1:3">
      <c r="A101" s="46" t="str">
        <f>'Ratings worksheet'!A101</f>
        <v>Mozambique</v>
      </c>
      <c r="B101" s="56" t="str">
        <f>'Ratings worksheet'!B101</f>
        <v>CCC+</v>
      </c>
      <c r="C101" s="56" t="str">
        <f>IF('Ratings worksheet'!C101="NA",VLOOKUP('Ratings worksheet'!B101,'Sovereign Ratings (Moody''s,S&amp;P)'!$F$9:$G$33,2,FALSE),'Ratings worksheet'!C101)</f>
        <v>Caa2</v>
      </c>
    </row>
    <row r="102" spans="1:3">
      <c r="A102" s="46" t="str">
        <f>'Ratings worksheet'!A102</f>
        <v>Namibia</v>
      </c>
      <c r="B102" s="56" t="str">
        <f>'Ratings worksheet'!B102</f>
        <v>NA</v>
      </c>
      <c r="C102" s="56" t="str">
        <f>IF('Ratings worksheet'!C102="NA",VLOOKUP('Ratings worksheet'!B102,'Sovereign Ratings (Moody''s,S&amp;P)'!$F$9:$G$33,2,FALSE),'Ratings worksheet'!C102)</f>
        <v>B1</v>
      </c>
    </row>
    <row r="103" spans="1:3">
      <c r="A103" s="46" t="str">
        <f>'Ratings worksheet'!A103</f>
        <v>Netherlands</v>
      </c>
      <c r="B103" s="56" t="str">
        <f>'Ratings worksheet'!B103</f>
        <v>AAA</v>
      </c>
      <c r="C103" s="56" t="str">
        <f>IF('Ratings worksheet'!C103="NA",VLOOKUP('Ratings worksheet'!B103,'Sovereign Ratings (Moody''s,S&amp;P)'!$F$9:$G$33,2,FALSE),'Ratings worksheet'!C103)</f>
        <v>Aaa</v>
      </c>
    </row>
    <row r="104" spans="1:3">
      <c r="A104" s="46" t="str">
        <f>'Ratings worksheet'!A104</f>
        <v>New Zealand</v>
      </c>
      <c r="B104" s="56" t="str">
        <f>'Ratings worksheet'!B104</f>
        <v>AA+</v>
      </c>
      <c r="C104" s="56" t="str">
        <f>IF('Ratings worksheet'!C104="NA",VLOOKUP('Ratings worksheet'!B104,'Sovereign Ratings (Moody''s,S&amp;P)'!$F$9:$G$33,2,FALSE),'Ratings worksheet'!C104)</f>
        <v>Aaa</v>
      </c>
    </row>
    <row r="105" spans="1:3">
      <c r="A105" s="46" t="str">
        <f>'Ratings worksheet'!A105</f>
        <v>Nicaragua</v>
      </c>
      <c r="B105" s="56" t="str">
        <f>'Ratings worksheet'!B105</f>
        <v>B</v>
      </c>
      <c r="C105" s="56" t="str">
        <f>IF('Ratings worksheet'!C105="NA",VLOOKUP('Ratings worksheet'!B105,'Sovereign Ratings (Moody''s,S&amp;P)'!$F$9:$G$33,2,FALSE),'Ratings worksheet'!C105)</f>
        <v>B3</v>
      </c>
    </row>
    <row r="106" spans="1:3">
      <c r="A106" s="46" t="str">
        <f>'Ratings worksheet'!A106</f>
        <v>Niger</v>
      </c>
      <c r="B106" s="56" t="str">
        <f>'Ratings worksheet'!B106</f>
        <v>NA</v>
      </c>
      <c r="C106" s="56" t="str">
        <f>IF('Ratings worksheet'!C106="NA",VLOOKUP('Ratings worksheet'!B106,'Sovereign Ratings (Moody''s,S&amp;P)'!$F$9:$G$33,2,FALSE),'Ratings worksheet'!C106)</f>
        <v>B3</v>
      </c>
    </row>
    <row r="107" spans="1:3">
      <c r="A107" s="46" t="str">
        <f>'Ratings worksheet'!A107</f>
        <v>Nigeria</v>
      </c>
      <c r="B107" s="56" t="str">
        <f>'Ratings worksheet'!B107</f>
        <v>B-</v>
      </c>
      <c r="C107" s="56" t="str">
        <f>IF('Ratings worksheet'!C107="NA",VLOOKUP('Ratings worksheet'!B107,'Sovereign Ratings (Moody''s,S&amp;P)'!$F$9:$G$33,2,FALSE),'Ratings worksheet'!C107)</f>
        <v>B3</v>
      </c>
    </row>
    <row r="108" spans="1:3">
      <c r="A108" s="46" t="str">
        <f>'Ratings worksheet'!A108</f>
        <v>Norway</v>
      </c>
      <c r="B108" s="56" t="str">
        <f>'Ratings worksheet'!B108</f>
        <v>AAA</v>
      </c>
      <c r="C108" s="56" t="str">
        <f>IF('Ratings worksheet'!C108="NA",VLOOKUP('Ratings worksheet'!B108,'Sovereign Ratings (Moody''s,S&amp;P)'!$F$9:$G$33,2,FALSE),'Ratings worksheet'!C108)</f>
        <v>Aaa</v>
      </c>
    </row>
    <row r="109" spans="1:3">
      <c r="A109" s="46" t="str">
        <f>'Ratings worksheet'!A109</f>
        <v>Oman</v>
      </c>
      <c r="B109" s="56" t="str">
        <f>'Ratings worksheet'!B109</f>
        <v>BB</v>
      </c>
      <c r="C109" s="56" t="str">
        <f>IF('Ratings worksheet'!C109="NA",VLOOKUP('Ratings worksheet'!B109,'Sovereign Ratings (Moody''s,S&amp;P)'!$F$9:$G$33,2,FALSE),'Ratings worksheet'!C109)</f>
        <v>Ba3</v>
      </c>
    </row>
    <row r="110" spans="1:3">
      <c r="A110" s="46" t="str">
        <f>'Ratings worksheet'!A110</f>
        <v>Pakistan</v>
      </c>
      <c r="B110" s="56" t="str">
        <f>'Ratings worksheet'!B110</f>
        <v>CCC+</v>
      </c>
      <c r="C110" s="56" t="str">
        <f>IF('Ratings worksheet'!C110="NA",VLOOKUP('Ratings worksheet'!B110,'Sovereign Ratings (Moody''s,S&amp;P)'!$F$9:$G$33,2,FALSE),'Ratings worksheet'!C110)</f>
        <v>Caa1</v>
      </c>
    </row>
    <row r="111" spans="1:3">
      <c r="A111" s="46" t="str">
        <f>'Ratings worksheet'!A111</f>
        <v>Panama</v>
      </c>
      <c r="B111" s="56" t="str">
        <f>'Ratings worksheet'!B111</f>
        <v>BBB </v>
      </c>
      <c r="C111" s="56" t="str">
        <f>IF('Ratings worksheet'!C111="NA",VLOOKUP('Ratings worksheet'!B111,'Sovereign Ratings (Moody''s,S&amp;P)'!$F$9:$G$33,2,FALSE),'Ratings worksheet'!C111)</f>
        <v>Baa2</v>
      </c>
    </row>
    <row r="112" spans="1:3">
      <c r="A112" s="46" t="str">
        <f>'Ratings worksheet'!A112</f>
        <v>Papua New Guinea</v>
      </c>
      <c r="B112" s="56" t="str">
        <f>'Ratings worksheet'!B112</f>
        <v>B-</v>
      </c>
      <c r="C112" s="56" t="str">
        <f>IF('Ratings worksheet'!C112="NA",VLOOKUP('Ratings worksheet'!B112,'Sovereign Ratings (Moody''s,S&amp;P)'!$F$9:$G$33,2,FALSE),'Ratings worksheet'!C112)</f>
        <v>B2</v>
      </c>
    </row>
    <row r="113" spans="1:3">
      <c r="A113" s="46" t="str">
        <f>'Ratings worksheet'!A113</f>
        <v>Paraguay</v>
      </c>
      <c r="B113" s="56" t="str">
        <f>'Ratings worksheet'!B113</f>
        <v>BB</v>
      </c>
      <c r="C113" s="56" t="str">
        <f>IF('Ratings worksheet'!C113="NA",VLOOKUP('Ratings worksheet'!B113,'Sovereign Ratings (Moody''s,S&amp;P)'!$F$9:$G$33,2,FALSE),'Ratings worksheet'!C113)</f>
        <v>Ba1</v>
      </c>
    </row>
    <row r="114" spans="1:3">
      <c r="A114" s="46" t="str">
        <f>'Ratings worksheet'!A114</f>
        <v>Peru</v>
      </c>
      <c r="B114" s="56" t="str">
        <f>'Ratings worksheet'!B114</f>
        <v>NA</v>
      </c>
      <c r="C114" s="56" t="str">
        <f>IF('Ratings worksheet'!C114="NA",VLOOKUP('Ratings worksheet'!B114,'Sovereign Ratings (Moody''s,S&amp;P)'!$F$9:$G$33,2,FALSE),'Ratings worksheet'!C114)</f>
        <v>Baa1</v>
      </c>
    </row>
    <row r="115" spans="1:3">
      <c r="A115" s="46" t="str">
        <f>'Ratings worksheet'!A115</f>
        <v>Philippines</v>
      </c>
      <c r="B115" s="56" t="str">
        <f>'Ratings worksheet'!B115</f>
        <v>BBB+</v>
      </c>
      <c r="C115" s="56" t="str">
        <f>IF('Ratings worksheet'!C115="NA",VLOOKUP('Ratings worksheet'!B115,'Sovereign Ratings (Moody''s,S&amp;P)'!$F$9:$G$33,2,FALSE),'Ratings worksheet'!C115)</f>
        <v>Baa2</v>
      </c>
    </row>
    <row r="116" spans="1:3">
      <c r="A116" s="46" t="str">
        <f>'Ratings worksheet'!A116</f>
        <v>Poland</v>
      </c>
      <c r="B116" s="56" t="str">
        <f>'Ratings worksheet'!B116</f>
        <v>A-</v>
      </c>
      <c r="C116" s="56" t="str">
        <f>IF('Ratings worksheet'!C116="NA",VLOOKUP('Ratings worksheet'!B116,'Sovereign Ratings (Moody''s,S&amp;P)'!$F$9:$G$33,2,FALSE),'Ratings worksheet'!C116)</f>
        <v>A2</v>
      </c>
    </row>
    <row r="117" spans="1:3">
      <c r="A117" s="46" t="str">
        <f>'Ratings worksheet'!A117</f>
        <v>Portugal</v>
      </c>
      <c r="B117" s="56" t="str">
        <f>'Ratings worksheet'!B117</f>
        <v>BBB+</v>
      </c>
      <c r="C117" s="56" t="str">
        <f>IF('Ratings worksheet'!C117="NA",VLOOKUP('Ratings worksheet'!B117,'Sovereign Ratings (Moody''s,S&amp;P)'!$F$9:$G$33,2,FALSE),'Ratings worksheet'!C117)</f>
        <v>Baa2</v>
      </c>
    </row>
    <row r="118" spans="1:3">
      <c r="A118" s="46" t="str">
        <f>'Ratings worksheet'!A118</f>
        <v>Qatar</v>
      </c>
      <c r="B118" s="56" t="str">
        <f>'Ratings worksheet'!B118</f>
        <v>AA</v>
      </c>
      <c r="C118" s="56" t="str">
        <f>IF('Ratings worksheet'!C118="NA",VLOOKUP('Ratings worksheet'!B118,'Sovereign Ratings (Moody''s,S&amp;P)'!$F$9:$G$33,2,FALSE),'Ratings worksheet'!C118)</f>
        <v>Aa3</v>
      </c>
    </row>
    <row r="119" spans="1:3">
      <c r="A119" s="46" t="str">
        <f>'Ratings worksheet'!A119</f>
        <v>Ras Al Khaimah (Emirate of)</v>
      </c>
      <c r="B119" s="56" t="str">
        <f>'Ratings worksheet'!B119</f>
        <v>A-</v>
      </c>
      <c r="C119" s="56" t="str">
        <f>IF('Ratings worksheet'!C119="NA",VLOOKUP('Ratings worksheet'!B119,'Sovereign Ratings (Moody''s,S&amp;P)'!$F$9:$G$33,2,FALSE),'Ratings worksheet'!C119)</f>
        <v>A3</v>
      </c>
    </row>
    <row r="120" spans="1:3">
      <c r="A120" s="46" t="str">
        <f>'Ratings worksheet'!A120</f>
        <v>Romania</v>
      </c>
      <c r="B120" s="56" t="str">
        <f>'Ratings worksheet'!B120</f>
        <v>BBB-</v>
      </c>
      <c r="C120" s="56" t="str">
        <f>IF('Ratings worksheet'!C120="NA",VLOOKUP('Ratings worksheet'!B120,'Sovereign Ratings (Moody''s,S&amp;P)'!$F$9:$G$33,2,FALSE),'Ratings worksheet'!C120)</f>
        <v>Baa3</v>
      </c>
    </row>
    <row r="121" spans="1:3">
      <c r="A121" s="46" t="str">
        <f>'Ratings worksheet'!A121</f>
        <v>Russia</v>
      </c>
      <c r="B121" s="56" t="str">
        <f>'Ratings worksheet'!B121</f>
        <v>NA</v>
      </c>
      <c r="C121" s="56" t="str">
        <f>IF('Ratings worksheet'!C121="NA",VLOOKUP('Ratings worksheet'!B121,'Sovereign Ratings (Moody''s,S&amp;P)'!$F$9:$G$33,2,FALSE),'Ratings worksheet'!C121)</f>
        <v>Caa1</v>
      </c>
    </row>
    <row r="122" spans="1:3">
      <c r="A122" s="46" t="str">
        <f>'Ratings worksheet'!A122</f>
        <v>Rwanda</v>
      </c>
      <c r="B122" s="56" t="str">
        <f>'Ratings worksheet'!B122</f>
        <v>NA</v>
      </c>
      <c r="C122" s="56" t="str">
        <f>IF('Ratings worksheet'!C122="NA",VLOOKUP('Ratings worksheet'!B122,'Sovereign Ratings (Moody''s,S&amp;P)'!$F$9:$G$33,2,FALSE),'Ratings worksheet'!C122)</f>
        <v>B2</v>
      </c>
    </row>
    <row r="123" spans="1:3">
      <c r="A123" s="46" t="str">
        <f>'Ratings worksheet'!A123</f>
        <v>Saudi Arabia</v>
      </c>
      <c r="B123" s="56" t="str">
        <f>'Ratings worksheet'!B123</f>
        <v>A- </v>
      </c>
      <c r="C123" s="56" t="str">
        <f>IF('Ratings worksheet'!C123="NA",VLOOKUP('Ratings worksheet'!B123,'Sovereign Ratings (Moody''s,S&amp;P)'!$F$9:$G$33,2,FALSE),'Ratings worksheet'!C123)</f>
        <v>A1</v>
      </c>
    </row>
    <row r="124" spans="1:3">
      <c r="A124" s="46" t="str">
        <f>'Ratings worksheet'!A124</f>
        <v>Senegal</v>
      </c>
      <c r="B124" s="56" t="str">
        <f>'Ratings worksheet'!B124</f>
        <v>B+</v>
      </c>
      <c r="C124" s="56" t="str">
        <f>IF('Ratings worksheet'!C124="NA",VLOOKUP('Ratings worksheet'!B124,'Sovereign Ratings (Moody''s,S&amp;P)'!$F$9:$G$33,2,FALSE),'Ratings worksheet'!C124)</f>
        <v>Ba3</v>
      </c>
    </row>
    <row r="125" spans="1:3">
      <c r="A125" s="46" t="str">
        <f>'Ratings worksheet'!A125</f>
        <v>Serbia</v>
      </c>
      <c r="B125" s="56" t="str">
        <f>'Ratings worksheet'!B125</f>
        <v>BB+</v>
      </c>
      <c r="C125" s="56" t="str">
        <f>IF('Ratings worksheet'!C125="NA",VLOOKUP('Ratings worksheet'!B125,'Sovereign Ratings (Moody''s,S&amp;P)'!$F$9:$G$33,2,FALSE),'Ratings worksheet'!C125)</f>
        <v>Ba2</v>
      </c>
    </row>
    <row r="126" spans="1:3">
      <c r="A126" s="46" t="str">
        <f>'Ratings worksheet'!A126</f>
        <v>Sharjah</v>
      </c>
      <c r="B126" s="56" t="str">
        <f>'Ratings worksheet'!B126</f>
        <v>NA</v>
      </c>
      <c r="C126" s="56" t="str">
        <f>IF('Ratings worksheet'!C126="NA",VLOOKUP('Ratings worksheet'!B126,'Sovereign Ratings (Moody''s,S&amp;P)'!$F$9:$G$33,2,FALSE),'Ratings worksheet'!C126)</f>
        <v>Ba1</v>
      </c>
    </row>
    <row r="127" spans="1:3">
      <c r="A127" s="46" t="str">
        <f>'Ratings worksheet'!A127</f>
        <v>Singapore</v>
      </c>
      <c r="B127" s="56" t="str">
        <f>'Ratings worksheet'!B127</f>
        <v>AAA</v>
      </c>
      <c r="C127" s="56" t="str">
        <f>IF('Ratings worksheet'!C127="NA",VLOOKUP('Ratings worksheet'!B127,'Sovereign Ratings (Moody''s,S&amp;P)'!$F$9:$G$33,2,FALSE),'Ratings worksheet'!C127)</f>
        <v>Aaa</v>
      </c>
    </row>
    <row r="128" spans="1:3">
      <c r="A128" s="46" t="str">
        <f>'Ratings worksheet'!A128</f>
        <v>Slovakia</v>
      </c>
      <c r="B128" s="56" t="str">
        <f>'Ratings worksheet'!B128</f>
        <v>A+ </v>
      </c>
      <c r="C128" s="56" t="str">
        <f>IF('Ratings worksheet'!C128="NA",VLOOKUP('Ratings worksheet'!B128,'Sovereign Ratings (Moody''s,S&amp;P)'!$F$9:$G$33,2,FALSE),'Ratings worksheet'!C128)</f>
        <v>A2</v>
      </c>
    </row>
    <row r="129" spans="1:3">
      <c r="A129" s="46" t="str">
        <f>'Ratings worksheet'!A129</f>
        <v>Slovenia</v>
      </c>
      <c r="B129" s="56" t="str">
        <f>'Ratings worksheet'!B129</f>
        <v>AA-</v>
      </c>
      <c r="C129" s="56" t="str">
        <f>IF('Ratings worksheet'!C129="NA",VLOOKUP('Ratings worksheet'!B129,'Sovereign Ratings (Moody''s,S&amp;P)'!$F$9:$G$33,2,FALSE),'Ratings worksheet'!C129)</f>
        <v>A3</v>
      </c>
    </row>
    <row r="130" spans="1:3">
      <c r="A130" s="46" t="str">
        <f>'Ratings worksheet'!A130</f>
        <v>Solomon Islands</v>
      </c>
      <c r="B130" s="56" t="str">
        <f>'Ratings worksheet'!B130</f>
        <v>NA</v>
      </c>
      <c r="C130" s="56" t="str">
        <f>IF('Ratings worksheet'!C130="NA",VLOOKUP('Ratings worksheet'!B130,'Sovereign Ratings (Moody''s,S&amp;P)'!$F$9:$G$33,2,FALSE),'Ratings worksheet'!C130)</f>
        <v>Caa1</v>
      </c>
    </row>
    <row r="131" spans="1:3">
      <c r="A131" s="46" t="str">
        <f>'Ratings worksheet'!A131</f>
        <v>South Africa</v>
      </c>
      <c r="B131" s="56" t="str">
        <f>'Ratings worksheet'!B131</f>
        <v>BB- </v>
      </c>
      <c r="C131" s="56" t="str">
        <f>IF('Ratings worksheet'!C131="NA",VLOOKUP('Ratings worksheet'!B131,'Sovereign Ratings (Moody''s,S&amp;P)'!$F$9:$G$33,2,FALSE),'Ratings worksheet'!C131)</f>
        <v>Ba2</v>
      </c>
    </row>
    <row r="132" spans="1:3">
      <c r="A132" s="46" t="str">
        <f>'Ratings worksheet'!A132</f>
        <v>Spain</v>
      </c>
      <c r="B132" s="56" t="str">
        <f>'Ratings worksheet'!B132</f>
        <v>A</v>
      </c>
      <c r="C132" s="56" t="str">
        <f>IF('Ratings worksheet'!C132="NA",VLOOKUP('Ratings worksheet'!B132,'Sovereign Ratings (Moody''s,S&amp;P)'!$F$9:$G$33,2,FALSE),'Ratings worksheet'!C132)</f>
        <v>Baa1</v>
      </c>
    </row>
    <row r="133" spans="1:3">
      <c r="A133" s="46" t="str">
        <f>'Ratings worksheet'!A133</f>
        <v>Sri Lanka</v>
      </c>
      <c r="B133" s="56" t="str">
        <f>'Ratings worksheet'!B133</f>
        <v>SD</v>
      </c>
      <c r="C133" s="56" t="str">
        <f>IF('Ratings worksheet'!C133="NA",VLOOKUP('Ratings worksheet'!B133,'Sovereign Ratings (Moody''s,S&amp;P)'!$F$9:$G$33,2,FALSE),'Ratings worksheet'!C133)</f>
        <v>Ca</v>
      </c>
    </row>
    <row r="134" spans="1:3">
      <c r="A134" s="46" t="str">
        <f>'Ratings worksheet'!A134</f>
        <v>St. Maarten</v>
      </c>
      <c r="B134" s="56" t="str">
        <f>'Ratings worksheet'!B134</f>
        <v>NA</v>
      </c>
      <c r="C134" s="56" t="str">
        <f>IF('Ratings worksheet'!C134="NA",VLOOKUP('Ratings worksheet'!B134,'Sovereign Ratings (Moody''s,S&amp;P)'!$F$9:$G$33,2,FALSE),'Ratings worksheet'!C134)</f>
        <v>Ba2</v>
      </c>
    </row>
    <row r="135" spans="1:3">
      <c r="A135" s="46" t="str">
        <f>'Ratings worksheet'!A135</f>
        <v>St. Vincent &amp; the Grenadines</v>
      </c>
      <c r="B135" s="56" t="str">
        <f>'Ratings worksheet'!B135</f>
        <v>NA</v>
      </c>
      <c r="C135" s="56" t="str">
        <f>IF('Ratings worksheet'!C135="NA",VLOOKUP('Ratings worksheet'!B135,'Sovereign Ratings (Moody''s,S&amp;P)'!$F$9:$G$33,2,FALSE),'Ratings worksheet'!C135)</f>
        <v>B3</v>
      </c>
    </row>
    <row r="136" spans="1:3">
      <c r="A136" s="46" t="str">
        <f>'Ratings worksheet'!A136</f>
        <v>Suriname</v>
      </c>
      <c r="B136" s="56" t="str">
        <f>'Ratings worksheet'!B136</f>
        <v>NA</v>
      </c>
      <c r="C136" s="56" t="str">
        <f>IF('Ratings worksheet'!C136="NA",VLOOKUP('Ratings worksheet'!B136,'Sovereign Ratings (Moody''s,S&amp;P)'!$F$9:$G$33,2,FALSE),'Ratings worksheet'!C136)</f>
        <v>Caa3</v>
      </c>
    </row>
    <row r="137" spans="1:3">
      <c r="A137" s="46" t="str">
        <f>'Ratings worksheet'!A137</f>
        <v>Swaziland</v>
      </c>
      <c r="B137" s="56" t="str">
        <f>'Ratings worksheet'!B137</f>
        <v>NA</v>
      </c>
      <c r="C137" s="56" t="str">
        <f>IF('Ratings worksheet'!C137="NA",VLOOKUP('Ratings worksheet'!B137,'Sovereign Ratings (Moody''s,S&amp;P)'!$F$9:$G$33,2,FALSE),'Ratings worksheet'!C137)</f>
        <v>B3</v>
      </c>
    </row>
    <row r="138" spans="1:3">
      <c r="A138" s="46" t="str">
        <f>'Ratings worksheet'!A138</f>
        <v>Sweden</v>
      </c>
      <c r="B138" s="56" t="str">
        <f>'Ratings worksheet'!B138</f>
        <v>AAA</v>
      </c>
      <c r="C138" s="56" t="str">
        <f>IF('Ratings worksheet'!C138="NA",VLOOKUP('Ratings worksheet'!B138,'Sovereign Ratings (Moody''s,S&amp;P)'!$F$9:$G$33,2,FALSE),'Ratings worksheet'!C138)</f>
        <v>Aaa</v>
      </c>
    </row>
    <row r="139" spans="1:3">
      <c r="A139" s="46" t="str">
        <f>'Ratings worksheet'!A139</f>
        <v>Switzerland</v>
      </c>
      <c r="B139" s="56" t="str">
        <f>'Ratings worksheet'!B139</f>
        <v>AAA</v>
      </c>
      <c r="C139" s="56" t="str">
        <f>IF('Ratings worksheet'!C139="NA",VLOOKUP('Ratings worksheet'!B139,'Sovereign Ratings (Moody''s,S&amp;P)'!$F$9:$G$33,2,FALSE),'Ratings worksheet'!C139)</f>
        <v>Aaa</v>
      </c>
    </row>
    <row r="140" spans="1:3">
      <c r="A140" s="46" t="str">
        <f>'Ratings worksheet'!A140</f>
        <v>Taiwan</v>
      </c>
      <c r="B140" s="56" t="str">
        <f>'Ratings worksheet'!B140</f>
        <v>AA+</v>
      </c>
      <c r="C140" s="56" t="str">
        <f>IF('Ratings worksheet'!C140="NA",VLOOKUP('Ratings worksheet'!B140,'Sovereign Ratings (Moody''s,S&amp;P)'!$F$9:$G$33,2,FALSE),'Ratings worksheet'!C140)</f>
        <v>Aa3</v>
      </c>
    </row>
    <row r="141" spans="1:3">
      <c r="A141" s="46" t="str">
        <f>'Ratings worksheet'!A141</f>
        <v>Tajikistan</v>
      </c>
      <c r="B141" s="56" t="str">
        <f>'Ratings worksheet'!B141</f>
        <v>B-</v>
      </c>
      <c r="C141" s="56" t="str">
        <f>IF('Ratings worksheet'!C141="NA",VLOOKUP('Ratings worksheet'!B141,'Sovereign Ratings (Moody''s,S&amp;P)'!$F$9:$G$33,2,FALSE),'Ratings worksheet'!C141)</f>
        <v>B3</v>
      </c>
    </row>
    <row r="142" spans="1:3">
      <c r="A142" s="46" t="str">
        <f>'Ratings worksheet'!A142</f>
        <v>Tanzania</v>
      </c>
      <c r="B142" s="56" t="str">
        <f>'Ratings worksheet'!B142</f>
        <v>NA</v>
      </c>
      <c r="C142" s="56" t="str">
        <f>IF('Ratings worksheet'!C142="NA",VLOOKUP('Ratings worksheet'!B142,'Sovereign Ratings (Moody''s,S&amp;P)'!$F$9:$G$33,2,FALSE),'Ratings worksheet'!C142)</f>
        <v>B2</v>
      </c>
    </row>
    <row r="143" spans="1:3">
      <c r="A143" s="46" t="str">
        <f>'Ratings worksheet'!A143</f>
        <v>Thailand</v>
      </c>
      <c r="B143" s="56" t="str">
        <f>'Ratings worksheet'!B143</f>
        <v>BBB+</v>
      </c>
      <c r="C143" s="56" t="str">
        <f>IF('Ratings worksheet'!C143="NA",VLOOKUP('Ratings worksheet'!B143,'Sovereign Ratings (Moody''s,S&amp;P)'!$F$9:$G$33,2,FALSE),'Ratings worksheet'!C143)</f>
        <v>Baa1</v>
      </c>
    </row>
    <row r="144" spans="1:3">
      <c r="A144" s="46" t="str">
        <f>'Ratings worksheet'!A144</f>
        <v>Togo</v>
      </c>
      <c r="B144" s="56" t="str">
        <f>'Ratings worksheet'!B144</f>
        <v>B</v>
      </c>
      <c r="C144" s="56" t="str">
        <f>IF('Ratings worksheet'!C144="NA",VLOOKUP('Ratings worksheet'!B144,'Sovereign Ratings (Moody''s,S&amp;P)'!$F$9:$G$33,2,FALSE),'Ratings worksheet'!C144)</f>
        <v>B3</v>
      </c>
    </row>
    <row r="145" spans="1:3">
      <c r="A145" s="46" t="str">
        <f>'Ratings worksheet'!A145</f>
        <v>Trinidad and Tobago</v>
      </c>
      <c r="B145" s="56" t="str">
        <f>'Ratings worksheet'!B145</f>
        <v>BBB-</v>
      </c>
      <c r="C145" s="56" t="str">
        <f>IF('Ratings worksheet'!C145="NA",VLOOKUP('Ratings worksheet'!B145,'Sovereign Ratings (Moody''s,S&amp;P)'!$F$9:$G$33,2,FALSE),'Ratings worksheet'!C145)</f>
        <v>Ba2</v>
      </c>
    </row>
    <row r="146" spans="1:3">
      <c r="A146" s="46" t="str">
        <f>'Ratings worksheet'!A146</f>
        <v>Tunisia</v>
      </c>
      <c r="B146" s="56" t="str">
        <f>'Ratings worksheet'!B146</f>
        <v>N/A</v>
      </c>
      <c r="C146" s="56" t="str">
        <f>IF('Ratings worksheet'!C146="NA",VLOOKUP('Ratings worksheet'!B146,'Sovereign Ratings (Moody''s,S&amp;P)'!$F$9:$G$33,2,FALSE),'Ratings worksheet'!C146)</f>
        <v>Caa1</v>
      </c>
    </row>
    <row r="147" spans="1:3">
      <c r="A147" s="46" t="str">
        <f>'Ratings worksheet'!A147</f>
        <v>Turkey</v>
      </c>
      <c r="B147" s="56" t="str">
        <f>'Ratings worksheet'!B147</f>
        <v>B</v>
      </c>
      <c r="C147" s="56" t="str">
        <f>IF('Ratings worksheet'!C147="NA",VLOOKUP('Ratings worksheet'!B147,'Sovereign Ratings (Moody''s,S&amp;P)'!$F$9:$G$33,2,FALSE),'Ratings worksheet'!C147)</f>
        <v>B3</v>
      </c>
    </row>
    <row r="148" spans="1:3">
      <c r="A148" s="46" t="str">
        <f>'Ratings worksheet'!A148</f>
        <v>Turks and Caicos Islands</v>
      </c>
      <c r="B148" s="56" t="str">
        <f>'Ratings worksheet'!B148</f>
        <v>BBB+</v>
      </c>
      <c r="C148" s="56" t="str">
        <f>IF('Ratings worksheet'!C148="NA",VLOOKUP('Ratings worksheet'!B148,'Sovereign Ratings (Moody''s,S&amp;P)'!$F$9:$G$33,2,FALSE),'Ratings worksheet'!C148)</f>
        <v>Baa1</v>
      </c>
    </row>
    <row r="149" spans="1:3">
      <c r="A149" s="46" t="str">
        <f>'Ratings worksheet'!A149</f>
        <v>Uganda</v>
      </c>
      <c r="B149" s="56" t="str">
        <f>'Ratings worksheet'!B149</f>
        <v>B </v>
      </c>
      <c r="C149" s="56" t="str">
        <f>IF('Ratings worksheet'!C149="NA",VLOOKUP('Ratings worksheet'!B149,'Sovereign Ratings (Moody''s,S&amp;P)'!$F$9:$G$33,2,FALSE),'Ratings worksheet'!C149)</f>
        <v>B2</v>
      </c>
    </row>
    <row r="150" spans="1:3">
      <c r="A150" s="46" t="str">
        <f>'Ratings worksheet'!A150</f>
        <v>Ukraine</v>
      </c>
      <c r="B150" s="56" t="str">
        <f>'Ratings worksheet'!B150</f>
        <v>CCC+</v>
      </c>
      <c r="C150" s="56" t="str">
        <f>IF('Ratings worksheet'!C150="NA",VLOOKUP('Ratings worksheet'!B150,'Sovereign Ratings (Moody''s,S&amp;P)'!$F$9:$G$33,2,FALSE),'Ratings worksheet'!C150)</f>
        <v>Caa3</v>
      </c>
    </row>
    <row r="151" spans="1:3">
      <c r="A151" s="46" t="str">
        <f>'Ratings worksheet'!A151</f>
        <v>United Arab Emirates</v>
      </c>
      <c r="B151" s="56" t="str">
        <f>'Ratings worksheet'!B151</f>
        <v>AA</v>
      </c>
      <c r="C151" s="56" t="str">
        <f>IF('Ratings worksheet'!C151="NA",VLOOKUP('Ratings worksheet'!B151,'Sovereign Ratings (Moody''s,S&amp;P)'!$F$9:$G$33,2,FALSE),'Ratings worksheet'!C151)</f>
        <v>Aa2</v>
      </c>
    </row>
    <row r="152" spans="1:3">
      <c r="A152" s="46" t="str">
        <f>'Ratings worksheet'!A152</f>
        <v>United Kingdom</v>
      </c>
      <c r="B152" s="56" t="str">
        <f>'Ratings worksheet'!B152</f>
        <v>AA </v>
      </c>
      <c r="C152" s="56" t="str">
        <f>IF('Ratings worksheet'!C152="NA",VLOOKUP('Ratings worksheet'!B152,'Sovereign Ratings (Moody''s,S&amp;P)'!$F$9:$G$33,2,FALSE),'Ratings worksheet'!C152)</f>
        <v>Aa3</v>
      </c>
    </row>
    <row r="153" spans="1:3">
      <c r="A153" s="46" t="str">
        <f>'Ratings worksheet'!A153</f>
        <v>United States</v>
      </c>
      <c r="B153" s="56" t="str">
        <f>'Ratings worksheet'!B153</f>
        <v>AA+</v>
      </c>
      <c r="C153" s="56" t="str">
        <f>IF('Ratings worksheet'!C153="NA",VLOOKUP('Ratings worksheet'!B153,'Sovereign Ratings (Moody''s,S&amp;P)'!$F$9:$G$33,2,FALSE),'Ratings worksheet'!C153)</f>
        <v>Aaa</v>
      </c>
    </row>
    <row r="154" spans="1:3">
      <c r="A154" s="46" t="str">
        <f>'Ratings worksheet'!A154</f>
        <v>Uruguay</v>
      </c>
      <c r="B154" s="56" t="str">
        <f>'Ratings worksheet'!B154</f>
        <v>BBB</v>
      </c>
      <c r="C154" s="56" t="str">
        <f>IF('Ratings worksheet'!C154="NA",VLOOKUP('Ratings worksheet'!B154,'Sovereign Ratings (Moody''s,S&amp;P)'!$F$9:$G$33,2,FALSE),'Ratings worksheet'!C154)</f>
        <v>Baa2</v>
      </c>
    </row>
    <row r="155" spans="1:3">
      <c r="A155" s="46" t="str">
        <f>'Ratings worksheet'!A155</f>
        <v>Uzbekistan</v>
      </c>
      <c r="B155" s="56" t="str">
        <f>'Ratings worksheet'!B155</f>
        <v>BB-</v>
      </c>
      <c r="C155" s="56" t="str">
        <f>IF('Ratings worksheet'!C155="NA",VLOOKUP('Ratings worksheet'!B155,'Sovereign Ratings (Moody''s,S&amp;P)'!$F$9:$G$33,2,FALSE),'Ratings worksheet'!C155)</f>
        <v>B1</v>
      </c>
    </row>
    <row r="156" spans="1:3">
      <c r="A156" s="46" t="str">
        <f>'Ratings worksheet'!A156</f>
        <v>Venezuela</v>
      </c>
      <c r="B156" s="56" t="str">
        <f>'Ratings worksheet'!B156</f>
        <v>NA</v>
      </c>
      <c r="C156" s="56" t="str">
        <f>IF('Ratings worksheet'!C156="NA",VLOOKUP('Ratings worksheet'!B156,'Sovereign Ratings (Moody''s,S&amp;P)'!$F$9:$G$33,2,FALSE),'Ratings worksheet'!C156)</f>
        <v>C</v>
      </c>
    </row>
    <row r="157" spans="1:3">
      <c r="A157" s="46" t="str">
        <f>'Ratings worksheet'!A157</f>
        <v>Vietnam</v>
      </c>
      <c r="B157" s="56" t="str">
        <f>'Ratings worksheet'!B157</f>
        <v>BB+</v>
      </c>
      <c r="C157" s="56" t="str">
        <f>IF('Ratings worksheet'!C157="NA",VLOOKUP('Ratings worksheet'!B157,'Sovereign Ratings (Moody''s,S&amp;P)'!$F$9:$G$33,2,FALSE),'Ratings worksheet'!C157)</f>
        <v>Ba2</v>
      </c>
    </row>
    <row r="158" spans="1:3">
      <c r="A158" s="46" t="str">
        <f>'Ratings worksheet'!A158</f>
        <v>Zambia</v>
      </c>
      <c r="B158" s="56" t="str">
        <f>'Ratings worksheet'!B158</f>
        <v>NA</v>
      </c>
      <c r="C158" s="56" t="str">
        <f>IF('Ratings worksheet'!C158="NA",VLOOKUP('Ratings worksheet'!B158,'Sovereign Ratings (Moody''s,S&amp;P)'!$F$9:$G$33,2,FALSE),'Ratings worksheet'!C158)</f>
        <v>Ca</v>
      </c>
    </row>
  </sheetData>
  <mergeCells count="4">
    <mergeCell ref="F2:O2"/>
    <mergeCell ref="F3:O3"/>
    <mergeCell ref="F4:O4"/>
    <mergeCell ref="F5:O5"/>
  </mergeCells>
  <phoneticPr fontId="12"/>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81" workbookViewId="0">
      <selection activeCell="B96" sqref="B96"/>
    </sheetView>
  </sheetViews>
  <sheetFormatPr baseColWidth="10" defaultRowHeight="13"/>
  <cols>
    <col min="1" max="1" width="32.5" customWidth="1"/>
    <col min="2" max="2" width="23" bestFit="1" customWidth="1"/>
    <col min="5" max="5" width="23.33203125" bestFit="1" customWidth="1"/>
  </cols>
  <sheetData>
    <row r="1" spans="1:2" ht="16">
      <c r="A1" s="7" t="s">
        <v>75</v>
      </c>
      <c r="B1" s="7" t="s">
        <v>52</v>
      </c>
    </row>
    <row r="2" spans="1:2" ht="16">
      <c r="A2" s="45" t="s">
        <v>272</v>
      </c>
      <c r="B2" s="8" t="s">
        <v>127</v>
      </c>
    </row>
    <row r="3" spans="1:2" ht="16">
      <c r="A3" s="8" t="s">
        <v>4</v>
      </c>
      <c r="B3" s="15" t="s">
        <v>125</v>
      </c>
    </row>
    <row r="4" spans="1:2" ht="16">
      <c r="A4" s="33" t="s">
        <v>197</v>
      </c>
      <c r="B4" s="15" t="s">
        <v>126</v>
      </c>
    </row>
    <row r="5" spans="1:2" ht="16">
      <c r="A5" s="8" t="s">
        <v>131</v>
      </c>
      <c r="B5" s="15" t="s">
        <v>128</v>
      </c>
    </row>
    <row r="6" spans="1:2" ht="16">
      <c r="A6" s="8" t="s">
        <v>84</v>
      </c>
      <c r="B6" s="15" t="s">
        <v>51</v>
      </c>
    </row>
    <row r="7" spans="1:2" ht="16">
      <c r="A7" s="8" t="s">
        <v>19</v>
      </c>
      <c r="B7" s="15" t="s">
        <v>125</v>
      </c>
    </row>
    <row r="8" spans="1:2" ht="16">
      <c r="A8" s="33" t="s">
        <v>201</v>
      </c>
      <c r="B8" s="8" t="s">
        <v>54</v>
      </c>
    </row>
    <row r="9" spans="1:2" ht="16">
      <c r="A9" s="8" t="s">
        <v>85</v>
      </c>
      <c r="B9" s="15" t="s">
        <v>53</v>
      </c>
    </row>
    <row r="10" spans="1:2" ht="16">
      <c r="A10" s="8" t="s">
        <v>176</v>
      </c>
      <c r="B10" s="8" t="s">
        <v>126</v>
      </c>
    </row>
    <row r="11" spans="1:2" ht="16">
      <c r="A11" s="8" t="s">
        <v>20</v>
      </c>
      <c r="B11" s="8" t="s">
        <v>125</v>
      </c>
    </row>
    <row r="12" spans="1:2" ht="16">
      <c r="A12" s="8" t="s">
        <v>86</v>
      </c>
      <c r="B12" s="15" t="s">
        <v>54</v>
      </c>
    </row>
    <row r="13" spans="1:2" ht="16">
      <c r="A13" s="8" t="s">
        <v>87</v>
      </c>
      <c r="B13" s="8" t="s">
        <v>127</v>
      </c>
    </row>
    <row r="14" spans="1:2" ht="16">
      <c r="A14" s="8" t="s">
        <v>132</v>
      </c>
      <c r="B14" s="8" t="s">
        <v>129</v>
      </c>
    </row>
    <row r="15" spans="1:2" ht="16">
      <c r="A15" s="8" t="s">
        <v>88</v>
      </c>
      <c r="B15" s="8" t="s">
        <v>54</v>
      </c>
    </row>
    <row r="16" spans="1:2" ht="16">
      <c r="A16" s="8" t="s">
        <v>5</v>
      </c>
      <c r="B16" s="8" t="s">
        <v>125</v>
      </c>
    </row>
    <row r="17" spans="1:2" ht="16">
      <c r="A17" s="8" t="s">
        <v>177</v>
      </c>
      <c r="B17" s="8" t="s">
        <v>126</v>
      </c>
    </row>
    <row r="18" spans="1:2" ht="16">
      <c r="A18" s="8" t="s">
        <v>89</v>
      </c>
      <c r="B18" s="8" t="s">
        <v>51</v>
      </c>
    </row>
    <row r="19" spans="1:2" ht="16">
      <c r="A19" s="8" t="s">
        <v>208</v>
      </c>
      <c r="B19" s="8" t="s">
        <v>128</v>
      </c>
    </row>
    <row r="20" spans="1:2" ht="16">
      <c r="A20" s="8" t="s">
        <v>90</v>
      </c>
      <c r="B20" s="8" t="s">
        <v>54</v>
      </c>
    </row>
    <row r="21" spans="1:2" ht="16">
      <c r="A21" s="8" t="s">
        <v>91</v>
      </c>
      <c r="B21" s="8" t="s">
        <v>51</v>
      </c>
    </row>
    <row r="22" spans="1:2" ht="16">
      <c r="A22" s="8" t="s">
        <v>7</v>
      </c>
      <c r="B22" s="8" t="s">
        <v>125</v>
      </c>
    </row>
    <row r="23" spans="1:2" ht="16">
      <c r="A23" s="8" t="s">
        <v>123</v>
      </c>
      <c r="B23" s="8" t="s">
        <v>128</v>
      </c>
    </row>
    <row r="24" spans="1:2" ht="16">
      <c r="A24" s="8" t="s">
        <v>92</v>
      </c>
      <c r="B24" s="8" t="s">
        <v>51</v>
      </c>
    </row>
    <row r="25" spans="1:2" ht="16">
      <c r="A25" s="8" t="s">
        <v>94</v>
      </c>
      <c r="B25" s="8" t="s">
        <v>125</v>
      </c>
    </row>
    <row r="26" spans="1:2" ht="16">
      <c r="A26" s="33" t="s">
        <v>211</v>
      </c>
      <c r="B26" s="8" t="s">
        <v>128</v>
      </c>
    </row>
    <row r="27" spans="1:2" ht="16">
      <c r="A27" s="8" t="s">
        <v>6</v>
      </c>
      <c r="B27" s="8" t="s">
        <v>129</v>
      </c>
    </row>
    <row r="28" spans="1:2" ht="16">
      <c r="A28" s="34" t="s">
        <v>212</v>
      </c>
      <c r="B28" s="8" t="s">
        <v>128</v>
      </c>
    </row>
    <row r="29" spans="1:2" ht="16">
      <c r="A29" s="8" t="s">
        <v>95</v>
      </c>
      <c r="B29" s="8" t="s">
        <v>130</v>
      </c>
    </row>
    <row r="30" spans="1:2" ht="16">
      <c r="A30" s="8" t="s">
        <v>213</v>
      </c>
      <c r="B30" s="8" t="s">
        <v>128</v>
      </c>
    </row>
    <row r="31" spans="1:2" ht="16">
      <c r="A31" s="8" t="s">
        <v>55</v>
      </c>
      <c r="B31" s="8" t="s">
        <v>54</v>
      </c>
    </row>
    <row r="32" spans="1:2" ht="16">
      <c r="A32" s="8" t="s">
        <v>96</v>
      </c>
      <c r="B32" s="8" t="s">
        <v>51</v>
      </c>
    </row>
    <row r="33" spans="1:2" ht="16">
      <c r="A33" s="8" t="s">
        <v>97</v>
      </c>
      <c r="B33" s="8" t="s">
        <v>129</v>
      </c>
    </row>
    <row r="34" spans="1:2" ht="16">
      <c r="A34" s="8" t="s">
        <v>50</v>
      </c>
      <c r="B34" s="8" t="s">
        <v>51</v>
      </c>
    </row>
    <row r="35" spans="1:2" ht="16">
      <c r="A35" s="45" t="s">
        <v>287</v>
      </c>
      <c r="B35" s="8" t="s">
        <v>128</v>
      </c>
    </row>
    <row r="36" spans="1:2" ht="16">
      <c r="A36" s="45" t="s">
        <v>288</v>
      </c>
      <c r="B36" s="8" t="s">
        <v>128</v>
      </c>
    </row>
    <row r="37" spans="1:2" ht="16">
      <c r="A37" s="34" t="s">
        <v>214</v>
      </c>
      <c r="B37" s="8" t="s">
        <v>53</v>
      </c>
    </row>
    <row r="38" spans="1:2" ht="16">
      <c r="A38" s="8" t="s">
        <v>56</v>
      </c>
      <c r="B38" s="8" t="s">
        <v>51</v>
      </c>
    </row>
    <row r="39" spans="1:2" ht="16">
      <c r="A39" s="45" t="s">
        <v>283</v>
      </c>
      <c r="B39" s="8" t="s">
        <v>128</v>
      </c>
    </row>
    <row r="40" spans="1:2" ht="16">
      <c r="A40" s="8" t="s">
        <v>98</v>
      </c>
      <c r="B40" s="8" t="s">
        <v>125</v>
      </c>
    </row>
    <row r="41" spans="1:2" ht="16">
      <c r="A41" s="8" t="s">
        <v>99</v>
      </c>
      <c r="B41" s="8" t="s">
        <v>54</v>
      </c>
    </row>
    <row r="42" spans="1:2" ht="16">
      <c r="A42" s="33" t="s">
        <v>217</v>
      </c>
      <c r="B42" s="8" t="s">
        <v>54</v>
      </c>
    </row>
    <row r="43" spans="1:2" ht="16">
      <c r="A43" s="8" t="s">
        <v>178</v>
      </c>
      <c r="B43" s="8" t="s">
        <v>126</v>
      </c>
    </row>
    <row r="44" spans="1:2" ht="16">
      <c r="A44" s="8" t="s">
        <v>101</v>
      </c>
      <c r="B44" s="8" t="s">
        <v>125</v>
      </c>
    </row>
    <row r="45" spans="1:2" ht="16">
      <c r="A45" s="38" t="s">
        <v>275</v>
      </c>
      <c r="B45" s="8" t="s">
        <v>128</v>
      </c>
    </row>
    <row r="46" spans="1:2" ht="16">
      <c r="A46" s="8" t="s">
        <v>102</v>
      </c>
      <c r="B46" s="8" t="s">
        <v>126</v>
      </c>
    </row>
    <row r="47" spans="1:2" ht="16">
      <c r="A47" s="8" t="s">
        <v>103</v>
      </c>
      <c r="B47" s="8" t="s">
        <v>54</v>
      </c>
    </row>
    <row r="48" spans="1:2" ht="16">
      <c r="A48" s="8" t="s">
        <v>104</v>
      </c>
      <c r="B48" s="8" t="s">
        <v>51</v>
      </c>
    </row>
    <row r="49" spans="1:2" ht="16">
      <c r="A49" s="8" t="s">
        <v>105</v>
      </c>
      <c r="B49" s="8" t="s">
        <v>128</v>
      </c>
    </row>
    <row r="50" spans="1:2" ht="16">
      <c r="A50" s="8" t="s">
        <v>31</v>
      </c>
      <c r="B50" s="8" t="s">
        <v>51</v>
      </c>
    </row>
    <row r="51" spans="1:2" ht="16">
      <c r="A51" s="8" t="s">
        <v>106</v>
      </c>
      <c r="B51" s="8" t="s">
        <v>125</v>
      </c>
    </row>
    <row r="52" spans="1:2" ht="16">
      <c r="A52" s="45" t="s">
        <v>284</v>
      </c>
      <c r="B52" s="8" t="s">
        <v>128</v>
      </c>
    </row>
    <row r="53" spans="1:2" ht="16">
      <c r="A53" s="8" t="s">
        <v>219</v>
      </c>
      <c r="B53" s="8" t="s">
        <v>129</v>
      </c>
    </row>
    <row r="54" spans="1:2" ht="16">
      <c r="A54" s="8" t="s">
        <v>179</v>
      </c>
      <c r="B54" s="8" t="s">
        <v>126</v>
      </c>
    </row>
    <row r="55" spans="1:2" ht="16">
      <c r="A55" s="8" t="s">
        <v>180</v>
      </c>
      <c r="B55" s="8" t="s">
        <v>126</v>
      </c>
    </row>
    <row r="56" spans="1:2" ht="16">
      <c r="A56" s="33" t="s">
        <v>220</v>
      </c>
      <c r="B56" s="8" t="s">
        <v>128</v>
      </c>
    </row>
    <row r="57" spans="1:2" ht="16">
      <c r="A57" s="8" t="s">
        <v>133</v>
      </c>
      <c r="B57" s="8" t="s">
        <v>125</v>
      </c>
    </row>
    <row r="58" spans="1:2" ht="16">
      <c r="A58" s="8" t="s">
        <v>181</v>
      </c>
      <c r="B58" s="8" t="s">
        <v>126</v>
      </c>
    </row>
    <row r="59" spans="1:2" ht="16">
      <c r="A59" s="8" t="s">
        <v>221</v>
      </c>
      <c r="B59" s="8" t="s">
        <v>128</v>
      </c>
    </row>
    <row r="60" spans="1:2" ht="16">
      <c r="A60" s="8" t="s">
        <v>182</v>
      </c>
      <c r="B60" s="8" t="s">
        <v>126</v>
      </c>
    </row>
    <row r="61" spans="1:2" ht="16">
      <c r="A61" s="8" t="s">
        <v>107</v>
      </c>
      <c r="B61" s="8" t="s">
        <v>51</v>
      </c>
    </row>
    <row r="62" spans="1:2" ht="16">
      <c r="A62" s="45" t="s">
        <v>289</v>
      </c>
      <c r="B62" s="8" t="s">
        <v>126</v>
      </c>
    </row>
    <row r="63" spans="1:2" ht="16">
      <c r="A63" s="8" t="s">
        <v>108</v>
      </c>
      <c r="B63" s="8" t="s">
        <v>51</v>
      </c>
    </row>
    <row r="64" spans="1:2" ht="16">
      <c r="A64" s="8" t="s">
        <v>59</v>
      </c>
      <c r="B64" s="8" t="s">
        <v>129</v>
      </c>
    </row>
    <row r="65" spans="1:2" ht="16">
      <c r="A65" s="8" t="s">
        <v>109</v>
      </c>
      <c r="B65" s="8" t="s">
        <v>125</v>
      </c>
    </row>
    <row r="66" spans="1:2" ht="16">
      <c r="A66" s="8" t="s">
        <v>110</v>
      </c>
      <c r="B66" s="8" t="s">
        <v>126</v>
      </c>
    </row>
    <row r="67" spans="1:2" ht="16">
      <c r="A67" s="8" t="s">
        <v>111</v>
      </c>
      <c r="B67" s="8" t="s">
        <v>129</v>
      </c>
    </row>
    <row r="68" spans="1:2" ht="16">
      <c r="A68" s="8" t="s">
        <v>112</v>
      </c>
      <c r="B68" s="8" t="s">
        <v>129</v>
      </c>
    </row>
    <row r="69" spans="1:2" ht="16">
      <c r="A69" s="8" t="s">
        <v>331</v>
      </c>
      <c r="B69" s="8" t="s">
        <v>127</v>
      </c>
    </row>
    <row r="70" spans="1:2" ht="16">
      <c r="A70" s="8" t="s">
        <v>183</v>
      </c>
      <c r="B70" s="8" t="s">
        <v>126</v>
      </c>
    </row>
    <row r="71" spans="1:2" ht="16">
      <c r="A71" s="8" t="s">
        <v>113</v>
      </c>
      <c r="B71" s="8" t="s">
        <v>126</v>
      </c>
    </row>
    <row r="72" spans="1:2" ht="16">
      <c r="A72" s="8" t="s">
        <v>114</v>
      </c>
      <c r="B72" s="8" t="s">
        <v>127</v>
      </c>
    </row>
    <row r="73" spans="1:2" ht="16">
      <c r="A73" s="8" t="s">
        <v>145</v>
      </c>
      <c r="B73" s="8" t="s">
        <v>126</v>
      </c>
    </row>
    <row r="74" spans="1:2" ht="16">
      <c r="A74" s="8" t="s">
        <v>115</v>
      </c>
      <c r="B74" s="8" t="s">
        <v>54</v>
      </c>
    </row>
    <row r="75" spans="1:2" ht="16">
      <c r="A75" s="8" t="s">
        <v>116</v>
      </c>
      <c r="B75" s="8" t="s">
        <v>129</v>
      </c>
    </row>
    <row r="76" spans="1:2" ht="16">
      <c r="A76" s="45" t="s">
        <v>290</v>
      </c>
      <c r="B76" s="8" t="s">
        <v>126</v>
      </c>
    </row>
    <row r="77" spans="1:2" ht="16">
      <c r="A77" s="8" t="s">
        <v>117</v>
      </c>
      <c r="B77" s="8" t="s">
        <v>127</v>
      </c>
    </row>
    <row r="78" spans="1:2" ht="16">
      <c r="A78" s="8" t="s">
        <v>118</v>
      </c>
      <c r="B78" s="8" t="s">
        <v>125</v>
      </c>
    </row>
    <row r="79" spans="1:2" ht="16">
      <c r="A79" s="8" t="s">
        <v>184</v>
      </c>
      <c r="B79" s="8" t="s">
        <v>128</v>
      </c>
    </row>
    <row r="80" spans="1:2" ht="16">
      <c r="A80" s="8" t="s">
        <v>119</v>
      </c>
      <c r="B80" s="8" t="s">
        <v>129</v>
      </c>
    </row>
    <row r="81" spans="1:2" ht="16">
      <c r="A81" s="8" t="s">
        <v>120</v>
      </c>
      <c r="B81" s="8" t="s">
        <v>127</v>
      </c>
    </row>
    <row r="82" spans="1:2" ht="16">
      <c r="A82" t="s">
        <v>353</v>
      </c>
      <c r="B82" s="8" t="s">
        <v>125</v>
      </c>
    </row>
    <row r="83" spans="1:2" ht="16">
      <c r="A83" s="169" t="s">
        <v>343</v>
      </c>
      <c r="B83" s="8" t="s">
        <v>129</v>
      </c>
    </row>
    <row r="84" spans="1:2" ht="16">
      <c r="A84" s="8" t="s">
        <v>121</v>
      </c>
      <c r="B84" s="8" t="s">
        <v>125</v>
      </c>
    </row>
    <row r="85" spans="1:2" ht="16">
      <c r="A85" s="8" t="s">
        <v>122</v>
      </c>
      <c r="B85" s="8" t="s">
        <v>127</v>
      </c>
    </row>
    <row r="86" spans="1:2" ht="16">
      <c r="A86" s="34" t="s">
        <v>223</v>
      </c>
      <c r="B86" s="8" t="s">
        <v>126</v>
      </c>
    </row>
    <row r="87" spans="1:2" ht="16">
      <c r="A87" s="8" t="s">
        <v>13</v>
      </c>
      <c r="B87" s="8" t="s">
        <v>125</v>
      </c>
    </row>
    <row r="88" spans="1:2" ht="16">
      <c r="A88" s="8" t="s">
        <v>185</v>
      </c>
      <c r="B88" s="8" t="s">
        <v>126</v>
      </c>
    </row>
    <row r="89" spans="1:2" ht="16">
      <c r="A89" s="8" t="s">
        <v>32</v>
      </c>
      <c r="B89" s="8" t="s">
        <v>129</v>
      </c>
    </row>
    <row r="90" spans="1:2" ht="16">
      <c r="A90" s="34" t="s">
        <v>146</v>
      </c>
      <c r="B90" s="8" t="s">
        <v>125</v>
      </c>
    </row>
    <row r="91" spans="1:2" ht="16">
      <c r="A91" s="8" t="s">
        <v>14</v>
      </c>
      <c r="B91" s="8" t="s">
        <v>129</v>
      </c>
    </row>
    <row r="92" spans="1:2" ht="16">
      <c r="A92" s="8" t="s">
        <v>399</v>
      </c>
      <c r="B92" s="8" t="s">
        <v>129</v>
      </c>
    </row>
    <row r="93" spans="1:2" ht="16">
      <c r="A93" s="8" t="s">
        <v>325</v>
      </c>
      <c r="B93" s="8" t="s">
        <v>128</v>
      </c>
    </row>
    <row r="94" spans="1:2" ht="16">
      <c r="A94" s="8" t="s">
        <v>186</v>
      </c>
      <c r="B94" s="8" t="s">
        <v>126</v>
      </c>
    </row>
    <row r="95" spans="1:2" ht="16">
      <c r="A95" s="8" t="s">
        <v>15</v>
      </c>
      <c r="B95" s="8" t="s">
        <v>128</v>
      </c>
    </row>
    <row r="96" spans="1:2" ht="16">
      <c r="A96" s="8" t="s">
        <v>16</v>
      </c>
      <c r="B96" s="8" t="s">
        <v>51</v>
      </c>
    </row>
    <row r="97" spans="1:2" ht="16">
      <c r="A97" s="8" t="s">
        <v>17</v>
      </c>
      <c r="B97" s="8" t="s">
        <v>125</v>
      </c>
    </row>
    <row r="98" spans="1:2" ht="16">
      <c r="A98" s="8" t="s">
        <v>63</v>
      </c>
      <c r="B98" s="8" t="s">
        <v>129</v>
      </c>
    </row>
    <row r="99" spans="1:2" ht="16">
      <c r="A99" s="8" t="s">
        <v>8</v>
      </c>
      <c r="B99" s="8" t="s">
        <v>125</v>
      </c>
    </row>
    <row r="100" spans="1:2" ht="16">
      <c r="A100" s="33" t="s">
        <v>225</v>
      </c>
      <c r="B100" s="8" t="s">
        <v>54</v>
      </c>
    </row>
    <row r="101" spans="1:2" ht="16">
      <c r="A101" s="8" t="s">
        <v>18</v>
      </c>
      <c r="B101" s="8" t="s">
        <v>128</v>
      </c>
    </row>
    <row r="102" spans="1:2" ht="16">
      <c r="A102" s="34" t="s">
        <v>226</v>
      </c>
      <c r="B102" s="8" t="s">
        <v>128</v>
      </c>
    </row>
    <row r="103" spans="1:2" ht="16">
      <c r="A103" s="8" t="s">
        <v>136</v>
      </c>
      <c r="B103" s="8" t="s">
        <v>128</v>
      </c>
    </row>
    <row r="104" spans="1:2" ht="16">
      <c r="A104" s="8" t="s">
        <v>187</v>
      </c>
      <c r="B104" s="8" t="s">
        <v>126</v>
      </c>
    </row>
    <row r="105" spans="1:2" ht="16">
      <c r="A105" s="8" t="s">
        <v>21</v>
      </c>
      <c r="B105" s="8" t="s">
        <v>53</v>
      </c>
    </row>
    <row r="106" spans="1:2" ht="16">
      <c r="A106" s="8" t="s">
        <v>22</v>
      </c>
      <c r="B106" s="8" t="s">
        <v>51</v>
      </c>
    </row>
    <row r="107" spans="1:2" ht="16">
      <c r="A107" s="8" t="s">
        <v>321</v>
      </c>
      <c r="B107" s="8" t="s">
        <v>128</v>
      </c>
    </row>
    <row r="108" spans="1:2" ht="16">
      <c r="A108" s="8" t="s">
        <v>188</v>
      </c>
      <c r="B108" s="8" t="s">
        <v>128</v>
      </c>
    </row>
    <row r="109" spans="1:2" ht="16">
      <c r="A109" s="8" t="s">
        <v>23</v>
      </c>
      <c r="B109" s="8" t="s">
        <v>126</v>
      </c>
    </row>
    <row r="110" spans="1:2" ht="16">
      <c r="A110" s="8" t="s">
        <v>24</v>
      </c>
      <c r="B110" s="8" t="s">
        <v>127</v>
      </c>
    </row>
    <row r="111" spans="1:2" ht="16">
      <c r="A111" s="8" t="s">
        <v>25</v>
      </c>
      <c r="B111" s="8" t="s">
        <v>129</v>
      </c>
    </row>
    <row r="112" spans="1:2" ht="16">
      <c r="A112" s="8" t="s">
        <v>26</v>
      </c>
      <c r="B112" s="8" t="s">
        <v>51</v>
      </c>
    </row>
    <row r="113" spans="1:2" ht="16">
      <c r="A113" s="8" t="s">
        <v>9</v>
      </c>
      <c r="B113" s="8" t="s">
        <v>129</v>
      </c>
    </row>
    <row r="114" spans="1:2" ht="16">
      <c r="A114" s="8" t="s">
        <v>27</v>
      </c>
      <c r="B114" s="8" t="s">
        <v>51</v>
      </c>
    </row>
    <row r="115" spans="1:2" ht="16">
      <c r="A115" s="8" t="s">
        <v>28</v>
      </c>
      <c r="B115" s="8" t="s">
        <v>51</v>
      </c>
    </row>
    <row r="116" spans="1:2" ht="16">
      <c r="A116" s="8" t="s">
        <v>29</v>
      </c>
      <c r="B116" s="8" t="s">
        <v>129</v>
      </c>
    </row>
    <row r="117" spans="1:2" ht="16">
      <c r="A117" s="8" t="s">
        <v>30</v>
      </c>
      <c r="B117" s="8" t="s">
        <v>125</v>
      </c>
    </row>
    <row r="118" spans="1:2" ht="16">
      <c r="A118" s="8" t="s">
        <v>189</v>
      </c>
      <c r="B118" s="8" t="s">
        <v>126</v>
      </c>
    </row>
    <row r="119" spans="1:2" ht="16">
      <c r="A119" s="8" t="s">
        <v>74</v>
      </c>
      <c r="B119" s="8" t="s">
        <v>127</v>
      </c>
    </row>
    <row r="120" spans="1:2" ht="16">
      <c r="A120" s="38" t="s">
        <v>273</v>
      </c>
      <c r="B120" s="8" t="s">
        <v>127</v>
      </c>
    </row>
    <row r="121" spans="1:2" ht="16">
      <c r="A121" s="38" t="s">
        <v>274</v>
      </c>
      <c r="B121" s="8" t="s">
        <v>128</v>
      </c>
    </row>
    <row r="122" spans="1:2" ht="16">
      <c r="A122" s="8" t="s">
        <v>0</v>
      </c>
      <c r="B122" s="8" t="s">
        <v>125</v>
      </c>
    </row>
    <row r="123" spans="1:2" ht="16">
      <c r="A123" s="8" t="s">
        <v>1</v>
      </c>
      <c r="B123" s="8" t="s">
        <v>125</v>
      </c>
    </row>
    <row r="124" spans="1:2" ht="16">
      <c r="A124" s="34" t="s">
        <v>227</v>
      </c>
      <c r="B124" s="8" t="s">
        <v>128</v>
      </c>
    </row>
    <row r="125" spans="1:2" ht="16">
      <c r="A125" s="8" t="s">
        <v>2</v>
      </c>
      <c r="B125" s="8" t="s">
        <v>127</v>
      </c>
    </row>
    <row r="126" spans="1:2" ht="16">
      <c r="A126" s="8" t="s">
        <v>135</v>
      </c>
      <c r="B126" s="8" t="s">
        <v>128</v>
      </c>
    </row>
    <row r="127" spans="1:2" ht="16">
      <c r="A127" s="34" t="s">
        <v>147</v>
      </c>
      <c r="B127" s="8" t="s">
        <v>125</v>
      </c>
    </row>
    <row r="128" spans="1:2" ht="16">
      <c r="A128" s="45" t="s">
        <v>285</v>
      </c>
      <c r="B128" s="8" t="s">
        <v>127</v>
      </c>
    </row>
    <row r="129" spans="1:2" ht="16">
      <c r="A129" s="8" t="s">
        <v>3</v>
      </c>
      <c r="B129" s="8" t="s">
        <v>129</v>
      </c>
    </row>
    <row r="130" spans="1:2" ht="16">
      <c r="A130" s="8" t="s">
        <v>61</v>
      </c>
      <c r="B130" s="8" t="s">
        <v>125</v>
      </c>
    </row>
    <row r="131" spans="1:2" ht="16">
      <c r="A131" s="8" t="s">
        <v>190</v>
      </c>
      <c r="B131" s="8" t="s">
        <v>125</v>
      </c>
    </row>
    <row r="132" spans="1:2" ht="16">
      <c r="A132" s="8" t="s">
        <v>411</v>
      </c>
      <c r="B132" s="8" t="s">
        <v>129</v>
      </c>
    </row>
    <row r="133" spans="1:2" ht="16">
      <c r="A133" s="8" t="s">
        <v>76</v>
      </c>
      <c r="B133" s="8" t="s">
        <v>128</v>
      </c>
    </row>
    <row r="134" spans="1:2" ht="16">
      <c r="A134" s="8" t="s">
        <v>138</v>
      </c>
      <c r="B134" s="8" t="s">
        <v>126</v>
      </c>
    </row>
    <row r="135" spans="1:2" ht="16">
      <c r="A135" s="8" t="s">
        <v>134</v>
      </c>
      <c r="B135" s="8" t="s">
        <v>129</v>
      </c>
    </row>
    <row r="136" spans="1:2" ht="16">
      <c r="A136" s="36" t="s">
        <v>191</v>
      </c>
      <c r="B136" s="8" t="s">
        <v>54</v>
      </c>
    </row>
    <row r="137" spans="1:2" ht="16">
      <c r="A137" s="8" t="s">
        <v>10</v>
      </c>
      <c r="B137" s="8" t="s">
        <v>54</v>
      </c>
    </row>
    <row r="138" spans="1:2" ht="16">
      <c r="A138" s="8" t="s">
        <v>33</v>
      </c>
      <c r="B138" s="8" t="s">
        <v>51</v>
      </c>
    </row>
    <row r="139" spans="1:2" ht="16">
      <c r="A139" s="8" t="s">
        <v>398</v>
      </c>
      <c r="B139" s="8" t="s">
        <v>128</v>
      </c>
    </row>
    <row r="140" spans="1:2" ht="16">
      <c r="A140" s="8" t="s">
        <v>34</v>
      </c>
      <c r="B140" s="8" t="s">
        <v>126</v>
      </c>
    </row>
    <row r="141" spans="1:2" ht="16">
      <c r="A141" s="8" t="s">
        <v>35</v>
      </c>
      <c r="B141" s="8" t="s">
        <v>126</v>
      </c>
    </row>
    <row r="142" spans="1:2" ht="16">
      <c r="A142" s="8" t="s">
        <v>64</v>
      </c>
      <c r="B142" s="8" t="s">
        <v>129</v>
      </c>
    </row>
    <row r="143" spans="1:2" ht="16">
      <c r="A143" s="8" t="s">
        <v>395</v>
      </c>
      <c r="B143" s="8" t="s">
        <v>125</v>
      </c>
    </row>
    <row r="144" spans="1:2" ht="16">
      <c r="A144" s="8" t="s">
        <v>332</v>
      </c>
      <c r="B144" s="8" t="s">
        <v>128</v>
      </c>
    </row>
    <row r="145" spans="1:2" ht="16">
      <c r="A145" s="8" t="s">
        <v>65</v>
      </c>
      <c r="B145" s="8" t="s">
        <v>129</v>
      </c>
    </row>
    <row r="146" spans="1:2" ht="16">
      <c r="A146" s="8" t="s">
        <v>324</v>
      </c>
      <c r="B146" s="8" t="s">
        <v>128</v>
      </c>
    </row>
    <row r="147" spans="1:2" ht="16">
      <c r="A147" s="8" t="s">
        <v>11</v>
      </c>
      <c r="B147" s="8" t="s">
        <v>54</v>
      </c>
    </row>
    <row r="148" spans="1:2" ht="16">
      <c r="A148" s="8" t="s">
        <v>77</v>
      </c>
      <c r="B148" s="8" t="s">
        <v>128</v>
      </c>
    </row>
    <row r="149" spans="1:2" ht="16">
      <c r="A149" s="8" t="s">
        <v>66</v>
      </c>
      <c r="B149" s="8" t="s">
        <v>126</v>
      </c>
    </row>
    <row r="150" spans="1:2" ht="16">
      <c r="A150" s="8" t="s">
        <v>67</v>
      </c>
      <c r="B150" s="8" t="s">
        <v>125</v>
      </c>
    </row>
    <row r="151" spans="1:2" ht="16">
      <c r="A151" s="8" t="s">
        <v>298</v>
      </c>
      <c r="B151" s="8" t="s">
        <v>54</v>
      </c>
    </row>
    <row r="152" spans="1:2" ht="16">
      <c r="A152" s="8" t="s">
        <v>228</v>
      </c>
      <c r="B152" s="8" t="s">
        <v>128</v>
      </c>
    </row>
    <row r="153" spans="1:2" ht="16">
      <c r="A153" s="8" t="s">
        <v>68</v>
      </c>
      <c r="B153" s="8" t="s">
        <v>125</v>
      </c>
    </row>
    <row r="154" spans="1:2" ht="16">
      <c r="A154" s="8" t="s">
        <v>60</v>
      </c>
      <c r="B154" s="8" t="s">
        <v>127</v>
      </c>
    </row>
    <row r="155" spans="1:2" ht="16">
      <c r="A155" s="8" t="s">
        <v>57</v>
      </c>
      <c r="B155" s="8" t="s">
        <v>126</v>
      </c>
    </row>
    <row r="156" spans="1:2" ht="16">
      <c r="A156" s="8" t="s">
        <v>356</v>
      </c>
      <c r="B156" s="8" t="s">
        <v>130</v>
      </c>
    </row>
    <row r="157" spans="1:2" ht="16">
      <c r="A157" s="8" t="s">
        <v>69</v>
      </c>
      <c r="B157" s="8" t="s">
        <v>51</v>
      </c>
    </row>
    <row r="158" spans="1:2" ht="16">
      <c r="A158" s="8" t="s">
        <v>387</v>
      </c>
      <c r="B158" s="8" t="s">
        <v>125</v>
      </c>
    </row>
    <row r="159" spans="1:2" ht="16">
      <c r="A159" s="8" t="s">
        <v>70</v>
      </c>
      <c r="B159" s="8" t="s">
        <v>51</v>
      </c>
    </row>
    <row r="160" spans="1:2" ht="16">
      <c r="A160" s="8" t="s">
        <v>71</v>
      </c>
      <c r="B160" s="8" t="s">
        <v>129</v>
      </c>
    </row>
    <row r="161" spans="1:2" ht="16">
      <c r="A161" s="8" t="s">
        <v>192</v>
      </c>
      <c r="B161" s="8" t="s">
        <v>128</v>
      </c>
    </row>
  </sheetData>
  <sortState xmlns:xlrd2="http://schemas.microsoft.com/office/spreadsheetml/2017/richdata2" ref="A2:B161">
    <sortCondition ref="A2:A161"/>
  </sortState>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Explanation and FAQ</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vt:lpstr>
      <vt:lpstr>Country GDP</vt:lpstr>
      <vt:lpstr>Ratings worksheet</vt:lpstr>
      <vt:lpstr>Country Tax Rates</vt:lpstr>
      <vt:lpstr>PRS Worksheet</vt:lpstr>
      <vt:lpstr>Data Update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dcterms:created xsi:type="dcterms:W3CDTF">1999-02-15T17:37:17Z</dcterms:created>
  <dcterms:modified xsi:type="dcterms:W3CDTF">2023-01-06T16:58:12Z</dcterms:modified>
</cp:coreProperties>
</file>