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Jaider\Desktop\Documentacion DOO\Oraganizar muestreo de datos\"/>
    </mc:Choice>
  </mc:AlternateContent>
  <xr:revisionPtr revIDLastSave="0" documentId="13_ncr:1_{6F9B666B-4EAB-4608-86FD-3F8BA2542468}" xr6:coauthVersionLast="47" xr6:coauthVersionMax="47" xr10:uidLastSave="{00000000-0000-0000-0000-000000000000}"/>
  <bookViews>
    <workbookView xWindow="-109" yWindow="-109" windowWidth="26301" windowHeight="14169" tabRatio="963" xr2:uid="{00000000-000D-0000-FFFF-FFFF00000000}"/>
  </bookViews>
  <sheets>
    <sheet name="Modelo de dominio" sheetId="1" r:id="rId1"/>
    <sheet name="Objetos de dominio" sheetId="2" r:id="rId2"/>
    <sheet name="Reglas de negocio" sheetId="3" r:id="rId3"/>
    <sheet name="M-Proveedor" sheetId="54" r:id="rId4"/>
    <sheet name="C-Proveedor" sheetId="55" r:id="rId5"/>
    <sheet name="E-Proveedor" sheetId="56" r:id="rId6"/>
    <sheet name="P-Proveedor" sheetId="57" r:id="rId7"/>
    <sheet name="M-UnidadMedida" sheetId="72" r:id="rId8"/>
    <sheet name="C-UnidadMedida" sheetId="73" r:id="rId9"/>
    <sheet name="E-UnidadMedida" sheetId="74" r:id="rId10"/>
    <sheet name="P-UnidadMedida" sheetId="75" r:id="rId11"/>
    <sheet name="M-TipoProducto" sheetId="68" r:id="rId12"/>
    <sheet name="C-TipoProducto" sheetId="69" r:id="rId13"/>
    <sheet name="E-TipoProducto" sheetId="70" r:id="rId14"/>
    <sheet name="P-TipoProducto" sheetId="71" r:id="rId15"/>
    <sheet name="M-ClaseMovimiento" sheetId="63" r:id="rId16"/>
    <sheet name="C-ClaseMovimiento" sheetId="64" r:id="rId17"/>
    <sheet name="E-ClaseMovimiento" sheetId="65" r:id="rId18"/>
    <sheet name="P-ClaseMovimiento" sheetId="66" r:id="rId19"/>
    <sheet name="M-Tamaño" sheetId="59" r:id="rId20"/>
    <sheet name="C-Tamaño" sheetId="60" r:id="rId21"/>
    <sheet name="E-Tamaño" sheetId="61" r:id="rId22"/>
    <sheet name="P-Tamaño" sheetId="62" r:id="rId23"/>
    <sheet name="M-CategoriaOrigen" sheetId="42" r:id="rId24"/>
    <sheet name="C-CategoriaOrigen" sheetId="43" r:id="rId25"/>
    <sheet name="E-CategoriaOrigen" sheetId="44" r:id="rId26"/>
    <sheet name="P-CategoriaOrigen" sheetId="45" r:id="rId27"/>
    <sheet name="M-Compra" sheetId="9" r:id="rId28"/>
    <sheet name="C-Compra" sheetId="10" r:id="rId29"/>
    <sheet name="E-Compra" sheetId="11" r:id="rId30"/>
    <sheet name="P-Compra" sheetId="12" r:id="rId31"/>
    <sheet name="M-ProductoInterno" sheetId="50" r:id="rId32"/>
    <sheet name="C-ProductoInterno" sheetId="51" r:id="rId33"/>
    <sheet name="E-ProductoInterno" sheetId="52" r:id="rId34"/>
    <sheet name="P-ProductoInterno" sheetId="53" r:id="rId35"/>
    <sheet name="M-DetalleCompra" sheetId="14" r:id="rId36"/>
    <sheet name="C-DetalleCompra" sheetId="15" r:id="rId37"/>
    <sheet name="E-DetalleCompra" sheetId="16" r:id="rId38"/>
    <sheet name="P-DetalleCompra" sheetId="17" r:id="rId39"/>
    <sheet name="M-Producto" sheetId="46" r:id="rId40"/>
    <sheet name="C-Producto" sheetId="47" r:id="rId41"/>
    <sheet name="E-Producto" sheetId="48" r:id="rId42"/>
    <sheet name="P-Producto" sheetId="49" r:id="rId43"/>
    <sheet name="M-Venta" sheetId="76" r:id="rId44"/>
    <sheet name="C-Venta" sheetId="77" r:id="rId45"/>
    <sheet name="E-Venta" sheetId="78" r:id="rId46"/>
    <sheet name="P-Venta" sheetId="79" r:id="rId47"/>
    <sheet name="M-MovimientoInventario" sheetId="38" r:id="rId48"/>
    <sheet name="C-MovimientoInventario" sheetId="39" r:id="rId49"/>
    <sheet name="E-MovimientoInventario" sheetId="40" r:id="rId50"/>
    <sheet name="P-MovimientoInventario" sheetId="41" r:id="rId51"/>
    <sheet name="M-HistoricoPrecio" sheetId="26" r:id="rId52"/>
    <sheet name="C-HistoricoPrecio" sheetId="27" r:id="rId53"/>
    <sheet name="E-HistoricoPrecio" sheetId="28" r:id="rId54"/>
    <sheet name="P-HistoricoPrecio" sheetId="29" r:id="rId55"/>
    <sheet name="M-DetalleVenta" sheetId="22" r:id="rId56"/>
    <sheet name="C-DetalleVenta" sheetId="23" r:id="rId57"/>
    <sheet name="E-DetalleVenta" sheetId="24" r:id="rId58"/>
    <sheet name="P-DetalleVenta" sheetId="25" r:id="rId59"/>
    <sheet name="M-DetalleReceta" sheetId="18" r:id="rId60"/>
    <sheet name="C-DetalleReceta" sheetId="19" r:id="rId61"/>
    <sheet name="E-DetalleReceta" sheetId="20" r:id="rId62"/>
    <sheet name="P-DetalleReceta" sheetId="21" r:id="rId63"/>
    <sheet name="M-Cambio" sheetId="4" r:id="rId64"/>
    <sheet name="C-Cambio" sheetId="5" r:id="rId65"/>
    <sheet name="E-Cambio" sheetId="7" r:id="rId66"/>
    <sheet name="P-Cambio" sheetId="8" r:id="rId67"/>
    <sheet name="M-Lote" sheetId="34" r:id="rId68"/>
    <sheet name="C-Lote" sheetId="35" r:id="rId69"/>
    <sheet name="E-Lote" sheetId="36" r:id="rId70"/>
    <sheet name="P-Lote" sheetId="37" r:id="rId71"/>
    <sheet name="M-Inventario" sheetId="30" r:id="rId72"/>
    <sheet name="C-Inventario" sheetId="31" r:id="rId73"/>
    <sheet name="E-Inventario" sheetId="32" r:id="rId74"/>
    <sheet name="P-Inventario" sheetId="33" r:id="rId75"/>
    <sheet name="M-TipoMovimiento" sheetId="67" r:id="rId76"/>
    <sheet name="C-TipoMovimiento" sheetId="84" r:id="rId77"/>
    <sheet name="E-TipoMovimiento" sheetId="85" r:id="rId78"/>
    <sheet name="P-TipoMovimiento" sheetId="86" r:id="rId79"/>
    <sheet name="M-ConsumoVenta" sheetId="13" r:id="rId80"/>
    <sheet name="C-ConsumoVenta" sheetId="87" r:id="rId81"/>
    <sheet name="E-ConsumoVenta" sheetId="88" r:id="rId82"/>
    <sheet name="P-ConsumoVenta" sheetId="89" r:id="rId83"/>
    <sheet name="M-SalidaLote" sheetId="58" r:id="rId84"/>
    <sheet name="C-SalidaLote" sheetId="90" r:id="rId85"/>
    <sheet name="E-SalidaLote" sheetId="91" r:id="rId86"/>
    <sheet name="P-SalidaLote" sheetId="92" r:id="rId87"/>
    <sheet name="M-Usuario" sheetId="80" r:id="rId88"/>
    <sheet name="C-Usuario" sheetId="81" r:id="rId89"/>
    <sheet name="E-Usuario" sheetId="82" r:id="rId90"/>
    <sheet name="P-Usuario" sheetId="83" r:id="rId91"/>
    <sheet name="Boceto" sheetId="6" r:id="rId9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26" l="1"/>
  <c r="W4" i="87"/>
  <c r="V4" i="87"/>
  <c r="P28" i="87"/>
  <c r="O28" i="87"/>
  <c r="C28" i="87"/>
  <c r="A28" i="87"/>
  <c r="P27" i="87"/>
  <c r="O27" i="87"/>
  <c r="P26" i="87"/>
  <c r="O26" i="87"/>
  <c r="P25" i="87"/>
  <c r="O25" i="87"/>
  <c r="P24" i="87"/>
  <c r="O24" i="87"/>
  <c r="P23" i="87"/>
  <c r="O23" i="87"/>
  <c r="C23" i="87"/>
  <c r="A23" i="87"/>
  <c r="G12" i="88"/>
  <c r="G11" i="88"/>
  <c r="G10" i="88"/>
  <c r="G9" i="88"/>
  <c r="G8" i="88"/>
  <c r="G7" i="88"/>
  <c r="D10" i="89"/>
  <c r="D5" i="89"/>
  <c r="W4" i="90"/>
  <c r="V4" i="90"/>
  <c r="P26" i="90"/>
  <c r="O26" i="90"/>
  <c r="C26" i="90"/>
  <c r="A26" i="90"/>
  <c r="P25" i="90"/>
  <c r="O25" i="90"/>
  <c r="P24" i="90"/>
  <c r="O24" i="90"/>
  <c r="P23" i="90"/>
  <c r="O23" i="90"/>
  <c r="P22" i="90"/>
  <c r="O22" i="90"/>
  <c r="P21" i="90"/>
  <c r="O21" i="90"/>
  <c r="C21" i="90"/>
  <c r="A21" i="90"/>
  <c r="G12" i="91"/>
  <c r="G11" i="91"/>
  <c r="G10" i="91"/>
  <c r="G9" i="91"/>
  <c r="G8" i="91"/>
  <c r="G7" i="91"/>
  <c r="D10" i="92"/>
  <c r="D6" i="92"/>
  <c r="W4" i="5"/>
  <c r="V4" i="5"/>
  <c r="P33" i="5"/>
  <c r="O33" i="5"/>
  <c r="C33" i="5"/>
  <c r="A33" i="5"/>
  <c r="P32" i="5"/>
  <c r="O32" i="5"/>
  <c r="P31" i="5"/>
  <c r="O31" i="5"/>
  <c r="P30" i="5"/>
  <c r="O30" i="5"/>
  <c r="P29" i="5"/>
  <c r="O29" i="5"/>
  <c r="P28" i="5"/>
  <c r="O28" i="5"/>
  <c r="P27" i="5"/>
  <c r="O27" i="5"/>
  <c r="P26" i="5"/>
  <c r="O26" i="5"/>
  <c r="P25" i="5"/>
  <c r="O25" i="5"/>
  <c r="P24" i="5"/>
  <c r="O24" i="5"/>
  <c r="P23" i="5"/>
  <c r="O23" i="5"/>
  <c r="C23" i="5"/>
  <c r="A23" i="5"/>
  <c r="G17" i="7"/>
  <c r="G16" i="7"/>
  <c r="G15" i="7"/>
  <c r="G14" i="7"/>
  <c r="G13" i="7"/>
  <c r="G12" i="7"/>
  <c r="G11" i="7"/>
  <c r="G10" i="7"/>
  <c r="G9" i="7"/>
  <c r="G8" i="7"/>
  <c r="G7" i="7"/>
  <c r="D15" i="8"/>
  <c r="D14" i="8"/>
  <c r="AB4" i="31"/>
  <c r="Z4" i="31"/>
  <c r="Y4" i="31"/>
  <c r="X4" i="31"/>
  <c r="V4" i="31"/>
  <c r="P31" i="31"/>
  <c r="O31" i="31"/>
  <c r="C31" i="31"/>
  <c r="A31" i="31"/>
  <c r="P30" i="31"/>
  <c r="O30" i="31"/>
  <c r="C30" i="31"/>
  <c r="A30" i="31"/>
  <c r="P29" i="31"/>
  <c r="O29" i="31"/>
  <c r="C29" i="31"/>
  <c r="A29" i="31"/>
  <c r="P28" i="31"/>
  <c r="O28" i="31"/>
  <c r="C28" i="31"/>
  <c r="A28" i="31"/>
  <c r="P27" i="31"/>
  <c r="O27" i="31"/>
  <c r="P26" i="31"/>
  <c r="O26" i="31"/>
  <c r="P25" i="31"/>
  <c r="O25" i="31"/>
  <c r="P24" i="31"/>
  <c r="O24" i="31"/>
  <c r="C24" i="31"/>
  <c r="A24" i="31"/>
  <c r="G14" i="32"/>
  <c r="G13" i="32"/>
  <c r="G12" i="32"/>
  <c r="G11" i="32"/>
  <c r="G10" i="32"/>
  <c r="G9" i="32"/>
  <c r="G8" i="32"/>
  <c r="G7" i="32"/>
  <c r="Y4" i="35"/>
  <c r="X4" i="35"/>
  <c r="W4" i="35"/>
  <c r="V4" i="35"/>
  <c r="P35" i="35"/>
  <c r="O35" i="35"/>
  <c r="C35" i="35"/>
  <c r="A35" i="35"/>
  <c r="P34" i="35"/>
  <c r="O34" i="35"/>
  <c r="C34" i="35"/>
  <c r="A34" i="35"/>
  <c r="P33" i="35"/>
  <c r="O33" i="35"/>
  <c r="P32" i="35"/>
  <c r="O32" i="35"/>
  <c r="C32" i="35"/>
  <c r="A32" i="35"/>
  <c r="P31" i="35"/>
  <c r="O31" i="35"/>
  <c r="P30" i="35"/>
  <c r="O30" i="35"/>
  <c r="P29" i="35"/>
  <c r="O29" i="35"/>
  <c r="P28" i="35"/>
  <c r="O28" i="35"/>
  <c r="P27" i="35"/>
  <c r="O27" i="35"/>
  <c r="P26" i="35"/>
  <c r="O26" i="35"/>
  <c r="P25" i="35"/>
  <c r="O25" i="35"/>
  <c r="P24" i="35"/>
  <c r="O24" i="35"/>
  <c r="P23" i="35"/>
  <c r="O23" i="35"/>
  <c r="C23" i="35"/>
  <c r="A23" i="35"/>
  <c r="G19" i="36"/>
  <c r="G18" i="36"/>
  <c r="G17" i="36"/>
  <c r="G16" i="36"/>
  <c r="G15" i="36"/>
  <c r="G14" i="36"/>
  <c r="G13" i="36"/>
  <c r="G12" i="36"/>
  <c r="G11" i="36"/>
  <c r="G10" i="36"/>
  <c r="G9" i="36"/>
  <c r="G8" i="36"/>
  <c r="G7" i="36"/>
  <c r="Y4" i="39"/>
  <c r="X4" i="39"/>
  <c r="W4" i="39"/>
  <c r="V4" i="39"/>
  <c r="P51" i="39"/>
  <c r="O51" i="39"/>
  <c r="P50" i="39"/>
  <c r="O50" i="39"/>
  <c r="C50" i="39"/>
  <c r="A50" i="39"/>
  <c r="P49" i="39"/>
  <c r="O49" i="39"/>
  <c r="P48" i="39"/>
  <c r="O48" i="39"/>
  <c r="P47" i="39"/>
  <c r="O47" i="39"/>
  <c r="P46" i="39"/>
  <c r="O46" i="39"/>
  <c r="P45" i="39"/>
  <c r="O45" i="39"/>
  <c r="P44" i="39"/>
  <c r="O44" i="39"/>
  <c r="P43" i="39"/>
  <c r="O43" i="39"/>
  <c r="P42" i="39"/>
  <c r="O42" i="39"/>
  <c r="P41" i="39"/>
  <c r="O41" i="39"/>
  <c r="P40" i="39"/>
  <c r="O40" i="39"/>
  <c r="C40" i="39"/>
  <c r="A40" i="39"/>
  <c r="P39" i="39"/>
  <c r="O39" i="39"/>
  <c r="P38" i="39"/>
  <c r="O38" i="39"/>
  <c r="P37" i="39"/>
  <c r="O37" i="39"/>
  <c r="P36" i="39"/>
  <c r="O36" i="39"/>
  <c r="P35" i="39"/>
  <c r="O35" i="39"/>
  <c r="P34" i="39"/>
  <c r="O34" i="39"/>
  <c r="P33" i="39"/>
  <c r="O33" i="39"/>
  <c r="P32" i="39"/>
  <c r="O32" i="39"/>
  <c r="P31" i="39"/>
  <c r="O31" i="39"/>
  <c r="P30" i="39"/>
  <c r="O30" i="39"/>
  <c r="C30" i="39"/>
  <c r="A30" i="39"/>
  <c r="P29" i="39"/>
  <c r="O29" i="39"/>
  <c r="P28" i="39"/>
  <c r="O28" i="39"/>
  <c r="P27" i="39"/>
  <c r="O27" i="39"/>
  <c r="P26" i="39"/>
  <c r="O26" i="39"/>
  <c r="P25" i="39"/>
  <c r="O25" i="39"/>
  <c r="P24" i="39"/>
  <c r="O24" i="39"/>
  <c r="P23" i="39"/>
  <c r="O23" i="39"/>
  <c r="P22" i="39"/>
  <c r="O22" i="39"/>
  <c r="P21" i="39"/>
  <c r="O21" i="39"/>
  <c r="C21" i="39"/>
  <c r="A21" i="39"/>
  <c r="G37" i="40"/>
  <c r="G36" i="40"/>
  <c r="G35" i="40"/>
  <c r="G34" i="40"/>
  <c r="G33" i="40"/>
  <c r="G32" i="40"/>
  <c r="G31" i="40"/>
  <c r="G30" i="40"/>
  <c r="G29" i="40"/>
  <c r="G28" i="40"/>
  <c r="G27" i="40"/>
  <c r="G26" i="40"/>
  <c r="G25" i="40"/>
  <c r="G24" i="40"/>
  <c r="G23" i="40"/>
  <c r="G22" i="40"/>
  <c r="G21" i="40"/>
  <c r="G20" i="40"/>
  <c r="G19" i="40"/>
  <c r="G18" i="40"/>
  <c r="G17" i="40"/>
  <c r="G16" i="40"/>
  <c r="G15" i="40"/>
  <c r="G14" i="40"/>
  <c r="G13" i="40"/>
  <c r="G12" i="40"/>
  <c r="G11" i="40"/>
  <c r="G10" i="40"/>
  <c r="G9" i="40"/>
  <c r="G8" i="40"/>
  <c r="G7" i="40"/>
  <c r="D21" i="41"/>
  <c r="D19" i="41"/>
  <c r="D18" i="41"/>
  <c r="D13" i="41"/>
  <c r="D9" i="41"/>
  <c r="Y4" i="23"/>
  <c r="W4" i="23"/>
  <c r="V4" i="23"/>
  <c r="P37" i="23"/>
  <c r="O37" i="23"/>
  <c r="P36" i="23"/>
  <c r="O36" i="23"/>
  <c r="C36" i="23"/>
  <c r="A36" i="23"/>
  <c r="P35" i="23"/>
  <c r="O35" i="23"/>
  <c r="P34" i="23"/>
  <c r="O34" i="23"/>
  <c r="P33" i="23"/>
  <c r="O33" i="23"/>
  <c r="P32" i="23"/>
  <c r="O32" i="23"/>
  <c r="C32" i="23"/>
  <c r="A32" i="23"/>
  <c r="P31" i="23"/>
  <c r="O31" i="23"/>
  <c r="P30" i="23"/>
  <c r="O30" i="23"/>
  <c r="P29" i="23"/>
  <c r="O29" i="23"/>
  <c r="P28" i="23"/>
  <c r="O28" i="23"/>
  <c r="P27" i="23"/>
  <c r="O27" i="23"/>
  <c r="P26" i="23"/>
  <c r="O26" i="23"/>
  <c r="P25" i="23"/>
  <c r="O25" i="23"/>
  <c r="P24" i="23"/>
  <c r="O24" i="23"/>
  <c r="C24" i="23"/>
  <c r="A24" i="23"/>
  <c r="G20" i="24"/>
  <c r="G19" i="24"/>
  <c r="G18" i="24"/>
  <c r="G17" i="24"/>
  <c r="G16" i="24"/>
  <c r="G15" i="24"/>
  <c r="G14" i="24"/>
  <c r="G13" i="24"/>
  <c r="G12" i="24"/>
  <c r="G11" i="24"/>
  <c r="G10" i="24"/>
  <c r="G9" i="24"/>
  <c r="G8" i="24"/>
  <c r="G7" i="24"/>
  <c r="D15" i="25"/>
  <c r="D14" i="25"/>
  <c r="D6" i="25"/>
  <c r="Z4" i="77"/>
  <c r="Y4" i="77"/>
  <c r="W4" i="77"/>
  <c r="V4" i="77"/>
  <c r="P37" i="77"/>
  <c r="O37" i="77"/>
  <c r="C37" i="77"/>
  <c r="A37" i="77"/>
  <c r="P36" i="77"/>
  <c r="O36" i="77"/>
  <c r="P35" i="77"/>
  <c r="O35" i="77"/>
  <c r="P34" i="77"/>
  <c r="O34" i="77"/>
  <c r="C34" i="77"/>
  <c r="A34" i="77"/>
  <c r="P33" i="77"/>
  <c r="O33" i="77"/>
  <c r="P32" i="77"/>
  <c r="O32" i="77"/>
  <c r="P31" i="77"/>
  <c r="O31" i="77"/>
  <c r="P30" i="77"/>
  <c r="O30" i="77"/>
  <c r="P29" i="77"/>
  <c r="O29" i="77"/>
  <c r="P28" i="77"/>
  <c r="O28" i="77"/>
  <c r="P27" i="77"/>
  <c r="O27" i="77"/>
  <c r="P26" i="77"/>
  <c r="O26" i="77"/>
  <c r="P25" i="77"/>
  <c r="O25" i="77"/>
  <c r="C25" i="77"/>
  <c r="A25" i="77"/>
  <c r="P24" i="77"/>
  <c r="O24" i="77"/>
  <c r="P23" i="77"/>
  <c r="O23" i="77"/>
  <c r="P22" i="77"/>
  <c r="O22" i="77"/>
  <c r="C22" i="77"/>
  <c r="A22" i="77"/>
  <c r="G22" i="78"/>
  <c r="G21" i="78"/>
  <c r="G20" i="78"/>
  <c r="G19" i="78"/>
  <c r="G18" i="78"/>
  <c r="G17" i="78"/>
  <c r="G16" i="78"/>
  <c r="G15" i="78"/>
  <c r="G14" i="78"/>
  <c r="G13" i="78"/>
  <c r="G12" i="78"/>
  <c r="G11" i="78"/>
  <c r="G10" i="78"/>
  <c r="G9" i="78"/>
  <c r="G8" i="78"/>
  <c r="G7" i="78"/>
  <c r="D17" i="79"/>
  <c r="D16" i="79"/>
  <c r="AB4" i="19"/>
  <c r="AA4" i="19"/>
  <c r="Z4" i="19"/>
  <c r="Y4" i="19"/>
  <c r="W4" i="19"/>
  <c r="V4" i="19"/>
  <c r="P34" i="19"/>
  <c r="O34" i="19"/>
  <c r="C34" i="19"/>
  <c r="A34" i="19"/>
  <c r="P33" i="19"/>
  <c r="O33" i="19"/>
  <c r="C33" i="19"/>
  <c r="A33" i="19"/>
  <c r="P32" i="19"/>
  <c r="O32" i="19"/>
  <c r="C32" i="19"/>
  <c r="A32" i="19"/>
  <c r="P31" i="19"/>
  <c r="O31" i="19"/>
  <c r="C31" i="19"/>
  <c r="A31" i="19"/>
  <c r="P30" i="19"/>
  <c r="O30" i="19"/>
  <c r="P29" i="19"/>
  <c r="O29" i="19"/>
  <c r="C29" i="19"/>
  <c r="A29" i="19"/>
  <c r="P28" i="19"/>
  <c r="O28" i="19"/>
  <c r="P27" i="19"/>
  <c r="O27" i="19"/>
  <c r="P26" i="19"/>
  <c r="O26" i="19"/>
  <c r="P25" i="19"/>
  <c r="O25" i="19"/>
  <c r="P24" i="19"/>
  <c r="O24" i="19"/>
  <c r="P23" i="19"/>
  <c r="O23" i="19"/>
  <c r="P22" i="19"/>
  <c r="O22" i="19"/>
  <c r="P21" i="19"/>
  <c r="O21" i="19"/>
  <c r="P20" i="19"/>
  <c r="O20" i="19"/>
  <c r="P19" i="19"/>
  <c r="O19" i="19"/>
  <c r="C19" i="19"/>
  <c r="A19" i="19"/>
  <c r="G22" i="20"/>
  <c r="G21" i="20"/>
  <c r="G20" i="20"/>
  <c r="G19" i="20"/>
  <c r="G18" i="20"/>
  <c r="G17" i="20"/>
  <c r="G16" i="20"/>
  <c r="G15" i="20"/>
  <c r="G14" i="20"/>
  <c r="G13" i="20"/>
  <c r="G12" i="20"/>
  <c r="G11" i="20"/>
  <c r="G10" i="20"/>
  <c r="G9" i="20"/>
  <c r="G8" i="20"/>
  <c r="G7" i="20"/>
  <c r="D18" i="21"/>
  <c r="D15" i="21"/>
  <c r="W4" i="27"/>
  <c r="V4" i="27"/>
  <c r="P27" i="27"/>
  <c r="O27" i="27"/>
  <c r="C27" i="27"/>
  <c r="A27" i="27"/>
  <c r="P26" i="27"/>
  <c r="O26" i="27"/>
  <c r="P25" i="27"/>
  <c r="O25" i="27"/>
  <c r="P24" i="27"/>
  <c r="O24" i="27"/>
  <c r="P23" i="27"/>
  <c r="O23" i="27"/>
  <c r="P22" i="27"/>
  <c r="O22" i="27"/>
  <c r="P21" i="27"/>
  <c r="O21" i="27"/>
  <c r="P20" i="27"/>
  <c r="O20" i="27"/>
  <c r="P19" i="27"/>
  <c r="O19" i="27"/>
  <c r="C19" i="27"/>
  <c r="A19" i="27"/>
  <c r="G15" i="28"/>
  <c r="G14" i="28"/>
  <c r="G13" i="28"/>
  <c r="G12" i="28"/>
  <c r="G11" i="28"/>
  <c r="G10" i="28"/>
  <c r="G9" i="28"/>
  <c r="G8" i="28"/>
  <c r="G7" i="28"/>
  <c r="X4" i="47"/>
  <c r="W4" i="47"/>
  <c r="V4" i="47"/>
  <c r="P31" i="47"/>
  <c r="O31" i="47"/>
  <c r="C31" i="47"/>
  <c r="A31" i="47"/>
  <c r="P30" i="47"/>
  <c r="O30" i="47"/>
  <c r="P29" i="47"/>
  <c r="O29" i="47"/>
  <c r="P28" i="47"/>
  <c r="O28" i="47"/>
  <c r="C28" i="47"/>
  <c r="A28" i="47"/>
  <c r="P27" i="47"/>
  <c r="O27" i="47"/>
  <c r="P26" i="47"/>
  <c r="O26" i="47"/>
  <c r="P25" i="47"/>
  <c r="O25" i="47"/>
  <c r="P24" i="47"/>
  <c r="O24" i="47"/>
  <c r="P23" i="47"/>
  <c r="O23" i="47"/>
  <c r="P22" i="47"/>
  <c r="O22" i="47"/>
  <c r="P21" i="47"/>
  <c r="O21" i="47"/>
  <c r="C21" i="47"/>
  <c r="A21" i="47"/>
  <c r="G17" i="48"/>
  <c r="G16" i="48"/>
  <c r="G15" i="48"/>
  <c r="G14" i="48"/>
  <c r="G13" i="48"/>
  <c r="G12" i="48"/>
  <c r="G11" i="48"/>
  <c r="G10" i="48"/>
  <c r="G9" i="48"/>
  <c r="G8" i="48"/>
  <c r="G7" i="48"/>
  <c r="D14" i="49"/>
  <c r="Z4" i="51"/>
  <c r="Y4" i="51"/>
  <c r="W4" i="51"/>
  <c r="V4" i="51"/>
  <c r="P36" i="51"/>
  <c r="O36" i="51"/>
  <c r="C36" i="51"/>
  <c r="A36" i="51"/>
  <c r="P35" i="51"/>
  <c r="O35" i="51"/>
  <c r="P34" i="51"/>
  <c r="O34" i="51"/>
  <c r="P33" i="51"/>
  <c r="O33" i="51"/>
  <c r="P32" i="51"/>
  <c r="O32" i="51"/>
  <c r="C32" i="51"/>
  <c r="A32" i="51"/>
  <c r="P31" i="51"/>
  <c r="O31" i="51"/>
  <c r="P30" i="51"/>
  <c r="O30" i="51"/>
  <c r="P29" i="51"/>
  <c r="O29" i="51"/>
  <c r="P28" i="51"/>
  <c r="O28" i="51"/>
  <c r="P27" i="51"/>
  <c r="O27" i="51"/>
  <c r="C27" i="51"/>
  <c r="A27" i="51"/>
  <c r="P26" i="51"/>
  <c r="O26" i="51"/>
  <c r="P25" i="51"/>
  <c r="O25" i="51"/>
  <c r="P24" i="51"/>
  <c r="O24" i="51"/>
  <c r="P23" i="51"/>
  <c r="O23" i="51"/>
  <c r="P22" i="51"/>
  <c r="O22" i="51"/>
  <c r="C22" i="51"/>
  <c r="A22" i="51"/>
  <c r="G21" i="52"/>
  <c r="G20" i="52"/>
  <c r="G19" i="52"/>
  <c r="G18" i="52"/>
  <c r="G17" i="52"/>
  <c r="G16" i="52"/>
  <c r="G15" i="52"/>
  <c r="G14" i="52"/>
  <c r="G13" i="52"/>
  <c r="G12" i="52"/>
  <c r="G11" i="52"/>
  <c r="G10" i="52"/>
  <c r="G9" i="52"/>
  <c r="G8" i="52"/>
  <c r="G7" i="52"/>
  <c r="D14" i="53"/>
  <c r="Y4" i="15"/>
  <c r="W4" i="15"/>
  <c r="V4" i="15"/>
  <c r="P44" i="15"/>
  <c r="O44" i="15"/>
  <c r="P43" i="15"/>
  <c r="O43" i="15"/>
  <c r="P42" i="15"/>
  <c r="O42" i="15"/>
  <c r="C42" i="15"/>
  <c r="A42" i="15"/>
  <c r="P41" i="15"/>
  <c r="O41" i="15"/>
  <c r="P40" i="15"/>
  <c r="O40" i="15"/>
  <c r="P39" i="15"/>
  <c r="O39" i="15"/>
  <c r="P38" i="15"/>
  <c r="O38" i="15"/>
  <c r="P37" i="15"/>
  <c r="O37" i="15"/>
  <c r="C37" i="15"/>
  <c r="A37" i="15"/>
  <c r="P36" i="15"/>
  <c r="O36" i="15"/>
  <c r="P35" i="15"/>
  <c r="O35" i="15"/>
  <c r="P34" i="15"/>
  <c r="O34" i="15"/>
  <c r="P33" i="15"/>
  <c r="O33" i="15"/>
  <c r="P32" i="15"/>
  <c r="O32" i="15"/>
  <c r="P31" i="15"/>
  <c r="O31" i="15"/>
  <c r="P30" i="15"/>
  <c r="O30" i="15"/>
  <c r="P29" i="15"/>
  <c r="O29" i="15"/>
  <c r="P28" i="15"/>
  <c r="O28" i="15"/>
  <c r="P27" i="15"/>
  <c r="O27" i="15"/>
  <c r="P26" i="15"/>
  <c r="O26" i="15"/>
  <c r="P25" i="15"/>
  <c r="O25" i="15"/>
  <c r="P24" i="15"/>
  <c r="O24" i="15"/>
  <c r="C24" i="15"/>
  <c r="A24" i="15"/>
  <c r="G27" i="16"/>
  <c r="G26" i="16"/>
  <c r="G25" i="16"/>
  <c r="G24" i="16"/>
  <c r="G23" i="16"/>
  <c r="G22" i="16"/>
  <c r="G21" i="16"/>
  <c r="G20" i="16"/>
  <c r="G19" i="16"/>
  <c r="G18" i="16"/>
  <c r="G17" i="16"/>
  <c r="G16" i="16"/>
  <c r="G15" i="16"/>
  <c r="G14" i="16"/>
  <c r="G13" i="16"/>
  <c r="G12" i="16"/>
  <c r="G11" i="16"/>
  <c r="G10" i="16"/>
  <c r="G9" i="16"/>
  <c r="G8" i="16"/>
  <c r="G7" i="16"/>
  <c r="D21" i="17"/>
  <c r="D20" i="17"/>
  <c r="D19" i="17"/>
  <c r="D18" i="17"/>
  <c r="Z4" i="10"/>
  <c r="Y4" i="10"/>
  <c r="W4" i="10"/>
  <c r="V4" i="10"/>
  <c r="P31" i="10"/>
  <c r="O31" i="10"/>
  <c r="C31" i="10"/>
  <c r="A31" i="10"/>
  <c r="P30" i="10"/>
  <c r="O30" i="10"/>
  <c r="P29" i="10"/>
  <c r="O29" i="10"/>
  <c r="C29" i="10"/>
  <c r="A29" i="10"/>
  <c r="P28" i="10"/>
  <c r="O28" i="10"/>
  <c r="P27" i="10"/>
  <c r="O27" i="10"/>
  <c r="P26" i="10"/>
  <c r="O26" i="10"/>
  <c r="P25" i="10"/>
  <c r="O25" i="10"/>
  <c r="C25" i="10"/>
  <c r="A25" i="10"/>
  <c r="P24" i="10"/>
  <c r="O24" i="10"/>
  <c r="P23" i="10"/>
  <c r="O23" i="10"/>
  <c r="P22" i="10"/>
  <c r="O22" i="10"/>
  <c r="P21" i="10"/>
  <c r="O21" i="10"/>
  <c r="P20" i="10"/>
  <c r="O20" i="10"/>
  <c r="C20" i="10"/>
  <c r="A20" i="10"/>
  <c r="G18" i="11"/>
  <c r="G17" i="11"/>
  <c r="G16" i="11"/>
  <c r="G15" i="11"/>
  <c r="G14" i="11"/>
  <c r="G13" i="11"/>
  <c r="G12" i="11"/>
  <c r="G11" i="11"/>
  <c r="G10" i="11"/>
  <c r="G9" i="11"/>
  <c r="G8" i="11"/>
  <c r="G7" i="11"/>
  <c r="Z4" i="55"/>
  <c r="Y4" i="55"/>
  <c r="W4" i="55"/>
  <c r="V4" i="55"/>
  <c r="P28" i="55"/>
  <c r="O28" i="55"/>
  <c r="C28" i="55"/>
  <c r="A28" i="55"/>
  <c r="P27" i="55"/>
  <c r="O27" i="55"/>
  <c r="P26" i="55"/>
  <c r="O26" i="55"/>
  <c r="P25" i="55"/>
  <c r="O25" i="55"/>
  <c r="C25" i="55"/>
  <c r="A25" i="55"/>
  <c r="P24" i="55"/>
  <c r="O24" i="55"/>
  <c r="P23" i="55"/>
  <c r="O23" i="55"/>
  <c r="P22" i="55"/>
  <c r="O22" i="55"/>
  <c r="C22" i="55"/>
  <c r="A22" i="55"/>
  <c r="P21" i="55"/>
  <c r="O21" i="55"/>
  <c r="P20" i="55"/>
  <c r="O20" i="55"/>
  <c r="P19" i="55"/>
  <c r="O19" i="55"/>
  <c r="P18" i="55"/>
  <c r="O18" i="55"/>
  <c r="C18" i="55"/>
  <c r="A18" i="55"/>
  <c r="G17" i="56"/>
  <c r="G16" i="56"/>
  <c r="G15" i="56"/>
  <c r="G14" i="56"/>
  <c r="G13" i="56"/>
  <c r="G12" i="56"/>
  <c r="G11" i="56"/>
  <c r="G10" i="56"/>
  <c r="G9" i="56"/>
  <c r="G8" i="56"/>
  <c r="G7" i="56"/>
  <c r="G7" i="65"/>
  <c r="C21" i="84"/>
  <c r="A21" i="84"/>
  <c r="E9" i="58"/>
  <c r="E8" i="58"/>
  <c r="E7" i="58"/>
  <c r="E6" i="58"/>
  <c r="H14" i="13"/>
  <c r="H13" i="13"/>
  <c r="H12" i="13"/>
  <c r="H11" i="13"/>
  <c r="H10" i="13"/>
  <c r="H9" i="13"/>
  <c r="H8" i="13"/>
  <c r="H7" i="13"/>
  <c r="H6" i="13"/>
  <c r="B8" i="90"/>
  <c r="A8" i="90"/>
  <c r="B7" i="90"/>
  <c r="A7" i="90"/>
  <c r="B6" i="90"/>
  <c r="A6" i="90"/>
  <c r="C15" i="90" s="1"/>
  <c r="B5" i="90"/>
  <c r="A5" i="90"/>
  <c r="B3" i="90"/>
  <c r="B3" i="92" s="1"/>
  <c r="B10" i="87"/>
  <c r="A10" i="87"/>
  <c r="C19" i="87" s="1"/>
  <c r="B9" i="87"/>
  <c r="A9" i="87"/>
  <c r="B8" i="87"/>
  <c r="A8" i="87"/>
  <c r="B7" i="87"/>
  <c r="A7" i="87"/>
  <c r="C18" i="87" s="1"/>
  <c r="B6" i="87"/>
  <c r="A6" i="87"/>
  <c r="C17" i="87" s="1"/>
  <c r="B5" i="87"/>
  <c r="A5" i="87"/>
  <c r="B3" i="87"/>
  <c r="B3" i="89" s="1"/>
  <c r="G9" i="85"/>
  <c r="G8" i="85"/>
  <c r="G7" i="85"/>
  <c r="P21" i="84"/>
  <c r="O21" i="84"/>
  <c r="W4" i="84"/>
  <c r="P20" i="84"/>
  <c r="O20" i="84"/>
  <c r="P19" i="84"/>
  <c r="O19" i="84"/>
  <c r="C19" i="84"/>
  <c r="A19" i="84"/>
  <c r="V4" i="84" s="1"/>
  <c r="B6" i="84"/>
  <c r="A6" i="84"/>
  <c r="B5" i="84"/>
  <c r="A5" i="84"/>
  <c r="B3" i="84"/>
  <c r="B3" i="85" s="1"/>
  <c r="G9" i="82"/>
  <c r="G8" i="82"/>
  <c r="G7" i="82"/>
  <c r="O19" i="81"/>
  <c r="O18" i="81"/>
  <c r="O17" i="81"/>
  <c r="C17" i="81"/>
  <c r="A17" i="81"/>
  <c r="V4" i="81" s="1"/>
  <c r="C13" i="81"/>
  <c r="B9" i="81"/>
  <c r="A9" i="81"/>
  <c r="B8" i="81"/>
  <c r="A8" i="81"/>
  <c r="B7" i="81"/>
  <c r="A7" i="81"/>
  <c r="B6" i="81"/>
  <c r="A6" i="81"/>
  <c r="B5" i="81"/>
  <c r="A5" i="81"/>
  <c r="B3" i="81"/>
  <c r="B3" i="82" s="1"/>
  <c r="F7" i="80"/>
  <c r="F6" i="80"/>
  <c r="B9" i="58"/>
  <c r="B8" i="58"/>
  <c r="B7" i="58"/>
  <c r="B6" i="58"/>
  <c r="D14" i="30"/>
  <c r="C14" i="30"/>
  <c r="D13" i="30"/>
  <c r="C13" i="30"/>
  <c r="D12" i="30"/>
  <c r="C12" i="30"/>
  <c r="D11" i="30"/>
  <c r="C11" i="30"/>
  <c r="D10" i="30"/>
  <c r="C10" i="30"/>
  <c r="D9" i="30"/>
  <c r="C9" i="30"/>
  <c r="D8" i="30"/>
  <c r="C8" i="30"/>
  <c r="D7" i="30"/>
  <c r="C7" i="30"/>
  <c r="D6" i="30"/>
  <c r="C6" i="30"/>
  <c r="B12" i="35"/>
  <c r="A12" i="35"/>
  <c r="C16" i="35" s="1"/>
  <c r="B11" i="35"/>
  <c r="A11" i="35"/>
  <c r="B10" i="35"/>
  <c r="A10" i="35"/>
  <c r="B9" i="35"/>
  <c r="A9" i="35"/>
  <c r="B8" i="35"/>
  <c r="A8" i="35"/>
  <c r="C17" i="35" s="1"/>
  <c r="B7" i="35"/>
  <c r="A7" i="35"/>
  <c r="B6" i="35"/>
  <c r="A6" i="35"/>
  <c r="E32" i="38"/>
  <c r="E31" i="38"/>
  <c r="E30" i="38"/>
  <c r="E29" i="38"/>
  <c r="E28" i="38"/>
  <c r="E27" i="38"/>
  <c r="E26" i="38"/>
  <c r="E25" i="38"/>
  <c r="E24" i="38"/>
  <c r="E23" i="38"/>
  <c r="E22" i="38"/>
  <c r="E21" i="38"/>
  <c r="E20" i="38"/>
  <c r="E19" i="38"/>
  <c r="E18" i="38"/>
  <c r="E17" i="38"/>
  <c r="E16" i="38"/>
  <c r="E15" i="38"/>
  <c r="E14" i="38"/>
  <c r="E13" i="38"/>
  <c r="E12" i="38"/>
  <c r="E11" i="38"/>
  <c r="E10" i="38"/>
  <c r="E9" i="38"/>
  <c r="E8" i="38"/>
  <c r="E7" i="38"/>
  <c r="E6" i="38"/>
  <c r="B11" i="5"/>
  <c r="A11" i="5"/>
  <c r="C19" i="5" s="1"/>
  <c r="I8" i="4"/>
  <c r="I7" i="4"/>
  <c r="B5" i="31"/>
  <c r="B10" i="39"/>
  <c r="A10" i="39"/>
  <c r="C15" i="39" s="1"/>
  <c r="B9" i="39"/>
  <c r="A9" i="39"/>
  <c r="B8" i="39"/>
  <c r="A8" i="39"/>
  <c r="B7" i="39"/>
  <c r="A7" i="39"/>
  <c r="C14" i="39" s="1"/>
  <c r="B6" i="39"/>
  <c r="A6" i="39"/>
  <c r="B5" i="39"/>
  <c r="A5" i="39"/>
  <c r="B5" i="47"/>
  <c r="E30" i="18"/>
  <c r="E29" i="18"/>
  <c r="E28" i="18"/>
  <c r="E27" i="18"/>
  <c r="E26" i="18"/>
  <c r="E25" i="18"/>
  <c r="E24" i="18"/>
  <c r="E23" i="18"/>
  <c r="E22" i="18"/>
  <c r="E21" i="18"/>
  <c r="E20" i="18"/>
  <c r="E19" i="18"/>
  <c r="E18" i="18"/>
  <c r="E17" i="18"/>
  <c r="E16" i="18"/>
  <c r="E15" i="18"/>
  <c r="E14" i="18"/>
  <c r="E13" i="18"/>
  <c r="E12" i="18"/>
  <c r="E11" i="18"/>
  <c r="E10" i="18"/>
  <c r="E9" i="18"/>
  <c r="E8" i="18"/>
  <c r="E7" i="18"/>
  <c r="E6" i="18"/>
  <c r="D10" i="22"/>
  <c r="D9" i="22"/>
  <c r="D8" i="22"/>
  <c r="D7" i="22"/>
  <c r="D6" i="22"/>
  <c r="B19" i="26"/>
  <c r="B18" i="26"/>
  <c r="G18" i="26" s="1"/>
  <c r="B17" i="26"/>
  <c r="B16" i="26"/>
  <c r="G16" i="26" s="1"/>
  <c r="B15" i="26"/>
  <c r="G15" i="26" s="1"/>
  <c r="B14" i="26"/>
  <c r="B13" i="26"/>
  <c r="B12" i="26"/>
  <c r="B11" i="26"/>
  <c r="B10" i="26"/>
  <c r="B9" i="26"/>
  <c r="B8" i="26"/>
  <c r="B7" i="26"/>
  <c r="G7" i="26" s="1"/>
  <c r="B6" i="26"/>
  <c r="G6" i="26" s="1"/>
  <c r="B11" i="47"/>
  <c r="A11" i="47"/>
  <c r="B5" i="19"/>
  <c r="G17" i="26"/>
  <c r="G14" i="26"/>
  <c r="G13" i="26"/>
  <c r="G12" i="26"/>
  <c r="G11" i="26"/>
  <c r="G10" i="26"/>
  <c r="G9" i="26"/>
  <c r="G8" i="26"/>
  <c r="B12" i="47"/>
  <c r="A12" i="47"/>
  <c r="B10" i="47"/>
  <c r="A10" i="47"/>
  <c r="F19" i="46"/>
  <c r="E19" i="46" s="1"/>
  <c r="F18" i="46"/>
  <c r="E18" i="46" s="1"/>
  <c r="F17" i="46"/>
  <c r="E17" i="46" s="1"/>
  <c r="F16" i="46"/>
  <c r="E16" i="46" s="1"/>
  <c r="F15" i="46"/>
  <c r="E15" i="46" s="1"/>
  <c r="F14" i="46"/>
  <c r="E14" i="46" s="1"/>
  <c r="F13" i="46"/>
  <c r="E13" i="46" s="1"/>
  <c r="F12" i="46"/>
  <c r="E12" i="46" s="1"/>
  <c r="F11" i="46"/>
  <c r="E11" i="46" s="1"/>
  <c r="F10" i="46"/>
  <c r="E10" i="46" s="1"/>
  <c r="F9" i="46"/>
  <c r="E9" i="46" s="1"/>
  <c r="F8" i="46"/>
  <c r="E8" i="46" s="1"/>
  <c r="B5" i="10"/>
  <c r="B12" i="15"/>
  <c r="A12" i="15"/>
  <c r="C20" i="15" s="1"/>
  <c r="J20" i="14"/>
  <c r="J19" i="14"/>
  <c r="J18" i="14"/>
  <c r="J17" i="14"/>
  <c r="J16" i="14"/>
  <c r="J15" i="14"/>
  <c r="J14" i="14"/>
  <c r="J13" i="14"/>
  <c r="J12" i="14"/>
  <c r="J11" i="14"/>
  <c r="J10" i="14"/>
  <c r="J9" i="14"/>
  <c r="J8" i="14"/>
  <c r="J7" i="14"/>
  <c r="B10" i="51"/>
  <c r="A10" i="51"/>
  <c r="G22" i="50"/>
  <c r="E22" i="50"/>
  <c r="E21" i="50"/>
  <c r="E20" i="50"/>
  <c r="E19" i="50"/>
  <c r="E18" i="50"/>
  <c r="E17" i="50"/>
  <c r="E16" i="50"/>
  <c r="E15" i="50"/>
  <c r="E14" i="50"/>
  <c r="E13" i="50"/>
  <c r="E12" i="50"/>
  <c r="E11" i="50"/>
  <c r="E10" i="50"/>
  <c r="E9" i="50"/>
  <c r="E8" i="50"/>
  <c r="E7" i="50"/>
  <c r="E6" i="50"/>
  <c r="D13" i="25"/>
  <c r="D9" i="25"/>
  <c r="Z4" i="60"/>
  <c r="X4" i="60"/>
  <c r="W4" i="60"/>
  <c r="V4" i="60"/>
  <c r="B8" i="55"/>
  <c r="A8" i="55"/>
  <c r="B6" i="64"/>
  <c r="A6" i="64"/>
  <c r="B5" i="64"/>
  <c r="A5" i="64"/>
  <c r="B9" i="55"/>
  <c r="A9" i="55"/>
  <c r="B7" i="55"/>
  <c r="A7" i="55"/>
  <c r="C14" i="55" s="1"/>
  <c r="G9" i="54"/>
  <c r="G8" i="54"/>
  <c r="G7" i="54"/>
  <c r="G6" i="54"/>
  <c r="B3" i="31"/>
  <c r="B3" i="32" s="1"/>
  <c r="B3" i="51"/>
  <c r="B3" i="52" s="1"/>
  <c r="B3" i="35"/>
  <c r="B3" i="36" s="1"/>
  <c r="B3" i="15"/>
  <c r="O19" i="64"/>
  <c r="A19" i="64"/>
  <c r="V4" i="64" s="1"/>
  <c r="C13" i="64"/>
  <c r="B6" i="60"/>
  <c r="A6" i="60"/>
  <c r="B5" i="60"/>
  <c r="A5" i="60"/>
  <c r="D19" i="46"/>
  <c r="D18" i="46"/>
  <c r="D17" i="46"/>
  <c r="D16" i="46"/>
  <c r="D15" i="46"/>
  <c r="D14" i="46"/>
  <c r="D13" i="46"/>
  <c r="D12" i="46"/>
  <c r="D11" i="46"/>
  <c r="D10" i="46"/>
  <c r="D9" i="46"/>
  <c r="D8" i="46"/>
  <c r="G7" i="44"/>
  <c r="B6" i="43"/>
  <c r="A6" i="43"/>
  <c r="B5" i="43"/>
  <c r="A5" i="43"/>
  <c r="O18" i="43"/>
  <c r="A18" i="43"/>
  <c r="V4" i="43" s="1"/>
  <c r="C12" i="43"/>
  <c r="D6" i="41"/>
  <c r="B7" i="22"/>
  <c r="B8" i="22"/>
  <c r="B9" i="22"/>
  <c r="B10" i="22"/>
  <c r="B6" i="22"/>
  <c r="G9" i="76"/>
  <c r="G8" i="76"/>
  <c r="G7" i="76"/>
  <c r="G6" i="76"/>
  <c r="E6" i="13"/>
  <c r="D6" i="13"/>
  <c r="E7" i="13"/>
  <c r="D7" i="13"/>
  <c r="E8" i="13"/>
  <c r="D8" i="13"/>
  <c r="E9" i="13"/>
  <c r="D9" i="13"/>
  <c r="E10" i="13"/>
  <c r="D10" i="13"/>
  <c r="E11" i="13"/>
  <c r="D11" i="13"/>
  <c r="E12" i="13"/>
  <c r="D12" i="13"/>
  <c r="E13" i="13"/>
  <c r="D13" i="13"/>
  <c r="E14" i="13"/>
  <c r="D14" i="13"/>
  <c r="D12" i="79"/>
  <c r="D9" i="79"/>
  <c r="D8" i="79"/>
  <c r="D7" i="79"/>
  <c r="B10" i="77"/>
  <c r="A10" i="77"/>
  <c r="B9" i="77"/>
  <c r="A9" i="77"/>
  <c r="B8" i="77"/>
  <c r="A8" i="77"/>
  <c r="C16" i="77" s="1"/>
  <c r="B7" i="77"/>
  <c r="A7" i="77"/>
  <c r="C15" i="77" s="1"/>
  <c r="B6" i="77"/>
  <c r="A6" i="77"/>
  <c r="C14" i="77" s="1"/>
  <c r="B5" i="77"/>
  <c r="A5" i="77"/>
  <c r="B3" i="77"/>
  <c r="B3" i="79" s="1"/>
  <c r="G11" i="74"/>
  <c r="G10" i="74"/>
  <c r="G9" i="74"/>
  <c r="G8" i="74"/>
  <c r="G7" i="74"/>
  <c r="P21" i="73"/>
  <c r="O21" i="73"/>
  <c r="P20" i="73"/>
  <c r="O20" i="73"/>
  <c r="P19" i="73"/>
  <c r="O19" i="73"/>
  <c r="C19" i="73"/>
  <c r="A19" i="73"/>
  <c r="W4" i="73" s="1"/>
  <c r="P18" i="73"/>
  <c r="O18" i="73"/>
  <c r="P17" i="73"/>
  <c r="O17" i="73"/>
  <c r="C17" i="73"/>
  <c r="A17" i="73"/>
  <c r="V4" i="73" s="1"/>
  <c r="B7" i="73"/>
  <c r="A7" i="73"/>
  <c r="B6" i="73"/>
  <c r="A6" i="73"/>
  <c r="C11" i="73" s="1"/>
  <c r="B5" i="73"/>
  <c r="A5" i="73"/>
  <c r="B3" i="73"/>
  <c r="B3" i="74" s="1"/>
  <c r="D10" i="72"/>
  <c r="D9" i="72"/>
  <c r="D8" i="72"/>
  <c r="D7" i="72"/>
  <c r="D6" i="72"/>
  <c r="G13" i="70"/>
  <c r="G12" i="70"/>
  <c r="G11" i="70"/>
  <c r="G10" i="70"/>
  <c r="G9" i="70"/>
  <c r="G8" i="70"/>
  <c r="G7" i="70"/>
  <c r="P24" i="69"/>
  <c r="O24" i="69"/>
  <c r="P23" i="69"/>
  <c r="O23" i="69"/>
  <c r="C23" i="69"/>
  <c r="A23" i="69"/>
  <c r="Z4" i="69" s="1"/>
  <c r="P22" i="69"/>
  <c r="O22" i="69"/>
  <c r="P21" i="69"/>
  <c r="O21" i="69"/>
  <c r="C21" i="69"/>
  <c r="A21" i="69"/>
  <c r="P20" i="69"/>
  <c r="O20" i="69"/>
  <c r="P19" i="69"/>
  <c r="O19" i="69"/>
  <c r="C19" i="69"/>
  <c r="A19" i="69"/>
  <c r="W4" i="69" s="1"/>
  <c r="P18" i="69"/>
  <c r="O18" i="69"/>
  <c r="C18" i="69"/>
  <c r="A18" i="69"/>
  <c r="C12" i="69"/>
  <c r="B6" i="69"/>
  <c r="A6" i="69"/>
  <c r="B5" i="69"/>
  <c r="A5" i="69"/>
  <c r="X4" i="69"/>
  <c r="V4" i="69"/>
  <c r="B3" i="69"/>
  <c r="B3" i="71" s="1"/>
  <c r="B32" i="67"/>
  <c r="B31" i="67"/>
  <c r="B30" i="67"/>
  <c r="B29" i="67"/>
  <c r="B28" i="67"/>
  <c r="B27" i="67"/>
  <c r="B26" i="67"/>
  <c r="B25" i="67"/>
  <c r="B24" i="67"/>
  <c r="B23" i="67"/>
  <c r="B22" i="67"/>
  <c r="B21" i="67"/>
  <c r="B20" i="67"/>
  <c r="B19" i="67"/>
  <c r="B18" i="67"/>
  <c r="B17" i="67"/>
  <c r="B16" i="67"/>
  <c r="B15" i="67"/>
  <c r="B14" i="67"/>
  <c r="B13" i="67"/>
  <c r="B12" i="67"/>
  <c r="B11" i="67"/>
  <c r="B10" i="67"/>
  <c r="B9" i="67"/>
  <c r="B8" i="67"/>
  <c r="P19" i="64"/>
  <c r="C19" i="64"/>
  <c r="B3" i="64"/>
  <c r="B3" i="66" s="1"/>
  <c r="G13" i="61"/>
  <c r="G12" i="61"/>
  <c r="G11" i="61"/>
  <c r="G10" i="61"/>
  <c r="G9" i="61"/>
  <c r="G8" i="61"/>
  <c r="G7" i="61"/>
  <c r="P24" i="60"/>
  <c r="O24" i="60"/>
  <c r="P23" i="60"/>
  <c r="O23" i="60"/>
  <c r="C23" i="60"/>
  <c r="A23" i="60"/>
  <c r="P22" i="60"/>
  <c r="O22" i="60"/>
  <c r="P21" i="60"/>
  <c r="O21" i="60"/>
  <c r="C21" i="60"/>
  <c r="A21" i="60"/>
  <c r="P20" i="60"/>
  <c r="O20" i="60"/>
  <c r="P19" i="60"/>
  <c r="O19" i="60"/>
  <c r="C19" i="60"/>
  <c r="A19" i="60"/>
  <c r="P18" i="60"/>
  <c r="O18" i="60"/>
  <c r="C18" i="60"/>
  <c r="A18" i="60"/>
  <c r="C12" i="60"/>
  <c r="B3" i="60"/>
  <c r="B3" i="62" s="1"/>
  <c r="B6" i="55"/>
  <c r="A6" i="55"/>
  <c r="C13" i="55" s="1"/>
  <c r="B5" i="55"/>
  <c r="A5" i="55"/>
  <c r="B3" i="55"/>
  <c r="B3" i="57" s="1"/>
  <c r="F9" i="54"/>
  <c r="F8" i="54"/>
  <c r="F7" i="54"/>
  <c r="F6" i="54"/>
  <c r="D8" i="53"/>
  <c r="B9" i="51"/>
  <c r="A9" i="51"/>
  <c r="B8" i="51"/>
  <c r="A8" i="51"/>
  <c r="B7" i="51"/>
  <c r="A7" i="51"/>
  <c r="B6" i="51"/>
  <c r="A6" i="51"/>
  <c r="C16" i="51" s="1"/>
  <c r="B5" i="51"/>
  <c r="A5" i="51"/>
  <c r="G21" i="50"/>
  <c r="G20" i="50"/>
  <c r="G19" i="50"/>
  <c r="G18" i="50"/>
  <c r="G17" i="50"/>
  <c r="G16" i="50"/>
  <c r="G15" i="50"/>
  <c r="G14" i="50"/>
  <c r="G13" i="50"/>
  <c r="G12" i="50"/>
  <c r="G11" i="50"/>
  <c r="G10" i="50"/>
  <c r="G9" i="50"/>
  <c r="G8" i="50"/>
  <c r="G7" i="50"/>
  <c r="G6" i="50"/>
  <c r="D12" i="49"/>
  <c r="D10" i="49"/>
  <c r="D9" i="49"/>
  <c r="D8" i="49"/>
  <c r="B9" i="47"/>
  <c r="A9" i="47"/>
  <c r="B8" i="47"/>
  <c r="A8" i="47"/>
  <c r="C17" i="47" s="1"/>
  <c r="B7" i="47"/>
  <c r="A7" i="47"/>
  <c r="B6" i="47"/>
  <c r="A6" i="47"/>
  <c r="C16" i="47" s="1"/>
  <c r="A5" i="47"/>
  <c r="B3" i="47"/>
  <c r="B3" i="49" s="1"/>
  <c r="I19" i="46"/>
  <c r="C19" i="46"/>
  <c r="I18" i="46"/>
  <c r="F18" i="26" s="1"/>
  <c r="C18" i="46"/>
  <c r="I17" i="46"/>
  <c r="F17" i="26" s="1"/>
  <c r="C17" i="46"/>
  <c r="I16" i="46"/>
  <c r="F16" i="26" s="1"/>
  <c r="C16" i="46"/>
  <c r="I15" i="46"/>
  <c r="F15" i="26" s="1"/>
  <c r="C15" i="46"/>
  <c r="I14" i="46"/>
  <c r="F14" i="26" s="1"/>
  <c r="C14" i="46"/>
  <c r="I13" i="46"/>
  <c r="C13" i="46"/>
  <c r="I12" i="46"/>
  <c r="C12" i="46"/>
  <c r="I11" i="46"/>
  <c r="F10" i="26" s="1"/>
  <c r="C11" i="46"/>
  <c r="I10" i="46"/>
  <c r="C10" i="46"/>
  <c r="I9" i="46"/>
  <c r="F11" i="18" s="1"/>
  <c r="C9" i="46"/>
  <c r="I8" i="46"/>
  <c r="C8" i="46"/>
  <c r="P18" i="43"/>
  <c r="C18" i="43"/>
  <c r="B3" i="43"/>
  <c r="B3" i="45" s="1"/>
  <c r="D16" i="41"/>
  <c r="D12" i="41"/>
  <c r="D11" i="41"/>
  <c r="D7" i="41"/>
  <c r="B3" i="39"/>
  <c r="B3" i="40" s="1"/>
  <c r="D10" i="37"/>
  <c r="D9" i="37"/>
  <c r="D8" i="37"/>
  <c r="D7" i="37"/>
  <c r="B5" i="35"/>
  <c r="A5" i="35"/>
  <c r="B17" i="34"/>
  <c r="B16" i="34"/>
  <c r="B15" i="34"/>
  <c r="B13" i="34"/>
  <c r="B12" i="34"/>
  <c r="B11" i="34"/>
  <c r="B10" i="34"/>
  <c r="B9" i="34"/>
  <c r="D5" i="33"/>
  <c r="B9" i="31"/>
  <c r="A9" i="31"/>
  <c r="B8" i="31"/>
  <c r="A8" i="31"/>
  <c r="B7" i="31"/>
  <c r="A7" i="31"/>
  <c r="C16" i="31" s="1"/>
  <c r="B6" i="31"/>
  <c r="A6" i="31"/>
  <c r="A5" i="31"/>
  <c r="D6" i="29"/>
  <c r="B9" i="27"/>
  <c r="A9" i="27"/>
  <c r="C15" i="27" s="1"/>
  <c r="B8" i="27"/>
  <c r="A8" i="27"/>
  <c r="C13" i="27" s="1"/>
  <c r="B7" i="27"/>
  <c r="A7" i="27"/>
  <c r="B6" i="27"/>
  <c r="A6" i="27"/>
  <c r="C12" i="27" s="1"/>
  <c r="B5" i="27"/>
  <c r="A5" i="27"/>
  <c r="B3" i="27"/>
  <c r="B3" i="29" s="1"/>
  <c r="D8" i="25"/>
  <c r="B10" i="23"/>
  <c r="A10" i="23"/>
  <c r="B9" i="23"/>
  <c r="A9" i="23"/>
  <c r="B8" i="23"/>
  <c r="A8" i="23"/>
  <c r="C18" i="23" s="1"/>
  <c r="B7" i="23"/>
  <c r="A7" i="23"/>
  <c r="B6" i="23"/>
  <c r="A6" i="23"/>
  <c r="C17" i="23" s="1"/>
  <c r="B5" i="23"/>
  <c r="A5" i="23"/>
  <c r="B3" i="23"/>
  <c r="B3" i="24" s="1"/>
  <c r="D7" i="21"/>
  <c r="D6" i="21"/>
  <c r="B9" i="19"/>
  <c r="A9" i="19"/>
  <c r="C13" i="19" s="1"/>
  <c r="B8" i="19"/>
  <c r="A8" i="19"/>
  <c r="B7" i="19"/>
  <c r="A7" i="19"/>
  <c r="B6" i="19"/>
  <c r="A6" i="19"/>
  <c r="C14" i="19" s="1"/>
  <c r="A5" i="19"/>
  <c r="B3" i="19"/>
  <c r="B3" i="21" s="1"/>
  <c r="D30" i="18"/>
  <c r="B30" i="18"/>
  <c r="D29" i="18"/>
  <c r="B29" i="18"/>
  <c r="D28" i="18"/>
  <c r="B28" i="18"/>
  <c r="D27" i="18"/>
  <c r="B27" i="18"/>
  <c r="D26" i="18"/>
  <c r="B26" i="18"/>
  <c r="D25" i="18"/>
  <c r="B25" i="18"/>
  <c r="D24" i="18"/>
  <c r="B24" i="18"/>
  <c r="D23" i="18"/>
  <c r="B23" i="18"/>
  <c r="D22" i="18"/>
  <c r="B22" i="18"/>
  <c r="D21" i="18"/>
  <c r="B21" i="18"/>
  <c r="D20" i="18"/>
  <c r="B20" i="18"/>
  <c r="D19" i="18"/>
  <c r="B19" i="18"/>
  <c r="D18" i="18"/>
  <c r="B18" i="18"/>
  <c r="D17" i="18"/>
  <c r="B17" i="18"/>
  <c r="F16" i="18"/>
  <c r="D16" i="18"/>
  <c r="B16" i="18"/>
  <c r="D15" i="18"/>
  <c r="B15" i="18"/>
  <c r="D14" i="18"/>
  <c r="B14" i="18"/>
  <c r="D13" i="18"/>
  <c r="B13" i="18"/>
  <c r="D12" i="18"/>
  <c r="B12" i="18"/>
  <c r="D11" i="18"/>
  <c r="B11" i="18"/>
  <c r="D10" i="18"/>
  <c r="B10" i="18"/>
  <c r="D9" i="18"/>
  <c r="B9" i="18"/>
  <c r="D8" i="18"/>
  <c r="B8" i="18"/>
  <c r="D7" i="18"/>
  <c r="B7" i="18"/>
  <c r="D6" i="18"/>
  <c r="B6" i="18"/>
  <c r="D15" i="17"/>
  <c r="D10" i="17"/>
  <c r="D7" i="17"/>
  <c r="D6" i="17"/>
  <c r="B11" i="15"/>
  <c r="A11" i="15"/>
  <c r="C17" i="15" s="1"/>
  <c r="B10" i="15"/>
  <c r="A10" i="15"/>
  <c r="C19" i="15" s="1"/>
  <c r="B9" i="15"/>
  <c r="A9" i="15"/>
  <c r="B8" i="15"/>
  <c r="A8" i="15"/>
  <c r="B7" i="15"/>
  <c r="A7" i="15"/>
  <c r="B6" i="15"/>
  <c r="A6" i="15"/>
  <c r="C18" i="15" s="1"/>
  <c r="B5" i="15"/>
  <c r="A5" i="15"/>
  <c r="H20" i="14"/>
  <c r="D20" i="14"/>
  <c r="B20" i="14"/>
  <c r="D21" i="34" s="1"/>
  <c r="B21" i="34" s="1"/>
  <c r="H19" i="14"/>
  <c r="D19" i="14"/>
  <c r="F27" i="38" s="1"/>
  <c r="E20" i="34" s="1"/>
  <c r="B19" i="14"/>
  <c r="D20" i="34" s="1"/>
  <c r="B20" i="34" s="1"/>
  <c r="H18" i="14"/>
  <c r="D18" i="14"/>
  <c r="B18" i="14"/>
  <c r="D19" i="34" s="1"/>
  <c r="B19" i="34" s="1"/>
  <c r="H17" i="14"/>
  <c r="D17" i="14"/>
  <c r="F25" i="38" s="1"/>
  <c r="E18" i="34" s="1"/>
  <c r="B17" i="14"/>
  <c r="D18" i="34" s="1"/>
  <c r="B18" i="34" s="1"/>
  <c r="H16" i="14"/>
  <c r="D16" i="14"/>
  <c r="F15" i="38" s="1"/>
  <c r="E15" i="34" s="1"/>
  <c r="B16" i="14"/>
  <c r="D15" i="34" s="1"/>
  <c r="G15" i="34" s="1"/>
  <c r="H15" i="14"/>
  <c r="D15" i="14"/>
  <c r="F14" i="38" s="1"/>
  <c r="E14" i="34" s="1"/>
  <c r="B15" i="14"/>
  <c r="D14" i="34" s="1"/>
  <c r="B14" i="34" s="1"/>
  <c r="H14" i="14"/>
  <c r="D14" i="14"/>
  <c r="F13" i="38" s="1"/>
  <c r="E13" i="34" s="1"/>
  <c r="B14" i="14"/>
  <c r="D13" i="34" s="1"/>
  <c r="G13" i="34" s="1"/>
  <c r="H13" i="14"/>
  <c r="D13" i="14"/>
  <c r="F12" i="38" s="1"/>
  <c r="E12" i="34" s="1"/>
  <c r="B13" i="14"/>
  <c r="D12" i="34" s="1"/>
  <c r="G12" i="34" s="1"/>
  <c r="H12" i="14"/>
  <c r="D12" i="14"/>
  <c r="B12" i="14"/>
  <c r="D11" i="34" s="1"/>
  <c r="G11" i="34" s="1"/>
  <c r="H11" i="14"/>
  <c r="D11" i="14"/>
  <c r="B11" i="14"/>
  <c r="D10" i="34" s="1"/>
  <c r="G10" i="34" s="1"/>
  <c r="H10" i="14"/>
  <c r="D10" i="14"/>
  <c r="B10" i="14"/>
  <c r="D9" i="34" s="1"/>
  <c r="G9" i="34" s="1"/>
  <c r="H9" i="14"/>
  <c r="D9" i="14"/>
  <c r="F8" i="38" s="1"/>
  <c r="E8" i="34" s="1"/>
  <c r="B9" i="14"/>
  <c r="D8" i="34" s="1"/>
  <c r="H8" i="34" s="1"/>
  <c r="I8" i="34" s="1"/>
  <c r="H8" i="14"/>
  <c r="D8" i="14"/>
  <c r="F7" i="38" s="1"/>
  <c r="E7" i="34" s="1"/>
  <c r="B8" i="14"/>
  <c r="D7" i="34" s="1"/>
  <c r="H7" i="34" s="1"/>
  <c r="I7" i="34" s="1"/>
  <c r="H7" i="14"/>
  <c r="D7" i="14"/>
  <c r="F6" i="38" s="1"/>
  <c r="E6" i="34" s="1"/>
  <c r="B7" i="14"/>
  <c r="D6" i="34" s="1"/>
  <c r="B6" i="34" s="1"/>
  <c r="F14" i="13"/>
  <c r="C14" i="13"/>
  <c r="F13" i="13"/>
  <c r="C13" i="13"/>
  <c r="F12" i="13"/>
  <c r="C12" i="13"/>
  <c r="F11" i="13"/>
  <c r="C11" i="13"/>
  <c r="F10" i="13"/>
  <c r="C10" i="13"/>
  <c r="F9" i="13"/>
  <c r="C9" i="13"/>
  <c r="F8" i="13"/>
  <c r="C8" i="13"/>
  <c r="F7" i="13"/>
  <c r="C7" i="13"/>
  <c r="F6" i="13"/>
  <c r="C6" i="13"/>
  <c r="D12" i="12"/>
  <c r="D9" i="12"/>
  <c r="D6" i="12"/>
  <c r="B9" i="10"/>
  <c r="A9" i="10"/>
  <c r="B8" i="10"/>
  <c r="A8" i="10"/>
  <c r="C13" i="10" s="1"/>
  <c r="B7" i="10"/>
  <c r="A7" i="10"/>
  <c r="B6" i="10"/>
  <c r="A6" i="10"/>
  <c r="C12" i="10" s="1"/>
  <c r="A5" i="10"/>
  <c r="B3" i="10"/>
  <c r="B14" i="9"/>
  <c r="F14" i="9" s="1"/>
  <c r="B13" i="9"/>
  <c r="F13" i="9" s="1"/>
  <c r="G18" i="14" s="1"/>
  <c r="I18" i="14" s="1"/>
  <c r="B12" i="9"/>
  <c r="F12" i="9" s="1"/>
  <c r="G17" i="14" s="1"/>
  <c r="F11" i="9"/>
  <c r="B11" i="9"/>
  <c r="B10" i="9"/>
  <c r="F10" i="9" s="1"/>
  <c r="G15" i="14" s="1"/>
  <c r="I15" i="14" s="1"/>
  <c r="B9" i="9"/>
  <c r="F9" i="9" s="1"/>
  <c r="G14" i="14" s="1"/>
  <c r="I14" i="14" s="1"/>
  <c r="B8" i="9"/>
  <c r="F8" i="9" s="1"/>
  <c r="B7" i="9"/>
  <c r="F7" i="9" s="1"/>
  <c r="B6" i="9"/>
  <c r="F6" i="9" s="1"/>
  <c r="G7" i="14" s="1"/>
  <c r="I7" i="14" s="1"/>
  <c r="D13" i="8"/>
  <c r="D9" i="8"/>
  <c r="D7" i="8"/>
  <c r="D6" i="8"/>
  <c r="I61" i="6"/>
  <c r="H61" i="6"/>
  <c r="I60" i="6"/>
  <c r="H60" i="6"/>
  <c r="H59" i="6"/>
  <c r="I59" i="6" s="1"/>
  <c r="I58" i="6"/>
  <c r="H58" i="6"/>
  <c r="I57" i="6"/>
  <c r="H57" i="6"/>
  <c r="I56" i="6"/>
  <c r="H56" i="6"/>
  <c r="H55" i="6"/>
  <c r="I55" i="6" s="1"/>
  <c r="H54" i="6"/>
  <c r="I54" i="6" s="1"/>
  <c r="B10" i="5"/>
  <c r="A10" i="5"/>
  <c r="C18" i="5" s="1"/>
  <c r="B9" i="5"/>
  <c r="A9" i="5"/>
  <c r="B8" i="5"/>
  <c r="A8" i="5"/>
  <c r="B7" i="5"/>
  <c r="A7" i="5"/>
  <c r="B6" i="5"/>
  <c r="A6" i="5"/>
  <c r="C17" i="5" s="1"/>
  <c r="B5" i="5"/>
  <c r="A5" i="5"/>
  <c r="B3" i="5"/>
  <c r="G8" i="4"/>
  <c r="D8" i="4"/>
  <c r="B8" i="4"/>
  <c r="H8" i="4" s="1"/>
  <c r="G7" i="4"/>
  <c r="D7" i="4"/>
  <c r="B7" i="4"/>
  <c r="F32" i="38"/>
  <c r="D32" i="38"/>
  <c r="C32" i="38"/>
  <c r="B32" i="38"/>
  <c r="F31" i="38"/>
  <c r="D31" i="38"/>
  <c r="C31" i="38"/>
  <c r="B31" i="38"/>
  <c r="D30" i="38"/>
  <c r="C30" i="38"/>
  <c r="B30" i="38"/>
  <c r="D29" i="38"/>
  <c r="C29" i="38"/>
  <c r="B29" i="38"/>
  <c r="F28" i="38"/>
  <c r="E21" i="34" s="1"/>
  <c r="D28" i="38"/>
  <c r="C28" i="38"/>
  <c r="B28" i="38"/>
  <c r="D27" i="38"/>
  <c r="C27" i="38"/>
  <c r="B27" i="38"/>
  <c r="F26" i="38"/>
  <c r="E19" i="34" s="1"/>
  <c r="D26" i="38"/>
  <c r="C26" i="38"/>
  <c r="B26" i="38"/>
  <c r="D25" i="38"/>
  <c r="C25" i="38"/>
  <c r="B25" i="38"/>
  <c r="F24" i="38"/>
  <c r="E17" i="34" s="1"/>
  <c r="D24" i="38"/>
  <c r="C24" i="38"/>
  <c r="B24" i="38"/>
  <c r="F23" i="38"/>
  <c r="E16" i="34" s="1"/>
  <c r="D23" i="38"/>
  <c r="C23" i="38"/>
  <c r="B23" i="38"/>
  <c r="F22" i="38"/>
  <c r="D22" i="38"/>
  <c r="C22" i="38"/>
  <c r="B22" i="38"/>
  <c r="F21" i="38"/>
  <c r="D21" i="38"/>
  <c r="C21" i="38"/>
  <c r="B21" i="38"/>
  <c r="F20" i="38"/>
  <c r="D20" i="38"/>
  <c r="C20" i="38"/>
  <c r="B20" i="38"/>
  <c r="F19" i="38"/>
  <c r="D19" i="38"/>
  <c r="C19" i="38"/>
  <c r="B19" i="38"/>
  <c r="F18" i="38"/>
  <c r="D18" i="38"/>
  <c r="C18" i="38"/>
  <c r="B18" i="38"/>
  <c r="D17" i="38"/>
  <c r="C17" i="38"/>
  <c r="B17" i="38"/>
  <c r="D16" i="38"/>
  <c r="C16" i="38"/>
  <c r="B16" i="38"/>
  <c r="D15" i="38"/>
  <c r="C15" i="38"/>
  <c r="B15" i="38"/>
  <c r="D14" i="38"/>
  <c r="C14" i="38"/>
  <c r="B14" i="38"/>
  <c r="D13" i="38"/>
  <c r="C13" i="38"/>
  <c r="B13" i="38"/>
  <c r="D12" i="38"/>
  <c r="C12" i="38"/>
  <c r="B12" i="38"/>
  <c r="F11" i="38"/>
  <c r="E11" i="34" s="1"/>
  <c r="D11" i="38"/>
  <c r="C11" i="38"/>
  <c r="B11" i="38"/>
  <c r="F10" i="38"/>
  <c r="E10" i="34" s="1"/>
  <c r="D10" i="38"/>
  <c r="C10" i="38"/>
  <c r="B10" i="38"/>
  <c r="F9" i="38"/>
  <c r="E9" i="34" s="1"/>
  <c r="D9" i="38"/>
  <c r="C9" i="38"/>
  <c r="B9" i="38"/>
  <c r="D8" i="38"/>
  <c r="C8" i="38"/>
  <c r="B8" i="38"/>
  <c r="D7" i="38"/>
  <c r="C7" i="38"/>
  <c r="B7" i="38"/>
  <c r="D6" i="38"/>
  <c r="C6" i="38"/>
  <c r="B6" i="38"/>
  <c r="B3" i="83" l="1"/>
  <c r="B3" i="86"/>
  <c r="B3" i="88"/>
  <c r="B3" i="91"/>
  <c r="C14" i="27"/>
  <c r="B3" i="53"/>
  <c r="B3" i="25"/>
  <c r="B3" i="65"/>
  <c r="G6" i="34"/>
  <c r="G18" i="34"/>
  <c r="G7" i="34"/>
  <c r="G19" i="34"/>
  <c r="B7" i="34"/>
  <c r="G14" i="34"/>
  <c r="G8" i="34"/>
  <c r="G20" i="34"/>
  <c r="B8" i="34"/>
  <c r="G21" i="34"/>
  <c r="F27" i="18"/>
  <c r="B3" i="48"/>
  <c r="F8" i="26"/>
  <c r="F17" i="18"/>
  <c r="F15" i="18"/>
  <c r="F13" i="18"/>
  <c r="G9" i="22"/>
  <c r="F29" i="18"/>
  <c r="F25" i="18"/>
  <c r="F8" i="18"/>
  <c r="F10" i="18"/>
  <c r="F7" i="18"/>
  <c r="F9" i="18"/>
  <c r="F6" i="18"/>
  <c r="G8" i="38"/>
  <c r="G22" i="38"/>
  <c r="F21" i="18"/>
  <c r="F9" i="26"/>
  <c r="F23" i="18"/>
  <c r="F18" i="18"/>
  <c r="F22" i="18"/>
  <c r="F20" i="18"/>
  <c r="F19" i="18"/>
  <c r="G8" i="22"/>
  <c r="H6" i="34"/>
  <c r="I6" i="34" s="1"/>
  <c r="F12" i="26"/>
  <c r="F26" i="18"/>
  <c r="H10" i="34"/>
  <c r="I10" i="34" s="1"/>
  <c r="G10" i="38" s="1"/>
  <c r="D17" i="34"/>
  <c r="G17" i="34" s="1"/>
  <c r="G21" i="38"/>
  <c r="F14" i="18"/>
  <c r="B3" i="78"/>
  <c r="H11" i="34"/>
  <c r="I11" i="34" s="1"/>
  <c r="I17" i="14"/>
  <c r="F30" i="18"/>
  <c r="B3" i="44"/>
  <c r="B3" i="56"/>
  <c r="G9" i="14"/>
  <c r="I9" i="14" s="1"/>
  <c r="G8" i="14"/>
  <c r="I8" i="14" s="1"/>
  <c r="B3" i="33"/>
  <c r="H13" i="34"/>
  <c r="I13" i="34" s="1"/>
  <c r="B3" i="12"/>
  <c r="B3" i="11"/>
  <c r="G11" i="38"/>
  <c r="G16" i="38"/>
  <c r="F29" i="38"/>
  <c r="F30" i="38" s="1"/>
  <c r="B3" i="7"/>
  <c r="B3" i="8"/>
  <c r="G12" i="14"/>
  <c r="I12" i="14" s="1"/>
  <c r="G11" i="14"/>
  <c r="I11" i="14" s="1"/>
  <c r="G16" i="14"/>
  <c r="I16" i="14" s="1"/>
  <c r="D16" i="34"/>
  <c r="G16" i="34" s="1"/>
  <c r="H7" i="4"/>
  <c r="G10" i="14"/>
  <c r="E12" i="9" s="1"/>
  <c r="G7" i="22"/>
  <c r="B11" i="13" s="1"/>
  <c r="G11" i="13" s="1"/>
  <c r="G13" i="14"/>
  <c r="I13" i="14" s="1"/>
  <c r="H15" i="34"/>
  <c r="I15" i="34" s="1"/>
  <c r="B3" i="17"/>
  <c r="B3" i="16"/>
  <c r="G7" i="38"/>
  <c r="B3" i="37"/>
  <c r="G20" i="14"/>
  <c r="I20" i="14" s="1"/>
  <c r="G6" i="38"/>
  <c r="G20" i="38"/>
  <c r="F16" i="38"/>
  <c r="F17" i="38" s="1"/>
  <c r="H9" i="34"/>
  <c r="I9" i="34" s="1"/>
  <c r="H20" i="34"/>
  <c r="I20" i="34" s="1"/>
  <c r="H21" i="34"/>
  <c r="I21" i="34" s="1"/>
  <c r="F14" i="30"/>
  <c r="F24" i="18"/>
  <c r="B3" i="20"/>
  <c r="H19" i="34"/>
  <c r="I19" i="34" s="1"/>
  <c r="E13" i="9"/>
  <c r="F12" i="18"/>
  <c r="F28" i="18"/>
  <c r="H12" i="34"/>
  <c r="I12" i="34" s="1"/>
  <c r="H14" i="34"/>
  <c r="I14" i="34" s="1"/>
  <c r="F7" i="26"/>
  <c r="B3" i="28"/>
  <c r="H17" i="34"/>
  <c r="I17" i="34" s="1"/>
  <c r="F19" i="26"/>
  <c r="G19" i="14"/>
  <c r="I19" i="14" s="1"/>
  <c r="F13" i="26"/>
  <c r="B3" i="41"/>
  <c r="B3" i="70"/>
  <c r="B3" i="61"/>
  <c r="F11" i="26"/>
  <c r="B3" i="75"/>
  <c r="G14" i="46" l="1" a="1"/>
  <c r="G14" i="46" s="1"/>
  <c r="E6" i="22" a="1"/>
  <c r="E6" i="22" s="1"/>
  <c r="F6" i="22" s="1"/>
  <c r="F6" i="76" s="1"/>
  <c r="E7" i="22" a="1"/>
  <c r="E7" i="22" s="1"/>
  <c r="F7" i="22" s="1"/>
  <c r="E9" i="22" a="1"/>
  <c r="E9" i="22" s="1"/>
  <c r="F9" i="22" s="1"/>
  <c r="F8" i="76" s="1"/>
  <c r="E8" i="22" a="1"/>
  <c r="E8" i="22" s="1"/>
  <c r="F8" i="22" s="1"/>
  <c r="G13" i="46" a="1"/>
  <c r="G13" i="46" s="1"/>
  <c r="E10" i="22" a="1"/>
  <c r="E10" i="22" s="1"/>
  <c r="F10" i="22" s="1"/>
  <c r="F9" i="76" s="1"/>
  <c r="G6" i="22"/>
  <c r="B9" i="13" s="1"/>
  <c r="G9" i="13" s="1"/>
  <c r="G9" i="46" a="1"/>
  <c r="G9" i="46" s="1"/>
  <c r="G19" i="46" a="1"/>
  <c r="G19" i="46" s="1"/>
  <c r="E10" i="9"/>
  <c r="F6" i="26"/>
  <c r="G8" i="46" a="1"/>
  <c r="G8" i="46" s="1"/>
  <c r="G10" i="22"/>
  <c r="F8" i="30"/>
  <c r="F13" i="30"/>
  <c r="G19" i="38"/>
  <c r="G15" i="46" a="1"/>
  <c r="G15" i="46" s="1"/>
  <c r="E14" i="9"/>
  <c r="G26" i="38"/>
  <c r="G31" i="38"/>
  <c r="E7" i="9"/>
  <c r="G12" i="38"/>
  <c r="F7" i="30"/>
  <c r="F10" i="30"/>
  <c r="G16" i="46" a="1"/>
  <c r="G16" i="46" s="1"/>
  <c r="G24" i="38"/>
  <c r="F11" i="30"/>
  <c r="F9" i="30"/>
  <c r="G18" i="38"/>
  <c r="G15" i="38"/>
  <c r="G14" i="38"/>
  <c r="F12" i="30"/>
  <c r="G11" i="46" a="1"/>
  <c r="G11" i="46" s="1"/>
  <c r="I10" i="14"/>
  <c r="E6" i="9"/>
  <c r="E9" i="9"/>
  <c r="G13" i="38"/>
  <c r="G17" i="38"/>
  <c r="G12" i="46" a="1"/>
  <c r="G12" i="46" s="1"/>
  <c r="G17" i="46" a="1"/>
  <c r="G17" i="46" s="1"/>
  <c r="H16" i="34"/>
  <c r="I16" i="34" s="1"/>
  <c r="H18" i="34"/>
  <c r="I18" i="34" s="1"/>
  <c r="E8" i="9"/>
  <c r="G18" i="46" a="1"/>
  <c r="G18" i="46" s="1"/>
  <c r="F6" i="30"/>
  <c r="G28" i="38"/>
  <c r="G30" i="38"/>
  <c r="G27" i="38"/>
  <c r="G32" i="38"/>
  <c r="G10" i="46" a="1"/>
  <c r="G10" i="46" s="1"/>
  <c r="E11" i="9"/>
  <c r="B6" i="13" l="1"/>
  <c r="G6" i="13" s="1"/>
  <c r="B10" i="13"/>
  <c r="G10" i="13" s="1"/>
  <c r="B7" i="13"/>
  <c r="G7" i="13" s="1"/>
  <c r="B8" i="13"/>
  <c r="G8" i="13" s="1"/>
  <c r="F7" i="76"/>
  <c r="G9" i="38"/>
  <c r="G23" i="38"/>
  <c r="B13" i="13"/>
  <c r="G13" i="13" s="1"/>
  <c r="B12" i="13"/>
  <c r="G12" i="13" s="1"/>
  <c r="B14" i="13"/>
  <c r="G14" i="13" s="1"/>
  <c r="G25" i="38"/>
  <c r="G29" i="38"/>
  <c r="F10" i="34" l="1"/>
  <c r="C10" i="34" s="1"/>
  <c r="F21" i="34"/>
  <c r="C21" i="34" s="1"/>
  <c r="F12" i="34"/>
  <c r="C12" i="34" s="1"/>
  <c r="F18" i="34"/>
  <c r="C18" i="34" s="1"/>
  <c r="F16" i="34"/>
  <c r="C16" i="34" s="1"/>
  <c r="F7" i="34"/>
  <c r="C7" i="34" s="1"/>
  <c r="F19" i="34"/>
  <c r="C19" i="34" s="1"/>
  <c r="F20" i="34"/>
  <c r="C20" i="34" s="1"/>
  <c r="F15" i="34"/>
  <c r="C15" i="34" s="1"/>
  <c r="F8" i="34"/>
  <c r="F11" i="34"/>
  <c r="F9" i="34"/>
  <c r="F14" i="34"/>
  <c r="C14" i="34" s="1"/>
  <c r="F6" i="34"/>
  <c r="F13" i="34"/>
  <c r="C13" i="34" s="1"/>
  <c r="F17" i="34"/>
  <c r="C17" i="34" s="1"/>
  <c r="B11" i="30" l="1"/>
  <c r="B14" i="30"/>
  <c r="B13" i="30"/>
  <c r="B7" i="30"/>
  <c r="B12" i="30"/>
  <c r="C9" i="34"/>
  <c r="B9" i="30"/>
  <c r="C11" i="34"/>
  <c r="B10" i="30"/>
  <c r="C8" i="34"/>
  <c r="B8" i="30"/>
  <c r="C6" i="34"/>
  <c r="B6"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H54" authorId="0" shapeId="0" xr:uid="{00000000-0006-0000-0500-000001000000}">
      <text>
        <r>
          <rPr>
            <sz val="10"/>
            <color rgb="FF000000"/>
            <rFont val="Arial"/>
            <scheme val="minor"/>
          </rPr>
          <t>Fórmula: si el origen es Cambio o Lote - cambio busca el código en la tabla Cambio; si es Compra, en Compra; si es Venta, en Venta. Devuelve el Id del documento.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<sst xmlns="http://schemas.openxmlformats.org/spreadsheetml/2006/main" count="6069" uniqueCount="1767">
  <si>
    <t>&lt;&lt;&lt;Modelo de Dominio</t>
  </si>
  <si>
    <t>&lt;&lt;&lt;Objetos de Dominio</t>
  </si>
  <si>
    <t>Identificador unico de cada movimiento: una entrada o salida concreta de un lote</t>
  </si>
  <si>
    <t>Fecha en la que se registra el movimiento de inventario, correspondiente al momento en que se realiza la entrada o salida sobre el lote.</t>
  </si>
  <si>
    <t>Codigo de la operacion (TipoMovimiento) que genero el movimiento; a traves de el se conoce la CategoriaOrigen y el documento de origen</t>
  </si>
  <si>
    <t>Clase de movimiento: Entrada (suma al inventario) o Salida (resta del inventario)</t>
  </si>
  <si>
    <t>Lote sobre el que se realizo la entrada o salida. Por el lote se conoce el producto interno y la unidad de medida</t>
  </si>
  <si>
    <t>Cantidad que entro o salio del lote, expresada en la unidad de medida del lote (kg, l o und)</t>
  </si>
  <si>
    <t>Tipo de dato</t>
  </si>
  <si>
    <t>Fecha</t>
  </si>
  <si>
    <t>TipoMovimiento</t>
  </si>
  <si>
    <t>ClaseMovimiento</t>
  </si>
  <si>
    <t>Lote</t>
  </si>
  <si>
    <t>Decimal Europeo</t>
  </si>
  <si>
    <t>Obligatorio</t>
  </si>
  <si>
    <t>Si</t>
  </si>
  <si>
    <t>Id</t>
  </si>
  <si>
    <t>FechaMovimiento</t>
  </si>
  <si>
    <t>CombinacionUnica</t>
  </si>
  <si>
    <t>Ir a Objetos de Dominio &gt;&gt;&gt;</t>
  </si>
  <si>
    <t>Nombre</t>
  </si>
  <si>
    <t>Descripcion</t>
  </si>
  <si>
    <t>Linea de vida</t>
  </si>
  <si>
    <t>Muestreo</t>
  </si>
  <si>
    <t xml:space="preserve">Eventos </t>
  </si>
  <si>
    <t xml:space="preserve">Politicas </t>
  </si>
  <si>
    <t>Son las personas o empresas que le venden a la pizzería los insumos que necesita para funcionar.</t>
  </si>
  <si>
    <t>Ir</t>
  </si>
  <si>
    <t>UnidadMedida</t>
  </si>
  <si>
    <t>Es la unidad con la que se mide cada ingrediente o producto, por ejemplo kilos, litros o unidades.</t>
  </si>
  <si>
    <t>TipoProducto</t>
  </si>
  <si>
    <t>Indica en qué categoría entra cada producto que vende la pizzería, por ejemplo si es una pizza, una bebida o una adición.</t>
  </si>
  <si>
    <t>Indica si un movimiento de inventario fue una entrada o una salida de insumos o productos.</t>
  </si>
  <si>
    <t>Son los distintos tamaños en los que la pizzería puede ofrecer una pizza.</t>
  </si>
  <si>
    <t>CategoriaOrigen</t>
  </si>
  <si>
    <t>Indica qué operación fue la que generó un movimiento de inventario: una compra, una venta, un cambio de un producto que no es perecedero, o el retiro de un lote (porque se cambió o porque se venció).</t>
  </si>
  <si>
    <t>Compra</t>
  </si>
  <si>
    <t>Es cuando la pizzería le compra insumos o productos a un proveedor.</t>
  </si>
  <si>
    <t>ProductoInterno</t>
  </si>
  <si>
    <t>Es cada insumo o producto que la pizzería compra y guarda en su inventario, sin importar si se usa para preparar algo o si se vende directamente al cliente.</t>
  </si>
  <si>
    <t>DetalleCompra</t>
  </si>
  <si>
    <t>Es cada uno de los productos o insumos que se compraron en una compra, con la cantidad de cada uno.</t>
  </si>
  <si>
    <t>Producto</t>
  </si>
  <si>
    <t>Son los productos que la pizzería vende, como las pizzas, las bebidas y las adiciones.</t>
  </si>
  <si>
    <t>Venta</t>
  </si>
  <si>
    <t>Es cuando un cliente compra productos en la pizzería.</t>
  </si>
  <si>
    <t>Es cada entrada o salida concreta de un lote, registrada en una fecha (FechaMovimiento). Lo genera una operación (TipoMovimiento), indica si suma o resta (ClaseMovimiento) y por el lote se sabe qué producto interno se movió. Si una operación usa varios lotes (FIFO), genera un movimiento por cada lote.</t>
  </si>
  <si>
    <t>HistoricoPrecio</t>
  </si>
  <si>
    <t>Aquí se guarda el registro de los precios que ha tenido cada producto a lo largo del tiempo, para poder ver cómo han cambiado.</t>
  </si>
  <si>
    <t>DetalleVenta</t>
  </si>
  <si>
    <t>Es cada uno de los productos que se vendieron en una venta, con la cantidad y el valor de cada uno.</t>
  </si>
  <si>
    <t>DetalleReceta</t>
  </si>
  <si>
    <t>Es cada uno de los ingredientes que se necesitan para preparar una receta, con la cantidad que se necesita de cada uno.</t>
  </si>
  <si>
    <t>Cambio</t>
  </si>
  <si>
    <t>Es cuando se retira un insumo que ya casi se vence y se cambia por otro que sí sirve, para que la pizzería siempre tenga insumos en buen estado.</t>
  </si>
  <si>
    <t>Es un grupo de unidades de un mismo insumo que llegó en una compra, y que se identifica para saber cuánto hay, cuándo llegó y poder rastrearlo dentro del inventario.</t>
  </si>
  <si>
    <t>Inventario</t>
  </si>
  <si>
    <t>Es la cantidad que hay disponible de cada insumo o producto que la pizzería necesita para trabajar y vender.</t>
  </si>
  <si>
    <t>ConsumoVenta</t>
  </si>
  <si>
    <t>Son los productos internos que se deben consumir por cada detalle de venta, según la receta del producto vendido. Cada consumo tiene su propio TipoMovimiento.</t>
  </si>
  <si>
    <t>SalidaLote</t>
  </si>
  <si>
    <t>Categorias de colores</t>
  </si>
  <si>
    <t xml:space="preserve">Descripciones </t>
  </si>
  <si>
    <t xml:space="preserve">Id's </t>
  </si>
  <si>
    <t>combinacion unica</t>
  </si>
  <si>
    <t>objeto</t>
  </si>
  <si>
    <t xml:space="preserve">Si es obligatorio o no el atributo </t>
  </si>
  <si>
    <t xml:space="preserve">Calculado </t>
  </si>
  <si>
    <t>Identificador unico de cada cambio registrado</t>
  </si>
  <si>
    <t>Producto interno que se cambia (siempre un producto no perecedero)</t>
  </si>
  <si>
    <t>Cantidad del producto que entra o sale por el cambio</t>
  </si>
  <si>
    <t>Unidad de medida en la que se registra la cantidad del cambio, debe ser valida para el tipo de producto</t>
  </si>
  <si>
    <t>Fecha de vencimiento del producto que entra por el cambio</t>
  </si>
  <si>
    <t>Fecha en la que se realiza el cambio</t>
  </si>
  <si>
    <t>Codigo de la operacion (TipoMovimiento) del cambio; con el se rastrean los movimientos que genero el cambio</t>
  </si>
  <si>
    <t>ProductoCambio</t>
  </si>
  <si>
    <t>Cantidad</t>
  </si>
  <si>
    <t>FechaVencimiento</t>
  </si>
  <si>
    <t>FechaCambio</t>
  </si>
  <si>
    <t>Descripción</t>
  </si>
  <si>
    <t>Nombre atributo</t>
  </si>
  <si>
    <t>Descripción atributo</t>
  </si>
  <si>
    <t>Identificador del objeto de dominio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</si>
  <si>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</si>
  <si>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</si>
  <si>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</si>
  <si>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</si>
  <si>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</si>
  <si>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</si>
  <si>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</si>
  <si>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</si>
  <si>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</si>
  <si>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</si>
  <si>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</si>
  <si>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</si>
  <si>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</si>
  <si>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</si>
  <si>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</si>
  <si>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</si>
  <si>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Identificador único universal</t>
  </si>
  <si>
    <t>No</t>
  </si>
  <si>
    <t>Requerido</t>
  </si>
  <si>
    <t>Tiene que ser un producto interno que ya exista y que no sea perecedero: solo los productos no perecederos se cambian; los perecederos simplemente se desechan y no generan un registro de Cambio.</t>
  </si>
  <si>
    <t>A la unidad (0)</t>
  </si>
  <si>
    <t>&gt;0</t>
  </si>
  <si>
    <t>La cantidad debe ser mayor a cero.</t>
  </si>
  <si>
    <t>Tiene que ser una unidad de medida que ya exista y que sea compatible con el tipo de producto que se esta cambiando.</t>
  </si>
  <si>
    <t>dd/mm/yyyy</t>
  </si>
  <si>
    <t>Fecha en la que se realiza el cambio.</t>
  </si>
  <si>
    <t>Nombre combinación única</t>
  </si>
  <si>
    <t>Atributos involucrados</t>
  </si>
  <si>
    <t>Combinación única 1</t>
  </si>
  <si>
    <t>No pueden existir dos cambios con el mismo ProductoCambio y la misma FechaCambio.</t>
  </si>
  <si>
    <t>Responsabilidad</t>
  </si>
  <si>
    <t>Entradas</t>
  </si>
  <si>
    <t>Salida</t>
  </si>
  <si>
    <t>Políticas (Reglas de Negocio)</t>
  </si>
  <si>
    <t>Excepción</t>
  </si>
  <si>
    <t>Parámetro</t>
  </si>
  <si>
    <t>Tipo de Dato</t>
  </si>
  <si>
    <t>Política</t>
  </si>
  <si>
    <t>Detalle</t>
  </si>
  <si>
    <t>¿Qué hago?</t>
  </si>
  <si>
    <t>Datos</t>
  </si>
  <si>
    <t>Informacion necesaria para registrar el cambio (producto, cantidad, unidad de medida, fecha de vencimiento del producto nuevo y fecha del cambio).</t>
  </si>
  <si>
    <t>Cambio registrado</t>
  </si>
  <si>
    <t>Los datos ingresados para registrar el cambio no son validos.</t>
  </si>
  <si>
    <t>Rechazar el registro e informar cual dato no es valido.</t>
  </si>
  <si>
    <t>El producto interno asociado al cambio no existe en el sistema.</t>
  </si>
  <si>
    <t>Rechazar el registro e informar que el producto interno no existe.</t>
  </si>
  <si>
    <t>El producto interno asociado al cambio es perecedero.</t>
  </si>
  <si>
    <t>Rechazar el registro e informar que un producto perecedero no se cambia, se desecha.</t>
  </si>
  <si>
    <t>La unidad de medida utilizada para el cambio no es valida.</t>
  </si>
  <si>
    <t>Rechazar el registro e informar que la unidad de medida no es valida.</t>
  </si>
  <si>
    <t>La fecha de vencimiento del producto de reemplazo no es posterior a la fecha del cambio.</t>
  </si>
  <si>
    <t>Rechazar el registro e informar que el producto de reemplazo llegaria ya vencido.</t>
  </si>
  <si>
    <t>Ya existe otro cambio registrado con el mismo producto y la misma fecha de cambio.</t>
  </si>
  <si>
    <t>Rechazar el registro e informar que ya existe un cambio igual registrado.</t>
  </si>
  <si>
    <t>El cambio se esta registrando sin que exista una alerta de vencimiento proximo emitida por Lote para el producto interno indicado.</t>
  </si>
  <si>
    <t>Rechazar el registro e informar que el cambio debe originarse a partir de una alerta de vencimiento.</t>
  </si>
  <si>
    <t xml:space="preserve">MovimientoInventario </t>
  </si>
  <si>
    <t>CodigoOperacion</t>
  </si>
  <si>
    <t>m-1</t>
  </si>
  <si>
    <t>m-2</t>
  </si>
  <si>
    <t>m-3</t>
  </si>
  <si>
    <t>Tipomovimiento</t>
  </si>
  <si>
    <t>damel</t>
  </si>
  <si>
    <t>cambio</t>
  </si>
  <si>
    <t>compra</t>
  </si>
  <si>
    <t>venta</t>
  </si>
  <si>
    <t xml:space="preserve">Compra </t>
  </si>
  <si>
    <t>com-01</t>
  </si>
  <si>
    <t>compra(2)</t>
  </si>
  <si>
    <t>com-02</t>
  </si>
  <si>
    <t>com-03</t>
  </si>
  <si>
    <t>cam-01</t>
  </si>
  <si>
    <t>cambio(1)</t>
  </si>
  <si>
    <t>cam-02</t>
  </si>
  <si>
    <t>cam-03</t>
  </si>
  <si>
    <t>Cómo se sabe de qué documento salió cada movimiento: el CÓDIGO DE OPERACIÓN</t>
  </si>
  <si>
    <t>1. Cada vez que se registra algo (un cambio, una compra, una venta), el sistema saca el SIGUIENTE código de operación (OP-01, OP-02, …).</t>
  </si>
  <si>
    <t>2. Ese mismo código se escribe en el documento (Cambio, Compra o Venta) y en TODOS los movimientos que ese documento genera.</t>
  </si>
  <si>
    <t>3. Para saber de dónde salió un movimiento: su ORIGEN dice en qué tabla buscar, y su CÓDIGO dice cuál fila exacta.</t>
  </si>
  <si>
    <t>Celdas amarillas = el código de operación (es lo que une todo).   Columna verde = se calcula sola con fórmula (BUSCAR el documento).</t>
  </si>
  <si>
    <t>Operación (el "rollo" de números)</t>
  </si>
  <si>
    <t>Código</t>
  </si>
  <si>
    <t>Tipo</t>
  </si>
  <si>
    <t>Insumo</t>
  </si>
  <si>
    <t>OP-01</t>
  </si>
  <si>
    <t>05/09/2026</t>
  </si>
  <si>
    <t>Aceite de oliva</t>
  </si>
  <si>
    <t>5 l</t>
  </si>
  <si>
    <t>OP-02</t>
  </si>
  <si>
    <t>09/09/2026</t>
  </si>
  <si>
    <t>Pepsi 400 ml</t>
  </si>
  <si>
    <t>24 und</t>
  </si>
  <si>
    <t>OP-03</t>
  </si>
  <si>
    <t>04/03/2026</t>
  </si>
  <si>
    <t>Cada cambio guarda SU código.</t>
  </si>
  <si>
    <t>OP-04</t>
  </si>
  <si>
    <t>02/05/2026</t>
  </si>
  <si>
    <t>OP-05</t>
  </si>
  <si>
    <t>03/09/2026</t>
  </si>
  <si>
    <t>Compra (renglón)</t>
  </si>
  <si>
    <t>Un número nuevo por cada registro; nunca se repite.</t>
  </si>
  <si>
    <t>Queso</t>
  </si>
  <si>
    <t>5.000 g</t>
  </si>
  <si>
    <t>Masa de pizza</t>
  </si>
  <si>
    <t>12.000 g</t>
  </si>
  <si>
    <t>Cada renglón de compra guarda SU código.</t>
  </si>
  <si>
    <t>Venta (renglón)</t>
  </si>
  <si>
    <t>dv-01</t>
  </si>
  <si>
    <t>Margarita Grande</t>
  </si>
  <si>
    <t>2</t>
  </si>
  <si>
    <t>Una venta descuenta varios insumos, todos con el mismo código.</t>
  </si>
  <si>
    <t>MovimientoInventario</t>
  </si>
  <si>
    <t>Origen</t>
  </si>
  <si>
    <t>Documento encontrado</t>
  </si>
  <si>
    <t>Cómo se encontró</t>
  </si>
  <si>
    <t>Lote - cambio</t>
  </si>
  <si>
    <t>Entrada</t>
  </si>
  <si>
    <t>m-4</t>
  </si>
  <si>
    <t>m-5</t>
  </si>
  <si>
    <t>m-6</t>
  </si>
  <si>
    <t>m-7</t>
  </si>
  <si>
    <t>400 g</t>
  </si>
  <si>
    <t>m-8</t>
  </si>
  <si>
    <t>200 g</t>
  </si>
  <si>
    <t>Ejemplo: m-3 tiene origen "Lote - cambio" → voy a Cambio → el único con OP-02 es cam-02. m-7 y m-8 tienen OP-05 → los dos salieron de la misma venta (dv-01).</t>
  </si>
  <si>
    <t>Objeto de Dominio:</t>
  </si>
  <si>
    <t>Descripción:</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</si>
  <si>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</si>
  <si>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</si>
  <si>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</si>
  <si>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</si>
  <si>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</si>
  <si>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</si>
  <si>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</si>
  <si>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</si>
  <si>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</si>
  <si>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</si>
  <si>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</si>
  <si>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</si>
  <si>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</si>
  <si>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</si>
  <si>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</si>
  <si>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</si>
  <si>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</si>
  <si>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Administrador</t>
  </si>
  <si>
    <t>Registrar cambio de producto</t>
  </si>
  <si>
    <t>Registrar el reemplazo de un producto proximo a vencer por uno nuevo, en respuesta a la alerta de vencimiento emitida por Lote, generando la salida del lote saliente y la entrada del nuevo lote en el inventario.</t>
  </si>
  <si>
    <t>Informacion del cambio</t>
  </si>
  <si>
    <t>Producto que se cambia, cantidad, unidad de medida, fecha de vencimiento del producto nuevo y fecha en la que se realiza el cambio.</t>
  </si>
  <si>
    <t>Objeto de Dominio</t>
  </si>
  <si>
    <t xml:space="preserve">Numero politica </t>
  </si>
  <si>
    <t>Descripcion Politica</t>
  </si>
  <si>
    <t xml:space="preserve">Objeto Responsable </t>
  </si>
  <si>
    <t xml:space="preserve">Regla Referenciada </t>
  </si>
  <si>
    <t>P-CAM-001</t>
  </si>
  <si>
    <t>Asegurar que los datos requeridos para registrar un cambio sean validos de acuerdo con el tipo de dato, obligatoriedad, formato y rango correspondiente.</t>
  </si>
  <si>
    <t>P-CAM-002</t>
  </si>
  <si>
    <t>Asegurar que el producto interno asociado al cambio exista en el sistema.</t>
  </si>
  <si>
    <t>P-CAM-003</t>
  </si>
  <si>
    <t>P-CAM-004</t>
  </si>
  <si>
    <t>P-CAM-005</t>
  </si>
  <si>
    <t>Asegurar que la unidad de medida utilizada para expresar la cantidad del cambio sea valida.</t>
  </si>
  <si>
    <t>P-CAM-006</t>
  </si>
  <si>
    <t>Asegurar que el producto de reemplazo que entra por el cambio no llegue ya vencido: su fecha de vencimiento tiene que ser posterior a la fecha en la que se registra el cambio, es decir, el dia en que efectivamente llega y se ingresa.</t>
  </si>
  <si>
    <t>P-CAM-007</t>
  </si>
  <si>
    <t>Asegurar que no exista otro cambio con el mismo ProductoCambio y la misma FechaCambio.</t>
  </si>
  <si>
    <t>P-CAM-008</t>
  </si>
  <si>
    <t>Asegurar que el cambio exista con el identificador indicado.</t>
  </si>
  <si>
    <t>P-CAM-009</t>
  </si>
  <si>
    <t>El registro de Cambio se realiza en respuesta a una alerta de vencimiento proximo emitida por Lote.</t>
  </si>
  <si>
    <t>ent</t>
  </si>
  <si>
    <t>&lt;&lt;&lt; Objetos de dominio</t>
  </si>
  <si>
    <t xml:space="preserve">Nombre del proveedor al que se le hizo la compra </t>
  </si>
  <si>
    <t>Representa la fecha en la que se efectuó la compra</t>
  </si>
  <si>
    <t>Número de factura que el proveedor entrega al momento de la compra.</t>
  </si>
  <si>
    <t xml:space="preserve">Representa el valor monetario total de los productos comprados al proveedor. </t>
  </si>
  <si>
    <t>Proveedor</t>
  </si>
  <si>
    <t>Decimal Europeo (2)</t>
  </si>
  <si>
    <t>FechaCompra</t>
  </si>
  <si>
    <t>NumeroFactura</t>
  </si>
  <si>
    <t>FE-1023</t>
  </si>
  <si>
    <t>FV-4587</t>
  </si>
  <si>
    <t>PO-9012</t>
  </si>
  <si>
    <t>FV-5102</t>
  </si>
  <si>
    <t>FE-1102</t>
  </si>
  <si>
    <t>CA-2201</t>
  </si>
  <si>
    <t>FE-1250</t>
  </si>
  <si>
    <t>CA-2310</t>
  </si>
  <si>
    <t>FE-1263</t>
  </si>
  <si>
    <t>No Modificable</t>
  </si>
  <si>
    <t>No Mostrar</t>
  </si>
  <si>
    <t xml:space="preserve">Debe corresponder a un Proveedor existente en el sistema </t>
  </si>
  <si>
    <t>No Requerido</t>
  </si>
  <si>
    <t>Modificable</t>
  </si>
  <si>
    <t>Mostrar</t>
  </si>
  <si>
    <t>La fecha no puede ser futura.</t>
  </si>
  <si>
    <t>Alfanumerico</t>
  </si>
  <si>
    <t>Dato real tomado de la factura fisica que entrega el proveedor, no es un codigo generado por el sistema.</t>
  </si>
  <si>
    <t>A la unidad(0)</t>
  </si>
  <si>
    <t>El valor total de una compra corresponde a la suma de los valores registrados en el atributo PrecioCompra de todos los DetalleCompra asociados a dicha compra.</t>
  </si>
  <si>
    <t xml:space="preserve">Si </t>
  </si>
  <si>
    <t>No pueden existir dos compras con el mismo Proveedor y el mismo numero de factura</t>
  </si>
  <si>
    <t>Información necesaria para registrar la compra.</t>
  </si>
  <si>
    <t>Compra registrada con la información proporcionada.</t>
  </si>
  <si>
    <t>Los datos ingresados para registrar la compra no son validos.</t>
  </si>
  <si>
    <t>El proveedor asociado a la compra no existe en el sistema.</t>
  </si>
  <si>
    <t>Rechazar el registro e informar que el proveedor no existe.</t>
  </si>
  <si>
    <t>Ya existe otra compra registrada con el mismo Proveedor y el mismo NumeroFactura.</t>
  </si>
  <si>
    <t>Rechazar el registro e informar que ya existe una compra igual registrada.</t>
  </si>
  <si>
    <t>El proveedor asociado a la compra se encuentra retirado o inactivo.</t>
  </si>
  <si>
    <t>Rechazar el registro e informar que el proveedor no esta disponible para nuevas compras.</t>
  </si>
  <si>
    <t>Identificador de la compra y datos que se desean modificar.</t>
  </si>
  <si>
    <t>Compra modificada correctamente.</t>
  </si>
  <si>
    <t>La compra no existe con el identificador indicado.</t>
  </si>
  <si>
    <t>Rechazar la modificación e informar que la compra no existe.</t>
  </si>
  <si>
    <t>UUID</t>
  </si>
  <si>
    <t>Identificador de la compra que se desea eliminar.</t>
  </si>
  <si>
    <t>Compra eliminada correctamente.</t>
  </si>
  <si>
    <t>La compra que se desea eliminar no existe.</t>
  </si>
  <si>
    <t>Rechazar la eliminacion e informar que la compra no existe.</t>
  </si>
  <si>
    <t>La compra tiene detalles de compra asociados que deben conservarse.</t>
  </si>
  <si>
    <t>Rechazar la eliminacion e informar que la compra tiene detalles asociados.</t>
  </si>
  <si>
    <t>Identificador que permite localizar la compra que se desea consultar.</t>
  </si>
  <si>
    <t>Información de la compra consultada.</t>
  </si>
  <si>
    <t>No existe una compra asociada al identificador indicado.</t>
  </si>
  <si>
    <t>Informar que la compra no existe y no retornar informacion.</t>
  </si>
  <si>
    <t>Registrar compra</t>
  </si>
  <si>
    <t>Registrar una nueva compra asociada a un proveedor y a la pizzería correspondiente, dejando constancia de la operación de adquisición.</t>
  </si>
  <si>
    <t>Información de la compra</t>
  </si>
  <si>
    <t>Datos necesarios para registrar la compra, como proveedor, pizzería, fecha y demás información requerida por la operación.</t>
  </si>
  <si>
    <t>Compra registrada</t>
  </si>
  <si>
    <t>Modificar compra</t>
  </si>
  <si>
    <t>Permite corregir la información de una compra existente antes de que tenga movimientos de inventario asociados.</t>
  </si>
  <si>
    <t>Compras registradas</t>
  </si>
  <si>
    <t>Permite identificar la compra existente y consultar su información actual antes de realizar la modificación.</t>
  </si>
  <si>
    <t>Compra modificada</t>
  </si>
  <si>
    <t>Eliminar compra</t>
  </si>
  <si>
    <t>Permite eliminar una compra que no tenga detalles de compra asociados que deban conservarse para mantener la trazabilidad.</t>
  </si>
  <si>
    <t>Permite identificar la compra existente antes de eliminarla.</t>
  </si>
  <si>
    <t>Compra eliminada</t>
  </si>
  <si>
    <t>Consultar compra</t>
  </si>
  <si>
    <t>Consultar la información registrada de una compra para conocer su proveedor, fecha, pizzería y los detalles asociados.</t>
  </si>
  <si>
    <t>Identificador o criterios necesarios para localizar la compra y consultar su información.</t>
  </si>
  <si>
    <t>Compra consultada</t>
  </si>
  <si>
    <t>P-COM-001</t>
  </si>
  <si>
    <t>Asegurar que los datos requeridos para registrar una compra sean válidos de acuerdo con el tipo de dato, obligatoriedad, formato y rango correspondiente.</t>
  </si>
  <si>
    <t>P-COM-002</t>
  </si>
  <si>
    <t>Asegurar que el proveedor asociado a la compra exista y se encuentre registrado en el sistema.</t>
  </si>
  <si>
    <t>P-COM-003</t>
  </si>
  <si>
    <t>Asegurar que la compra que se desea modificar se encuentre registrada en el sistema.</t>
  </si>
  <si>
    <t>P-COM-004</t>
  </si>
  <si>
    <t>Asegurar que la compra que se desea eliminar se encuentre registrada en el sistema.</t>
  </si>
  <si>
    <t>P-COM-005</t>
  </si>
  <si>
    <t>Asegurar que una compra no pueda eliminarse cuando tenga detalles de compra asociados que deban conservarse para mantener la trazabilidad de la adquisición.</t>
  </si>
  <si>
    <t>P-COM-006</t>
  </si>
  <si>
    <t>Asegurar que la compra exista con el identificador indicado</t>
  </si>
  <si>
    <t>P-COM-007</t>
  </si>
  <si>
    <t>Asegurar que no exista otra compra con el mismo Proveedor y el mismo NumeroFactura.</t>
  </si>
  <si>
    <t>P-COM-008</t>
  </si>
  <si>
    <t>Asegurar que el proveedor asociado a la compra no se encuentre retirado o inactivo al momento de registrar la compra.</t>
  </si>
  <si>
    <t>Identificador unico de cada consumo de venta</t>
  </si>
  <si>
    <t>Detalle de venta (renglon de la venta) que origina el consumo</t>
  </si>
  <si>
    <t>Producto interno que se debe consumir segun la receta del producto vendido</t>
  </si>
  <si>
    <t>Codigo de la operacion (TipoMovimiento) propio de este consumo; es el mismo que lleva su movimiento de salida</t>
  </si>
  <si>
    <t>si y</t>
  </si>
  <si>
    <t xml:space="preserve">Nombre del producto Interno </t>
  </si>
  <si>
    <t xml:space="preserve">Cantidad que se compro de un producto determinado </t>
  </si>
  <si>
    <t xml:space="preserve">Se ingresa la  unidad de medida en la que se hizo la compra , esta unidad de medida debe ser valida para el tipo de dato , por ejemplo si el producto es aceite de oliva , el va a ser de tipo volumen entonces puede estar en ml o l </t>
  </si>
  <si>
    <t xml:space="preserve">Valor monetario de cada producto </t>
  </si>
  <si>
    <t xml:space="preserve">Se ingresa la fecha de vencimiento del producto , en caso de que la traiga de lo contrario hay que calcular una vida util </t>
  </si>
  <si>
    <t>Codigo de la operacion (TipoMovimiento) propio de este detalle de compra; es el mismo que lleva su movimiento de entrada</t>
  </si>
  <si>
    <t xml:space="preserve">Producto interno </t>
  </si>
  <si>
    <t xml:space="preserve">Unidad de medida </t>
  </si>
  <si>
    <t>Decimal Europeo(2)</t>
  </si>
  <si>
    <t xml:space="preserve">Fecha </t>
  </si>
  <si>
    <t>PrecioCompra</t>
  </si>
  <si>
    <t>01/01/1000</t>
  </si>
  <si>
    <t xml:space="preserve"> Debe corresponder a un ProductoInterno existente .</t>
  </si>
  <si>
    <t>Debe corresponder a una UnidadMedida válida y compatible con el tipo de producto comprado. DetalleCompra permite registrar la cantidad en distintas unidades de medida compatibles; al momento de ingresar al inventario, la cantidad se convierte a una unidad estandar, y es esa cantidad estandar la que almacena y controla el Lote.</t>
  </si>
  <si>
    <t>&gt;=0</t>
  </si>
  <si>
    <t xml:space="preserve">Solo se ingresa un valor real cuando el producto interno es no perecedero ,si el producto interno es perecedero, no se ingresa ningun valor real y el sistema deja el valor por defecto, ya que su fecha de vencimiento se calcula despues en Lote </t>
  </si>
  <si>
    <t xml:space="preserve"> Indica a qué compra pertenece este detalle.</t>
  </si>
  <si>
    <t>Combinacion unica de la linea de compra: la compra a la que pertenece, el producto interno y su fecha de vencimiento (si el producto es perecedero, esta ultima siempre sera la misma para todos, por lo que no puede repetirse el mismo producto sin una fecha real que lo distinga)</t>
  </si>
  <si>
    <t>Información necesaria para registrar el detalle de la compra.</t>
  </si>
  <si>
    <t>Detalle de compra registrado con la información proporcionada.</t>
  </si>
  <si>
    <t>Los datos ingresados para registrar el detalle de compra no son validos.</t>
  </si>
  <si>
    <t>La compra a la que pertenece el detalle de compra no existe en el sistema.</t>
  </si>
  <si>
    <t>Rechazar el registro e informar que la compra no existe.</t>
  </si>
  <si>
    <t>El producto interno asociado al detalle de compra no existe en el sistema.</t>
  </si>
  <si>
    <t>Se registro una fecha de vencimiento real para un producto interno perecedero, o no se registro para uno no perecedero cuando si debia.</t>
  </si>
  <si>
    <t>Rechazar el registro e informar la inconsistencia con la fecha de vencimiento.</t>
  </si>
  <si>
    <t>La unidad de medida utilizada para el detalle de compra no es valida.</t>
  </si>
  <si>
    <t>El mismo producto interno ya esta registrado dentro de la misma compra con la misma fecha de vencimiento.</t>
  </si>
  <si>
    <t>Rechazar el registro e informar que el producto interno ya esta registrado en esa compra.</t>
  </si>
  <si>
    <t>Identificador del detalle y datos que se desean modificar.</t>
  </si>
  <si>
    <t>Detalle de compra actualizado con la información proporcionada.</t>
  </si>
  <si>
    <t>El detalle de compra que se desea modificar no existe.</t>
  </si>
  <si>
    <t>Rechazar la modificación e informar que el detalle de compra no existe.</t>
  </si>
  <si>
    <t>Identificador del detalle de compra que se desea eliminar.</t>
  </si>
  <si>
    <t>Detalle de compra eliminado correctamente.</t>
  </si>
  <si>
    <t>El detalle de compra que se desea eliminar no existe.</t>
  </si>
  <si>
    <t>Rechazar la eliminacion e informar que el detalle de compra no existe.</t>
  </si>
  <si>
    <t>El detalle de compra ya genero un lote asociado que debe conservarse.</t>
  </si>
  <si>
    <t>Rechazar la eliminacion e informar que el detalle de compra tiene un lote asociado.</t>
  </si>
  <si>
    <t>Registrar detalle de compra</t>
  </si>
  <si>
    <t>Registrar un producto adquirido dentro de una compra, indicando la cantidad, unidad de medida, precio de compra y, cuando corresponda, su fecha de vencimiento.</t>
  </si>
  <si>
    <t>Información del detalle de compra</t>
  </si>
  <si>
    <t>Producto adquirido, cantidad, unidad de medida, precio de compra, fecha de vencimiento y compra a la que pertenece.</t>
  </si>
  <si>
    <t>Detalle de compra registrado</t>
  </si>
  <si>
    <t>Modificar detalle de compra</t>
  </si>
  <si>
    <t>Actualizar la información de un detalle de compra existente sin comprometer la trazabilidad de los movimientos de inventario ya generados.</t>
  </si>
  <si>
    <t>Identificador del detalle y nuevos datos necesarios para realizar la modificación.</t>
  </si>
  <si>
    <t>Detalle de compra modificado</t>
  </si>
  <si>
    <t>Eliminar detalle de compra</t>
  </si>
  <si>
    <t>Permite eliminar un detalle de compra que no haya generado un lote asociado que deba conservarse para mantener la trazabilidad.</t>
  </si>
  <si>
    <t>Permite identificar el detalle de compra existente antes de eliminarlo.</t>
  </si>
  <si>
    <t>Detalle de compra eliminado</t>
  </si>
  <si>
    <t>P-DC-001</t>
  </si>
  <si>
    <t>Asegurar que los datos requeridos para registrar un detalle de compra sean válidos de acuerdo con el tipo de dato, obligatoriedad, formato y rango correspondiente.</t>
  </si>
  <si>
    <t>P-DC-002</t>
  </si>
  <si>
    <t>Asegurar que la compra a la que pertenece el detalle de compra exista en el sistema.</t>
  </si>
  <si>
    <t>P-DC-003</t>
  </si>
  <si>
    <t>Asegurar que el producto interno asociado al detalle de compra exista en el sistema.</t>
  </si>
  <si>
    <t>P-DC-004</t>
  </si>
  <si>
    <t>Asegurar que la fecha de vencimiento del detalle de compra solo tenga un valor real cuando el producto interno sea no perecedero; si es perecedero, debe quedar en el valor por defecto (01/01/1000), ya que su vencimiento se calcula en Lote.</t>
  </si>
  <si>
    <t>P-DC-005</t>
  </si>
  <si>
    <t>P-DC-006</t>
  </si>
  <si>
    <t>Asegurar que la unidad de medida utilizada para expresar la cantidad del detalle de compra sea válida.</t>
  </si>
  <si>
    <t>P-DC-007</t>
  </si>
  <si>
    <t>Asegurar que el detalle de compra que se desea modificar se encuentre registrado en el sistema.</t>
  </si>
  <si>
    <t>P-DC-008</t>
  </si>
  <si>
    <t>Asegurar que el detalle de compra que se desea eliminar se encuentre registrado en el sistema.</t>
  </si>
  <si>
    <t>P-DC-009</t>
  </si>
  <si>
    <t>Asegurar que un mismo producto interno no se repita dentro de una misma compra, salvo que tenga una fecha de vencimiento real distinta (aplicable unicamente a productos no perecederos, ya que un perecedero nunca trae fecha de vencimiento propia).</t>
  </si>
  <si>
    <t>P-DC-010</t>
  </si>
  <si>
    <t>Asegurar que el detalle de compra exista con el identificador indicado</t>
  </si>
  <si>
    <t>P-DC-011</t>
  </si>
  <si>
    <t>Asegurar que un detalle de compra no pueda eliminarse cuando ya haya generado un lote asociado que deba conservarse para mantener la trazabilidad.</t>
  </si>
  <si>
    <t>Producto interno que se utiliza en la receta</t>
  </si>
  <si>
    <t>Cantidad del producto interno</t>
  </si>
  <si>
    <t>Producto (Pizza o Adicion) al que pertenece esta linea de receta</t>
  </si>
  <si>
    <t>id</t>
  </si>
  <si>
    <t>Tiene que ser un ingrediente (producto interno) que ya exista.</t>
  </si>
  <si>
    <t>Tiene que ser un producto que ya exista, y ese producto tiene que ser una pizza o una adicion: las bebidas no tienen receta en este negocio</t>
  </si>
  <si>
    <t>Un mismo ProductoInterno no puede repetirse dentro de la misma receta (mismo Producto).</t>
  </si>
  <si>
    <t>Información necesaria para incorporar el ingrediente a la receta.</t>
  </si>
  <si>
    <t>Detalle de receta registrado con el ingrediente, cantidad, unidad de medida y receta correspondientes.</t>
  </si>
  <si>
    <t>Los datos ingresados para registrar el detalle de receta no son validos.</t>
  </si>
  <si>
    <t>El producto (pizza o adicion) al que pertenece el detalle de receta no existe.</t>
  </si>
  <si>
    <t>Rechazar el registro e informar que el producto no existe.</t>
  </si>
  <si>
    <t>El producto interno que se quiere asociar al detalle de receta no existe.</t>
  </si>
  <si>
    <t>El producto interno ya se encuentra registrado dentro de la misma receta.</t>
  </si>
  <si>
    <t>Rechazar el registro e informar que el producto interno ya esta en la receta.</t>
  </si>
  <si>
    <t>El producto asociado al detalle de receta no es una pizza ni una adicion.</t>
  </si>
  <si>
    <t>Rechazar el registro e informar que solo las pizzas y adiciones tienen receta.</t>
  </si>
  <si>
    <t>Identificador del detalle y nueva información necesaria para modificar la cantidad.</t>
  </si>
  <si>
    <t>Detalle de receta actualizado con la nueva cantidad.</t>
  </si>
  <si>
    <t>El detalle de receta que se desea actualizar no existe.</t>
  </si>
  <si>
    <t>Rechazar la actualizacion e informar que el detalle de receta no existe.</t>
  </si>
  <si>
    <t>Identificador del detalle de receta que se desea retirar.</t>
  </si>
  <si>
    <t>Detalle de receta retirado de la composición.</t>
  </si>
  <si>
    <t>El detalle de receta no existe con el identificador indicado.</t>
  </si>
  <si>
    <t>Rechazar el retiro e informar que el detalle de receta no existe.</t>
  </si>
  <si>
    <t>Agregar ingrediente a receta</t>
  </si>
  <si>
    <t>Permite incorporar un ingrediente a la composición de una receta indicando la cantidad necesaria para su elaboración.</t>
  </si>
  <si>
    <t>Receta, ingredientes, unidades de medida, detalles actuales de la receta</t>
  </si>
  <si>
    <t>Permite identificar la receta, seleccionar un ingrediente válido y verificar su composición actual antes de incorporarlo.</t>
  </si>
  <si>
    <t>Ingrediente incorporado a receta</t>
  </si>
  <si>
    <t>Modificar cantidad de ingrediente</t>
  </si>
  <si>
    <t>Permite ajustar la cantidad de un ingrediente requerida para la elaboración de una receta.</t>
  </si>
  <si>
    <t>Detalle de receta, ingrediente, cantidad actual</t>
  </si>
  <si>
    <t>Permite identificar el ingrediente y conocer la cantidad actualmente definida para establecer la nueva cantidad.</t>
  </si>
  <si>
    <t>Cantidad requerida de ingrediente actualizada</t>
  </si>
  <si>
    <t>Retirar ingrediente de receta</t>
  </si>
  <si>
    <t>Permite retirar un ingrediente de la composición de una receta cuando deja de ser requerido para su elaboración.</t>
  </si>
  <si>
    <t>Detalle actual de la receta, ingrediente</t>
  </si>
  <si>
    <t>Permite identificar el ingrediente que será retirado de la composición.</t>
  </si>
  <si>
    <t>Ingrediente retirado de receta</t>
  </si>
  <si>
    <t>P-DR-001</t>
  </si>
  <si>
    <t>Asegurar que los datos requeridos para registrar un detalle de receta sean válidos de acuerdo con el tipo de dato, obligatoriedad, formato y rango correspondiente.</t>
  </si>
  <si>
    <t>P-DR-002</t>
  </si>
  <si>
    <t>Asegurar que el producto (pizza o adicion) al que pertenece este detalle de receta exista en el sistema.</t>
  </si>
  <si>
    <t>P-DR-003</t>
  </si>
  <si>
    <t>Asegurar que el producto interno que se asociará al detalle de receta exista en el sistema.</t>
  </si>
  <si>
    <t>P-DR-004</t>
  </si>
  <si>
    <t>P-DR-005</t>
  </si>
  <si>
    <t>P-DR-006</t>
  </si>
  <si>
    <t>Asegurar que un producto interno no se encuentre registrado más de una vez dentro de la misma receta.</t>
  </si>
  <si>
    <t>P-DR-007</t>
  </si>
  <si>
    <t>Asegurar que el detalle de receta que se desea modificar se encuentre registrado en el sistema.</t>
  </si>
  <si>
    <t>P-DR-008</t>
  </si>
  <si>
    <t>Asegurar que el detalle de receta exista con el identificador indicado</t>
  </si>
  <si>
    <t>P-DR-009</t>
  </si>
  <si>
    <t>Asegurar que el producto asociado al detalle de receta sea una pizza o una adicion: las bebidas no tienen receta, porque no se elaboran, se compran y se venden directamente.</t>
  </si>
  <si>
    <t>Identificador unico del detalle  venta dentro de la pizzeria</t>
  </si>
  <si>
    <t xml:space="preserve">Cantidad del producto que pide el cliente </t>
  </si>
  <si>
    <t>Producto  que ofrece la pizzeria</t>
  </si>
  <si>
    <t xml:space="preserve">Precio de cada producto </t>
  </si>
  <si>
    <t xml:space="preserve">Por cada cantidad que pide el cliente de un producto se calcula un total </t>
  </si>
  <si>
    <t>Entero</t>
  </si>
  <si>
    <t>Subtotal</t>
  </si>
  <si>
    <t>Identificador unico universal</t>
  </si>
  <si>
    <t xml:space="preserve"> Debe corresponder a una Venta existente.</t>
  </si>
  <si>
    <t>Debe corresponder a un Producto existente.</t>
  </si>
  <si>
    <t xml:space="preserve">Debe calcularse siempre como cantidad pedida por el cliente de ese producto por el precio del producto </t>
  </si>
  <si>
    <t>Un mismo Producto no se puede repetir dentro de la misma Venta.</t>
  </si>
  <si>
    <t>Información necesaria para incorporar el producto a la venta.</t>
  </si>
  <si>
    <t>Detalle de venta creado con el producto, cantidad, precio y subtotal correspondientes.</t>
  </si>
  <si>
    <t>La informacion del detalle de venta no es valida o esta incompleta.</t>
  </si>
  <si>
    <t>Rechazar la operacion e informar la informacion invalida o faltante.</t>
  </si>
  <si>
    <t>El precio registrado no corresponde al precio vigente del producto en el momento de la venta.</t>
  </si>
  <si>
    <t>Rechazar la operacion e informar que el precio no es valido.</t>
  </si>
  <si>
    <t>Detalle de venta actualizado con la nueva cantidad y el subtotal recalculado.</t>
  </si>
  <si>
    <t>El detalle de venta que se pretende modificar no existe.</t>
  </si>
  <si>
    <t>Rechazar la modificacion e informar que el detalle de venta no existe.</t>
  </si>
  <si>
    <t>Rechazar la confirmacion e informar que no hay disponibilidad suficiente en el inventario.</t>
  </si>
  <si>
    <t>Agregar producto a venta</t>
  </si>
  <si>
    <t xml:space="preserve">Permite incorporar a la venta un producto solicitado </t>
  </si>
  <si>
    <t>Productos disponibles, precio vigente</t>
  </si>
  <si>
    <t>Permite seleccionar un producto válido y obtener el precio que corresponde al momento de la venta.</t>
  </si>
  <si>
    <t>Modificar cantidad de producto</t>
  </si>
  <si>
    <t xml:space="preserve">Permite ajustar la cantidad de un producto incluido en la venta </t>
  </si>
  <si>
    <t>Detalles actuales de la venta</t>
  </si>
  <si>
    <t>Permite consultar la información existente del detalle antes de realizar la modificación.</t>
  </si>
  <si>
    <t>Cantidad de producto modificada</t>
  </si>
  <si>
    <t>Sistema</t>
  </si>
  <si>
    <t>P-DV-001</t>
  </si>
  <si>
    <t>Todo detalle de venta debe contar con la información necesaria para identificar el producto, la cantidad y el valor de la venta.</t>
  </si>
  <si>
    <t>P-DV-002</t>
  </si>
  <si>
    <t>P-DV-003</t>
  </si>
  <si>
    <t>P-DV-004</t>
  </si>
  <si>
    <t>El precio registrado en el detalle de venta debe ser válido para el producto vendido en el momento de realizar la venta.</t>
  </si>
  <si>
    <t>P-DV-005</t>
  </si>
  <si>
    <t>La venta a la que pertenece el detalle debe existir.</t>
  </si>
  <si>
    <t>P-DV-006</t>
  </si>
  <si>
    <t>No deben existir dos detalles que representen el mismo producto dentro de una misma venta; si se requiere más cantidad, debe actualizarse la cantidad del detalle existente.</t>
  </si>
  <si>
    <t>P-DV-007</t>
  </si>
  <si>
    <t>El detalle de venta que se pretenda modificar debe existir.</t>
  </si>
  <si>
    <t>P-DV-008</t>
  </si>
  <si>
    <t>El detalle de venta que se pretenda eliminar debe existir.</t>
  </si>
  <si>
    <t>P-DV-009</t>
  </si>
  <si>
    <t>Un detalle de una venta confirmada no puede ser modificado ni eliminado.</t>
  </si>
  <si>
    <t>P-DV-010</t>
  </si>
  <si>
    <t>La cantidad vendida de un producto debe ser compatible con la disponibilidad de inventario cuando la venta sea confirmada.</t>
  </si>
  <si>
    <t>P-DV-011</t>
  </si>
  <si>
    <t>P-DV-012</t>
  </si>
  <si>
    <t>Asegurar que el detalle de la venta exista con el identificador indicado</t>
  </si>
  <si>
    <t xml:space="preserve">Representa el identificador único de cada historico de precio </t>
  </si>
  <si>
    <t>Producto al cual se le realizo un cambio de precio</t>
  </si>
  <si>
    <t xml:space="preserve">Precio correpondiente a un producto </t>
  </si>
  <si>
    <t>Fecha en la que se dio inicio a el precio de un prodcuto , ya sea que en esta fecha se ingreso por primera vez el producto o en esta fecha se inicio el nuevo precio de un producto</t>
  </si>
  <si>
    <t xml:space="preserve">Fecha en la que finaliza ese precio en especifico </t>
  </si>
  <si>
    <t>Precio</t>
  </si>
  <si>
    <t>FechaInicio</t>
  </si>
  <si>
    <t>FechaFin</t>
  </si>
  <si>
    <t>Debe corresponder a un producto existente en la pizzería.</t>
  </si>
  <si>
    <t>Representa la fecha desde la cual rige este precio para el producto.</t>
  </si>
  <si>
    <t>A un único producto le corresponde una única fecha de inicio, que es en la que se actualizó el precio.</t>
  </si>
  <si>
    <t>HistóricoPrecio</t>
  </si>
  <si>
    <t>Información necesaria para registrar el nuevo precio y su período de vigencia, conservando el precio anterior como parte del historial.</t>
  </si>
  <si>
    <t>Registro del nuevo precio con su período de vigencia, y el precio anterior conservado en el historial.</t>
  </si>
  <si>
    <t>Los datos ingresados para registrar el nuevo precio no son validos.</t>
  </si>
  <si>
    <t>El producto al que se asocia el nuevo precio no existe.</t>
  </si>
  <si>
    <t>La fecha de inicio de vigencia del precio no es valida.</t>
  </si>
  <si>
    <t>Rechazar el registro e informar que la fecha de inicio no es valida.</t>
  </si>
  <si>
    <t>El nuevo periodo de vigencia se superpone con otro periodo vigente del mismo producto.</t>
  </si>
  <si>
    <t>Rechazar el registro e informar la superposicion de periodos.</t>
  </si>
  <si>
    <t>Ya existe un precio vigente para el producto en este momento.</t>
  </si>
  <si>
    <t>Rechazar el registro e informar que ya existe un precio vigente para ese producto.</t>
  </si>
  <si>
    <t>Registrar precio</t>
  </si>
  <si>
    <t>Permite establecer un nuevo precio para un producto, iniciando su nuevo período de vigencia y conservando el precio anterior para mantener la trazabilidad.</t>
  </si>
  <si>
    <t>Producto, precios registrados</t>
  </si>
  <si>
    <t>Permite consultar el producto y su historial de precios para determinar el precio vigente y establecer el nuevo período de vigencia sin generar períodos superpuestos.</t>
  </si>
  <si>
    <t>Precio registrado</t>
  </si>
  <si>
    <t>¿El precio inicial debe registrarse obligatoriamente antes de que un producto pueda venderse?</t>
  </si>
  <si>
    <t>P-HP-001</t>
  </si>
  <si>
    <t>Todo registro de histórico de precio debe contar con la información necesaria para identificar el producto, el precio y el periodo de vigencia.</t>
  </si>
  <si>
    <t>P-HP-002</t>
  </si>
  <si>
    <t>El producto al que se asocia un histórico de precio debe existir.</t>
  </si>
  <si>
    <t>P-HP-003</t>
  </si>
  <si>
    <t>P-HP-004</t>
  </si>
  <si>
    <t>La fecha de inicio de vigencia del precio debe ser válida.</t>
  </si>
  <si>
    <t>P-HP-005</t>
  </si>
  <si>
    <t>P-HP-006</t>
  </si>
  <si>
    <t>No deben existir dos registros de precio del mismo producto con periodos de vigencia superpuestos.</t>
  </si>
  <si>
    <t>P-HP-007</t>
  </si>
  <si>
    <t>Solo puede existir un precio vigente para un producto en un momento determinado.</t>
  </si>
  <si>
    <t>P-HP-008</t>
  </si>
  <si>
    <t>P-HP-009</t>
  </si>
  <si>
    <t>El precio aplicado en una venta debe corresponder al precio vigente del producto en el momento de realizar la venta.</t>
  </si>
  <si>
    <t>P-HP-010</t>
  </si>
  <si>
    <t>Un registro histórico de precio asociado a una venta realizada no debe eliminarse ni modificarse de manera que se pierda la trazabilidad del precio aplicado.</t>
  </si>
  <si>
    <t>P-HP-011</t>
  </si>
  <si>
    <t>bu</t>
  </si>
  <si>
    <t>Cantidad Total del producto</t>
  </si>
  <si>
    <t>Unidad de medida que se maneja en el inventario</t>
  </si>
  <si>
    <t xml:space="preserve">Cantidad minima de cada producto interno que debe haber en el inventario, expresada en la misma unidad de medida de inventario </t>
  </si>
  <si>
    <t>CantidadTotal</t>
  </si>
  <si>
    <t>Sí</t>
  </si>
  <si>
    <t>Es la suma de lo que queda disponible en todos los lotes de ese producto</t>
  </si>
  <si>
    <t>Se toma del lote, queda determinada por el tipo de medida del producto (Peso, Volumen o Unidad).</t>
  </si>
  <si>
    <t>No pueden existir dos registros de inventario para el mismo producto.</t>
  </si>
  <si>
    <t>Información del movimiento que permite determinar la variación que debe reflejarse en la existencia del inventario.</t>
  </si>
  <si>
    <t>Inventario actualizado</t>
  </si>
  <si>
    <t>El lote asociado a la actualizacion del inventario no es valido o no esta registrado.</t>
  </si>
  <si>
    <t>Rechazar la actualizacion e informar que el lote no es valido.</t>
  </si>
  <si>
    <t>La cantidad calculada no corresponde a la suma de las cantidades disponibles de los lotes asociados al producto.</t>
  </si>
  <si>
    <t>Rechazar la actualizacion e informar que la cantidad no coincide con la suma de los lotes asociados al producto.</t>
  </si>
  <si>
    <t xml:space="preserve">Informacion necesaria para poder consultar el inventario </t>
  </si>
  <si>
    <t>Estado y cantidad disponible de todos los productos e insumos administrados en el inventario.</t>
  </si>
  <si>
    <t>No se encuentra una existencia que corresponda a los criterios de consulta.</t>
  </si>
  <si>
    <t>Informar que no existen existencias que coincidan con la consulta.</t>
  </si>
  <si>
    <t>Información necesaria para identificar el producto y lote cuya existencia se desea consultar.</t>
  </si>
  <si>
    <t>Existencia consultada por lote</t>
  </si>
  <si>
    <t>El lote indicado no corresponde a una existencia disponible para consulta, o el lote no se encuentra registrado en el sistema.</t>
  </si>
  <si>
    <t>Informar que no existe una existencia asociada al lote indicado.</t>
  </si>
  <si>
    <t>Cantidad de stock mínimo que se desea establecer para el producto.</t>
  </si>
  <si>
    <t>Stock mínimo actualizado.</t>
  </si>
  <si>
    <t>Cantidad total disponible y stock mínimo establecido para el producto.</t>
  </si>
  <si>
    <t>Alerta de stock bajo emitida</t>
  </si>
  <si>
    <t>El stock mínimo no está definido para el producto, o no se puede determinar la cantidad total disponible.</t>
  </si>
  <si>
    <t>No emitir la alerta e informar la condición que lo impide.</t>
  </si>
  <si>
    <t>Actualizar inventario</t>
  </si>
  <si>
    <t>Actualizar la existencia representada en el inventario como consecuencia de un movimiento de entrada, salida o ajuste previamente registrado.</t>
  </si>
  <si>
    <t>Lotes, MovimientoInventario</t>
  </si>
  <si>
    <t>Información del movimiento que afecta la existencia, incluyendo tipo de movimiento, cantidad, unidad de medida, lote y origen cuando corresponda.</t>
  </si>
  <si>
    <t>Consultar inventario</t>
  </si>
  <si>
    <t>Permite visualizar el estado actual y las existencias de ingredientes y bebidas.</t>
  </si>
  <si>
    <t>Existencias registradas</t>
  </si>
  <si>
    <t>Permite visualizar el estado y la cantidad disponible de todos los ingredientes y bebidas almacenados.</t>
  </si>
  <si>
    <t>Inventario consultado</t>
  </si>
  <si>
    <t>Consultar existencias por lote</t>
  </si>
  <si>
    <t>Consultar las cantidades disponibles asociadas a los lotes existentes para conocer la trazabilidad de las existencias.</t>
  </si>
  <si>
    <t>Información del lote</t>
  </si>
  <si>
    <t>Identificador del lote y producto o ingrediente cuya existencia se desea consultar.</t>
  </si>
  <si>
    <t>Establecer stock mínimo</t>
  </si>
  <si>
    <t>Permite definir la cantidad mínima de existencias que debe mantenerse para controlar la necesidad de reposición.</t>
  </si>
  <si>
    <t>Stock mínimo establecido</t>
  </si>
  <si>
    <t>Emitir alerta de stock bajo</t>
  </si>
  <si>
    <t>Cuando la cantidad total disponible de un producto cae por debajo del stock minimo establecido, el sistema emite una alerta para que el administrador gestione la compra de reposicion.</t>
  </si>
  <si>
    <t>P-INV-001</t>
  </si>
  <si>
    <t>Asegurar que las existencias registradas en el inventario correspondan a lotes válidos y registrados.</t>
  </si>
  <si>
    <t>P-INV-002</t>
  </si>
  <si>
    <t>P-INV-003</t>
  </si>
  <si>
    <t>Asegurar que la cantidad disponible que se va a reflejar en el inventario corresponda a la suma de las cantidades disponibles de todos los lotes asociados al mismo producto.</t>
  </si>
  <si>
    <t>P-INV-004</t>
  </si>
  <si>
    <t>P-INV-005</t>
  </si>
  <si>
    <t>P-INV-006</t>
  </si>
  <si>
    <t>Asegurar que se emita una alerta cuando la cantidad total disponible de un producto sea inferior o se este acercando  al stock minimo establecido.</t>
  </si>
  <si>
    <t>P-INV-007</t>
  </si>
  <si>
    <t>Asegurar que el inventario exista con el identificador indicado.</t>
  </si>
  <si>
    <t>Identificador unico de cada lote dentro de la pizzeria</t>
  </si>
  <si>
    <t xml:space="preserve">Fecha de vencimiento del producto </t>
  </si>
  <si>
    <t>Indicativo de disponibilidad de un lote</t>
  </si>
  <si>
    <t>Producto interno al que pertenece el lote</t>
  </si>
  <si>
    <t>Cantidad con la que entro el lote</t>
  </si>
  <si>
    <t>Cantidad que aun queda disponible de este lote, descontando las salidas registradas en Movimiento y los retiros registrados en SalidaLote</t>
  </si>
  <si>
    <t xml:space="preserve">Unidad de medida estandar en lote y posteriormente  inventario </t>
  </si>
  <si>
    <t>Diferenciador numerico de cada lote dependiendo de su respectivo producto</t>
  </si>
  <si>
    <t>Tipo Logico</t>
  </si>
  <si>
    <t>Disponible</t>
  </si>
  <si>
    <t>Saldo</t>
  </si>
  <si>
    <t>UnidadMedidaInventario</t>
  </si>
  <si>
    <t>NumeroLote</t>
  </si>
  <si>
    <t>Fecha de vencimiento del producto de este lote: si es no perecedero se trae tal cual  del movimiento de origen (compra o cambio); si es perecedero se calcula como fecha de movimiento mas la vida util del producto interno</t>
  </si>
  <si>
    <t>Si (para perecederos)</t>
  </si>
  <si>
    <t>Si el Saldo es mayor a cero esta disponible de lo contrario no</t>
  </si>
  <si>
    <t>Se toma del movimiento de inventario que creo este lote, pero unicamente si esa entrada es de Origen Compra o Cambio.</t>
  </si>
  <si>
    <t>Cantidad con la que entro este lote, es un dato congelado  desde el movimiento de inventario que lo genero, ya convertida a la unidad de medida de inventario</t>
  </si>
  <si>
    <t>Se tienen los tipos de unidades en los que van a estar los ingredientes y bebidas, se definio que para el tipo que pertenezca a peso, en unidad de medida inventario se va a manejar en kg, para la que sea de tipo volumen va a estar en litros y las que son en unidades se dejara unicamente asi</t>
  </si>
  <si>
    <t>&gt;=1</t>
  </si>
  <si>
    <t>No pueden existir dos lotes con el mismo NumeroLote para el mismo ProductoInterno.</t>
  </si>
  <si>
    <t>MovimientoInventario, ProductoInterno</t>
  </si>
  <si>
    <t>Movimiento de entrada que origina el lote: producto interno, cantidad, unidad de medida y fecha del movimiento.</t>
  </si>
  <si>
    <t>Lote registrado</t>
  </si>
  <si>
    <t>Los datos ingresados para registrar el lote no son validos.</t>
  </si>
  <si>
    <t>El identificador generado ya esta siendo utilizado por otro lote.</t>
  </si>
  <si>
    <t>Generar un nuevo identificador hasta garantizar que no exista.</t>
  </si>
  <si>
    <t>El producto interno asociado al lote no existe o no es valido.</t>
  </si>
  <si>
    <t>Rechazar el registro e informar que el producto interno no es valido.</t>
  </si>
  <si>
    <t>La unidad de medida asociada a la cantidad del lote no es valida.</t>
  </si>
  <si>
    <t>El movimiento de inventario que origina el lote no existe o no es valido.</t>
  </si>
  <si>
    <t>Rechazar el registro e informar que el movimiento de origen no es valido.</t>
  </si>
  <si>
    <t>Ya existe otro lote con el mismo NumeroLote para el mismo ProductoInterno.</t>
  </si>
  <si>
    <t>Rechazar el registro e informar que ya existe un lote igual registrado.</t>
  </si>
  <si>
    <t>Se intento modificar manualmente un atributo que solo se calcula a partir de los movimientos de inventario.</t>
  </si>
  <si>
    <t>Rechazar la modificacion manual e informar que ese dato se genera automaticamente.</t>
  </si>
  <si>
    <t>Movimiento de Salida que afecta el lote y cantidad consumida.</t>
  </si>
  <si>
    <t>Saldo de lote actualizado</t>
  </si>
  <si>
    <t>Producto interno del lote, para determinar si es perecedero o no.</t>
  </si>
  <si>
    <t>Alerta de vencimiento emitida</t>
  </si>
  <si>
    <t>El producto interno asociado al lote no es válido, o no se puede determinar si es perecedero.</t>
  </si>
  <si>
    <t>Identificador único del lote que se desea consultar.</t>
  </si>
  <si>
    <t>Lote consultado</t>
  </si>
  <si>
    <t>No existe un lote con el identificador indicado.</t>
  </si>
  <si>
    <t>Informar que el lote no existe.</t>
  </si>
  <si>
    <t>Registrar lote</t>
  </si>
  <si>
    <t>Permite tomar el producto, la cantidad y la fecha del movimiento de entrada para crear el lote.</t>
  </si>
  <si>
    <t>¿Un lote puede crearse de forma manual sin un detalle de compra asociado?</t>
  </si>
  <si>
    <t>Recalcular saldo de lote</t>
  </si>
  <si>
    <t>Emitir alerta de vencimiento próximo</t>
  </si>
  <si>
    <t>Cuando la fecha de vencimiento de un lote está próxima a cumplirse, el sistema emite una alerta para que el administrador registre el Cambio (si el producto no es perecedero) o el Desecho (si es perecedero) correspondiente.</t>
  </si>
  <si>
    <t>Permite determinar si, al vencerse, el lote debe generar un Cambio o un Desecho, según el producto sea perecedero o no.</t>
  </si>
  <si>
    <t>Consultar lote</t>
  </si>
  <si>
    <t>Permite consultar la información de un lote específico, incluyendo su cantidad, saldo, fecha de vencimiento y disponibilidad.</t>
  </si>
  <si>
    <t>P-LOT-001</t>
  </si>
  <si>
    <t>Asegurar que los datos requeridos para registrar un lote sean válidos de acuerdo con el tipo de dato, obligatoriedad, formato, longitud y rango correspondiente.</t>
  </si>
  <si>
    <t>P-LOT-002</t>
  </si>
  <si>
    <t>Asegurar que el identificador generado para el lote no esté siendo utilizado por otro lote.</t>
  </si>
  <si>
    <t>P-LOT-003</t>
  </si>
  <si>
    <t>Asegurar que el producto interno asociado al lote exista y sea valido.</t>
  </si>
  <si>
    <t>P-LOT-004</t>
  </si>
  <si>
    <t>P-LOT-005</t>
  </si>
  <si>
    <t>Asegurar que la unidad de medida asociada a la cantidad del lote sea válida.</t>
  </si>
  <si>
    <t>P-LOT-006</t>
  </si>
  <si>
    <t>Asegurar que el movimiento de inventario que origino el lote exista y sea valido.</t>
  </si>
  <si>
    <t>P-LOT-007</t>
  </si>
  <si>
    <t>P-LOT-008</t>
  </si>
  <si>
    <t>Asegurar que el lote exista con el identificador indicado</t>
  </si>
  <si>
    <t>P-LOT-009</t>
  </si>
  <si>
    <t>Asegurar que no exista otro lote con el mismo NumeroLote para el mismo ProductoInterno.</t>
  </si>
  <si>
    <t>P-LOT-010</t>
  </si>
  <si>
    <t>P-LOT-011</t>
  </si>
  <si>
    <t>Asegurar que se emita una alerta cuando la fecha de vencimiento de un lote este proxima a cumplirse.</t>
  </si>
  <si>
    <t>Alfanumerico(max 10 caracteres)</t>
  </si>
  <si>
    <t>Producto adquirido, cantidad recibida, unidad de medida, compra, detalle de compra y lote sobre el cual se registra la entrada.</t>
  </si>
  <si>
    <t>Entrada de inventario registrada</t>
  </si>
  <si>
    <t>Rechazar el registro e informar que el lote no existe.</t>
  </si>
  <si>
    <t>Salida de inventario por venta registrada</t>
  </si>
  <si>
    <t>Cambio, Lote</t>
  </si>
  <si>
    <t>Permite identificar el lote proximo a vencer y el registro de Cambio correspondiente al reemplazo.</t>
  </si>
  <si>
    <t>Salida por cambio y entrada de reemplazo registradas</t>
  </si>
  <si>
    <t>Registrar entrada de inventario por compra</t>
  </si>
  <si>
    <t>Registrar el ingreso de las existencias recibidas como consecuencia de una compra válida, asociando la entrada con el lote correspondiente.</t>
  </si>
  <si>
    <t>Registrar salida de inventario por venta</t>
  </si>
  <si>
    <t>P-MI-001</t>
  </si>
  <si>
    <t>Asegurar que los datos requeridos para registrar un movimiento de inventario sean válidos de acuerdo con el tipo de movimiento, cantidad, fecha y demás información obligatoria.</t>
  </si>
  <si>
    <t>P-MI-002</t>
  </si>
  <si>
    <t>P-MI-003</t>
  </si>
  <si>
    <t>Asegurar que el lote sobre el cual se registra el movimiento exista en el sistema.</t>
  </si>
  <si>
    <t>P-MI-004</t>
  </si>
  <si>
    <t>P-MI-005</t>
  </si>
  <si>
    <t>P-MI-006</t>
  </si>
  <si>
    <t>Asegurar que un movimiento de inventario registrado no pueda modificarse o eliminarse de manera que se pierda la trazabilidad de las existencias.</t>
  </si>
  <si>
    <t>P-MI-007</t>
  </si>
  <si>
    <t>Asegurar que los movimientos de inventario mantengan la trazabilidad del lote sobre el cual se realizó la operación.</t>
  </si>
  <si>
    <t>P-MI-008</t>
  </si>
  <si>
    <t>P-MI-009</t>
  </si>
  <si>
    <t>P-MI-010</t>
  </si>
  <si>
    <t>P-MI-011</t>
  </si>
  <si>
    <t>P-MI-012</t>
  </si>
  <si>
    <t>Asegurar que un movimiento de inventario relacionado con un Cambio corresponda a un registro de Cambio valido y existente.</t>
  </si>
  <si>
    <t>P-MI-013</t>
  </si>
  <si>
    <t>Asegurar que no exista otro movimiento de inventario con el mismo Codigo de operacion y el mismo Lote.</t>
  </si>
  <si>
    <t>P-MI-014</t>
  </si>
  <si>
    <t>P-MI-015</t>
  </si>
  <si>
    <t>P-MI-016</t>
  </si>
  <si>
    <t>Representa el identificador unico de cada categoria de origen</t>
  </si>
  <si>
    <t>Alfanumerico(max 20 caracteres)</t>
  </si>
  <si>
    <t>P-ORI-001</t>
  </si>
  <si>
    <t>Adiciones</t>
  </si>
  <si>
    <t xml:space="preserve">Nombre del prodcuto , si es un producto interno entonces el nombre debe coincidir con uno ya existente </t>
  </si>
  <si>
    <t>Tipo de producto al que pertenece (Pizza, Bebida o Adicion)</t>
  </si>
  <si>
    <t>Tamaño del producto (Grande, Mediana o Pequeña) para productos que no son pizza el valor es No aplica</t>
  </si>
  <si>
    <t xml:space="preserve">Contiene el precio de venta publico del producto  </t>
  </si>
  <si>
    <t>Combinacion de Nombre y Tamaño; si el Tamaño es No aplica, la combinacion es solo el Nombre</t>
  </si>
  <si>
    <t>Alfanumerico(max 40 caracteres)</t>
  </si>
  <si>
    <t>Tamaño</t>
  </si>
  <si>
    <t>Texto</t>
  </si>
  <si>
    <t>Margarita</t>
  </si>
  <si>
    <t>Peperoni</t>
  </si>
  <si>
    <t>Extra Queso</t>
  </si>
  <si>
    <t>Extra Piña</t>
  </si>
  <si>
    <t>Extra Peperoni</t>
  </si>
  <si>
    <t>Jugo Hit Mora 200 ml</t>
  </si>
  <si>
    <t>Monster 473 ml</t>
  </si>
  <si>
    <t>Hawaiana</t>
  </si>
  <si>
    <t>Referenciado en vivo (HYPERLINK) al catálogo M-TipoProducto.</t>
  </si>
  <si>
    <t>Referenciado en vivo (HYPERLINK) al catálogo M-Tamaño. Para productos que no son pizza, el valor es No aplica.</t>
  </si>
  <si>
    <t>No pueden existir dos productos con el mismo Nombre y el mismo Tamaño.</t>
  </si>
  <si>
    <t>Información propia necesaria para registrar el producto.</t>
  </si>
  <si>
    <t>Producto registrado con la información proporcionada.</t>
  </si>
  <si>
    <t>Los datos ingresados para registrar el producto no cumplen las reglas establecidas.</t>
  </si>
  <si>
    <t>El identificador generado ya esta siendo utilizado por otro producto.</t>
  </si>
  <si>
    <t>Ya existe otro producto con el mismo Nombre y el mismo Tamaño.</t>
  </si>
  <si>
    <t>Rechazar el registro e informar que ya existe un producto igual registrado.</t>
  </si>
  <si>
    <t>El tipo de producto utilizado no corresponde a un tipo valido definido por la pizzeria.</t>
  </si>
  <si>
    <t>Rechazar el registro e informar que el tipo de producto no es valido.</t>
  </si>
  <si>
    <t>El tamaño utilizado no corresponde a un tamaño valido definido por la pizzeria.</t>
  </si>
  <si>
    <t>Rechazar el registro e informar que el tamaño no es valido.</t>
  </si>
  <si>
    <t>Identificador del producto que se desea eliminar.</t>
  </si>
  <si>
    <t>El producto no existe con el identificador indicado.</t>
  </si>
  <si>
    <t>Rechazar la eliminación e informar que el producto no existe.</t>
  </si>
  <si>
    <t>Registrar producto</t>
  </si>
  <si>
    <t>Permite incorporar un nuevo producto a la oferta comercial de la pizzería, definiendo la información necesaria para su identificación y comercialización.</t>
  </si>
  <si>
    <t>Tipo de producto</t>
  </si>
  <si>
    <t>Permite determinar el tipo de producto que se desea registrar y consultar la información necesaria para su creación.</t>
  </si>
  <si>
    <t>Producto registrado</t>
  </si>
  <si>
    <t xml:space="preserve">Identificador del prodcuto e historio de precio de ese producto  </t>
  </si>
  <si>
    <t xml:space="preserve">Identificar el producto que se quiere eliminar y cual es su informacion historica asociada </t>
  </si>
  <si>
    <t>P-PRO-001</t>
  </si>
  <si>
    <t>P-PRO-002</t>
  </si>
  <si>
    <t>Asegurar que el identificador generado para el producto no esté siendo utilizado por otro producto.</t>
  </si>
  <si>
    <t>P-PRO-003</t>
  </si>
  <si>
    <t>Asegurar que no exista otro producto con el mismo Nombre y el mismo Tamaño al registrar el producto.</t>
  </si>
  <si>
    <t>P-PRO-004</t>
  </si>
  <si>
    <t>Asegurar que el tipo de producto utilizado para registrar el producto corresponda a un tipo válido definido por la pizzería.</t>
  </si>
  <si>
    <t>P-PRO-005</t>
  </si>
  <si>
    <t>P-PRO-006</t>
  </si>
  <si>
    <t>Asegurar que el tamaño utilizado para registrar el producto corresponda a un tamaño válido definido por la pizzería.</t>
  </si>
  <si>
    <t>P-PRO-007</t>
  </si>
  <si>
    <t>P-PRO-008</t>
  </si>
  <si>
    <t>P-PRO-009</t>
  </si>
  <si>
    <t>Asegurar que el producto exista con el identificador indicado.</t>
  </si>
  <si>
    <t>Identificador unico de cada producto interno dentro de la pizzeria</t>
  </si>
  <si>
    <t>Nombre de cada producto interno (ingrediente o bebida almacenada)</t>
  </si>
  <si>
    <t xml:space="preserve">Cuando se crea el ingrediente se debe decir si es un producto perecedero o no </t>
  </si>
  <si>
    <t>Combinacion unica: como cada producto interno se identifica solo por su nombre, la combinacion es el mismo Nombre</t>
  </si>
  <si>
    <t>VidaUtil</t>
  </si>
  <si>
    <t>TipoMedida</t>
  </si>
  <si>
    <t>Combinacion Unica</t>
  </si>
  <si>
    <t>Masa de Pizza</t>
  </si>
  <si>
    <t>Salsa de Tomate</t>
  </si>
  <si>
    <t>Albahaca</t>
  </si>
  <si>
    <t>Azucar</t>
  </si>
  <si>
    <t>Piña</t>
  </si>
  <si>
    <t>Leche</t>
  </si>
  <si>
    <t>Jamón</t>
  </si>
  <si>
    <t>Indica si el producto se descompone con el tiempo. De ahi depende como se saca la fecha de vencimiento en Lote.</t>
  </si>
  <si>
    <t xml:space="preserve">Entero </t>
  </si>
  <si>
    <t>No pueden existir dos productos internos con el mismo Nombre.</t>
  </si>
  <si>
    <t>Información propia necesaria para registrar el producto interno.</t>
  </si>
  <si>
    <t>Producto interno registrado con la información proporcionada.</t>
  </si>
  <si>
    <t>Los datos ingresados para registrar el producto interno no son validos.</t>
  </si>
  <si>
    <t>Ya existe otro producto interno registrado con el mismo Nombre.</t>
  </si>
  <si>
    <t>Rechazar el registro e informar que ya existe un producto interno con ese Nombre.</t>
  </si>
  <si>
    <t>Identificador del producto interno y datos que se desean actualizar.</t>
  </si>
  <si>
    <t>Producto interno actualizado.</t>
  </si>
  <si>
    <t>El producto interno no existe en el sistema.</t>
  </si>
  <si>
    <t>Rechazar la actualización e informar que el producto interno no existe.</t>
  </si>
  <si>
    <t>Identificador del producto interno que se desea eliminar.</t>
  </si>
  <si>
    <t>Registrar producto interno</t>
  </si>
  <si>
    <t>Permite incorporar un nuevo producto interno (ingrediente o bebida almacenada) al inventario de la pizzeria.</t>
  </si>
  <si>
    <t>Permite seleccionar una unidad de medida valida para el producto interno.</t>
  </si>
  <si>
    <t>Producto interno registrado</t>
  </si>
  <si>
    <t>Actualizar producto interno</t>
  </si>
  <si>
    <t>Permite modificar la informacion de un producto interno existente.</t>
  </si>
  <si>
    <t>Productos internos registrados</t>
  </si>
  <si>
    <t>Permite identificar el producto interno existente antes de modificarlo.</t>
  </si>
  <si>
    <t>Producto interno actualizado</t>
  </si>
  <si>
    <t>Permite identificar el producto interno existente antes de eliminarlo.</t>
  </si>
  <si>
    <t>P-PI-001</t>
  </si>
  <si>
    <t>Asegurar que los datos requeridos para registrar un producto interno sean validos de acuerdo con el tipo de dato, obligatoriedad, formato y rango correspondiente.</t>
  </si>
  <si>
    <t>P-PI-002</t>
  </si>
  <si>
    <t>Asegurar que no exista otro producto interno con el mismo Nombre al registrarlo.</t>
  </si>
  <si>
    <t>P-PI-003</t>
  </si>
  <si>
    <t>P-PI-004</t>
  </si>
  <si>
    <t>P-PI-005</t>
  </si>
  <si>
    <t>Asegurar que el producto interno que se desea modificar se encuentre registrado en el sistema.</t>
  </si>
  <si>
    <t>P-PI-006</t>
  </si>
  <si>
    <t>P-PI-007</t>
  </si>
  <si>
    <t>Asegurar que el producto interno exista con el identificador indicado.</t>
  </si>
  <si>
    <t xml:space="preserve">Identificador unico del proveedor dentro de la pizzeria </t>
  </si>
  <si>
    <t xml:space="preserve">Nombre de la empresa a la que pertenece el proveedor  </t>
  </si>
  <si>
    <t xml:space="preserve">Forma de comunicacion directa con el proveedor </t>
  </si>
  <si>
    <t>Nombre Empresa</t>
  </si>
  <si>
    <t>Colanta</t>
  </si>
  <si>
    <t>Harinera del valle</t>
  </si>
  <si>
    <t>Postobon</t>
  </si>
  <si>
    <t>Central de Abastos</t>
  </si>
  <si>
    <t>Identificador universal</t>
  </si>
  <si>
    <t>Se debe asegurar una sanitización del dato</t>
  </si>
  <si>
    <t>Se debe asegurar una sanitizacion del dato</t>
  </si>
  <si>
    <t xml:space="preserve">No puede existir otro proveedor con el mismo nombre de empresa </t>
  </si>
  <si>
    <t>Información necesaria para registrar e identificar al proveedor.</t>
  </si>
  <si>
    <t>Proveedor registrado con la información proporcionada.</t>
  </si>
  <si>
    <t>Los datos ingresados para registrar el proveedor no son validos.</t>
  </si>
  <si>
    <t>El identificador generado ya esta siendo utilizado por otro proveedor.</t>
  </si>
  <si>
    <t>Identificador del proveedor y datos que se desean modificar.</t>
  </si>
  <si>
    <t>Proveedor actualizado con la información proporcionada.</t>
  </si>
  <si>
    <t>El proveedor que se desea actualizar no existe.</t>
  </si>
  <si>
    <t>Rechazar la actualizacion e informar que el proveedor no existe.</t>
  </si>
  <si>
    <t>La informacion modificada genera duplicidad con otro proveedor registrado.</t>
  </si>
  <si>
    <t>Rechazar la actualizacion e informar la duplicidad encontrada.</t>
  </si>
  <si>
    <t>Identificador del proveedor que se desea retirar.</t>
  </si>
  <si>
    <t>Proveedor retirado de acuerdo con las reglas establecidas.</t>
  </si>
  <si>
    <t>El proveedor que se desea retirar no existe.</t>
  </si>
  <si>
    <t>Rechazar el retiro e informar que el proveedor no existe.</t>
  </si>
  <si>
    <t>Permite imcorporar un crear un proveedor</t>
  </si>
  <si>
    <t>Información del proveedor</t>
  </si>
  <si>
    <t>Datos necesarios para identificar y contactar al proveedor, como nombre de empresa y medio de contacto.</t>
  </si>
  <si>
    <t>Proveedor registrado</t>
  </si>
  <si>
    <t>Modificar proveedor</t>
  </si>
  <si>
    <t>Actualizar la información de un proveedor existente sin afectar la trazabilidad de las compras históricas asociadas a este.</t>
  </si>
  <si>
    <t>Datos actuales y nuevos del proveedor necesarios para identificarlo y realizar la actualización.</t>
  </si>
  <si>
    <t>Proveedor modificado</t>
  </si>
  <si>
    <t>Retirar proveedor</t>
  </si>
  <si>
    <t>Compras hechas al proveedor</t>
  </si>
  <si>
    <t>Permite verificar las compras asociadas al proveedor antes de retirarlo y conservar su información histórica.</t>
  </si>
  <si>
    <t>P-PROV-001</t>
  </si>
  <si>
    <t>Asegurar que los datos requeridos para registrar un proveedor sean válidos de acuerdo con el tipo de dato, obligatoriedad, formato, longitud y rango correspondiente.</t>
  </si>
  <si>
    <t>P-PROV-002</t>
  </si>
  <si>
    <t>Asegurar que el identificador generado para el proveedor no esté siendo utilizado por otro proveedor.</t>
  </si>
  <si>
    <t>P-PROV-003</t>
  </si>
  <si>
    <t>P-PROV-004</t>
  </si>
  <si>
    <t>Asegurar que el proveedor que se desea actualizar se encuentre registrado en el sistema.</t>
  </si>
  <si>
    <t>P-PROV-005</t>
  </si>
  <si>
    <t>Asegurar que la información modificada del proveedor no genere duplicidad con otro proveedor registrado.</t>
  </si>
  <si>
    <t>P-PROV-006</t>
  </si>
  <si>
    <t>P-PROV-007</t>
  </si>
  <si>
    <t>P-PROV-008</t>
  </si>
  <si>
    <t>Asegurar que un proveedor retirado o inactivo no pueda ser utilizado para registrar nuevas compras, conservando la información histórica de las compras realizadas.</t>
  </si>
  <si>
    <t>P-PROV-009</t>
  </si>
  <si>
    <t>Asegurar que el proveedor exista con el identificador indicado</t>
  </si>
  <si>
    <t>Identificador único de cada retiro realizado sobre un lote.</t>
  </si>
  <si>
    <t>Lote específico del cual se retira el producto.</t>
  </si>
  <si>
    <t>Cantidad de producto que se retira efectivamente del lote.</t>
  </si>
  <si>
    <t>Fecha en la que se realiza efectivamente el retiro del producto del lote por decisión del usuario.</t>
  </si>
  <si>
    <t>Representa el identificador unico de cada tamaño</t>
  </si>
  <si>
    <t>Nombre del tamaño (Grande, Mediana, Pequeña o No aplica)</t>
  </si>
  <si>
    <t>Grande</t>
  </si>
  <si>
    <t>Mediana</t>
  </si>
  <si>
    <t>Pequeña</t>
  </si>
  <si>
    <t>No aplica</t>
  </si>
  <si>
    <t>Estos son los tamaños con los que arranca el catalogo (Grande, Mediana, Pequeña, No aplica), pero se pueden agregar nuevos si la pizzeria llega a manejar una presentacion de tamaño distinta.</t>
  </si>
  <si>
    <t>No pueden existir dos tamaños con el mismo Nombre.</t>
  </si>
  <si>
    <t>Id necesario para realizar la consulta de los tamaños disponibles.</t>
  </si>
  <si>
    <t>Lista de Tamaños</t>
  </si>
  <si>
    <t>Conjunto de tamaños registrados y disponibles para selección.</t>
  </si>
  <si>
    <t>No existen tamaños disponibles.</t>
  </si>
  <si>
    <t>Informar que el tamaño que está buscando no existe.</t>
  </si>
  <si>
    <t>Nombre del nuevo tamaño que se desea registrar.</t>
  </si>
  <si>
    <t>Tamaño registrado.</t>
  </si>
  <si>
    <t>El dato ingresado no es valido segun el tipo de dato, la obligatoriedad o el formato esperado.</t>
  </si>
  <si>
    <t>Rechazar el registro e informar cual dato no es valido y por que.</t>
  </si>
  <si>
    <t>Ya existe otro tamaño registrado con el mismo Nombre.</t>
  </si>
  <si>
    <t>Rechazar el registro e informar que ya existe un tamaño con ese Nombre.</t>
  </si>
  <si>
    <t>Identificador del tamaño que se desea modificar, junto con el nuevo Nombre.</t>
  </si>
  <si>
    <t>Tamaño actualizado.</t>
  </si>
  <si>
    <t>El tamaño no existe en el sistema.</t>
  </si>
  <si>
    <t>Rechazar la actualizacion e informar que el tamaño no existe.</t>
  </si>
  <si>
    <t>El nuevo dato ingresado no es valido segun el tipo de dato, la obligatoriedad o el formato esperado.</t>
  </si>
  <si>
    <t>Rechazar la actualizacion e informar cual dato no es valido y por que.</t>
  </si>
  <si>
    <t>Identificador del tamaño que se desea eliminar.</t>
  </si>
  <si>
    <t>Tamaño eliminado correctamente.</t>
  </si>
  <si>
    <t>El tamaño tiene productos asociados que deben conservarse.</t>
  </si>
  <si>
    <t>Rechazar la eliminacion e informar que el tamaño tiene productos asociados.</t>
  </si>
  <si>
    <t>Rechazar la eliminacion e informar que el tamaño no existe.</t>
  </si>
  <si>
    <t>Consultar tamaños disponibles</t>
  </si>
  <si>
    <t>Permite consultar los tamaños disponibles en el sistema para definir el tamaño de un producto.</t>
  </si>
  <si>
    <t>Registrar tamaño</t>
  </si>
  <si>
    <t>Permite agregar un nuevo tamaño al catalogo, para cuando la pizzeria empiece a ofrecer una presentacion que no exista todavia.</t>
  </si>
  <si>
    <t>Tamaño registrado</t>
  </si>
  <si>
    <t>Actualizar tamaño</t>
  </si>
  <si>
    <t>Permite modificar el nombre de un tamaño que ya existe.</t>
  </si>
  <si>
    <t>Tamaño actualizado</t>
  </si>
  <si>
    <t>Eliminar tamaño</t>
  </si>
  <si>
    <t>Permite eliminar un tamaño que no tenga productos asociados que deban conservarse.</t>
  </si>
  <si>
    <t>Tamaño eliminado</t>
  </si>
  <si>
    <t>P-TAM-001</t>
  </si>
  <si>
    <t>Asegurar que el tamaño exista con el identificador indicado.</t>
  </si>
  <si>
    <t>P-TAM-002</t>
  </si>
  <si>
    <t>Asegurar que los datos ingresados sean validos segun el tipo de dato, la obligatoriedad y el formato correspondiente.</t>
  </si>
  <si>
    <t>P-TAM-003</t>
  </si>
  <si>
    <t>Asegurar que no exista otro tamaño con el mismo Nombre al registrarlo.</t>
  </si>
  <si>
    <t>P-TAM-004</t>
  </si>
  <si>
    <t>Asegurar que el tamaño que se desea modificar se encuentre registrado en el sistema.</t>
  </si>
  <si>
    <t>P-TAM-005</t>
  </si>
  <si>
    <t>Asegurar que un tamaño no pueda eliminarse cuando tenga productos asociados que deban conservarse para mantener la trazabilidad.</t>
  </si>
  <si>
    <t>P-TAM-006</t>
  </si>
  <si>
    <t>Asegurar que el tamaño que se desea eliminar exista con el identificador indicado.</t>
  </si>
  <si>
    <t>Representa el identificador unico de cada clase de movimiento</t>
  </si>
  <si>
    <t>Nombre de la clase de movimiento (Entrada o Salida): indica si el movimiento suma (Entrada) o resta (Salida) inventario</t>
  </si>
  <si>
    <t>Catalogo fijo de solo 2 valores (Entrada, Salida)</t>
  </si>
  <si>
    <t>Asegurar que el tipo de movimiento exista con el identificador indicado.</t>
  </si>
  <si>
    <t>Categoria de origen a la que pertenece la operacion. Cada TipoMovimiento pertenece a una sola CategoriaOrigen</t>
  </si>
  <si>
    <t>Representa el identificador unico de cada producto</t>
  </si>
  <si>
    <t>Nombre del tipo de producto (Pizza, Bebida o Adicion)</t>
  </si>
  <si>
    <t>Pizza</t>
  </si>
  <si>
    <t>Bebida</t>
  </si>
  <si>
    <t>Adicion</t>
  </si>
  <si>
    <t>Estos son los tipos de producto con los que arranca el catalogo (Pizza, Bebida, Adicion), pero se pueden agregar nuevos si la pizzeria llega a manejar una categoria de producto distinta.</t>
  </si>
  <si>
    <t>No pueden existir dos tipos de producto con el mismo Nombre.</t>
  </si>
  <si>
    <t>Id necesario para realizar la consulta de los tipos de producto disponibles.</t>
  </si>
  <si>
    <t>Lista de Tipos de Producto</t>
  </si>
  <si>
    <t>Conjunto de tipos de producto registrados y disponibles para selección.</t>
  </si>
  <si>
    <t>No existen tipos de producto disponibles.</t>
  </si>
  <si>
    <t>Informar que el tipo de producto que está buscando no existe.</t>
  </si>
  <si>
    <t>Nombre del nuevo tipo de producto que se desea registrar.</t>
  </si>
  <si>
    <t>Tipo de producto registrado.</t>
  </si>
  <si>
    <t>Ya existe otro tipo de producto registrado con el mismo Nombre.</t>
  </si>
  <si>
    <t>Rechazar el registro e informar que ya existe un tipo de producto con ese Nombre.</t>
  </si>
  <si>
    <t>Identificador del tipo de producto que se desea modificar, junto con el nuevo Nombre.</t>
  </si>
  <si>
    <t>Tipo de producto actualizado.</t>
  </si>
  <si>
    <t>El tipo de producto no existe en el sistema.</t>
  </si>
  <si>
    <t>Rechazar la actualizacion e informar que el tipo de producto no existe.</t>
  </si>
  <si>
    <t>Identificador del tipo de producto que se desea eliminar.</t>
  </si>
  <si>
    <t>Tipo de producto eliminado correctamente.</t>
  </si>
  <si>
    <t>El tipo de producto tiene productos asociados que deben conservarse.</t>
  </si>
  <si>
    <t>Rechazar la eliminacion e informar que el tipo de producto tiene productos asociados.</t>
  </si>
  <si>
    <t>Rechazar la eliminacion e informar que el tipo de producto no existe.</t>
  </si>
  <si>
    <t>Consultar tipos de producto disponibles</t>
  </si>
  <si>
    <t>Permite consultar los tipos de producto disponibles en el sistema para clasificar un producto.</t>
  </si>
  <si>
    <t>Registrar tipo de producto</t>
  </si>
  <si>
    <t>Permite agregar un nuevo tipo de producto al catalogo, para cuando la pizzeria empiece a manejar una categoria de producto que no exista todavia.</t>
  </si>
  <si>
    <t>Tipo de producto registrado</t>
  </si>
  <si>
    <t>Actualizar tipo de producto</t>
  </si>
  <si>
    <t>Permite modificar el nombre de un tipo de producto que ya existe.</t>
  </si>
  <si>
    <t>Tipo de producto actualizado</t>
  </si>
  <si>
    <t>Eliminar tipo de producto</t>
  </si>
  <si>
    <t>Permite eliminar un tipo de producto que no tenga productos asociados que deban conservarse.</t>
  </si>
  <si>
    <t>Tipo de producto eliminado</t>
  </si>
  <si>
    <t>P-TP-001</t>
  </si>
  <si>
    <t>Asegurar que el tipo de producto exista con el identificador indicado.</t>
  </si>
  <si>
    <t>P-TP-002</t>
  </si>
  <si>
    <t>P-TP-003</t>
  </si>
  <si>
    <t>Asegurar que no exista otro tipo de producto con el mismo Nombre al registrarlo.</t>
  </si>
  <si>
    <t>P-TP-004</t>
  </si>
  <si>
    <t>Asegurar que el tipo de producto que se desea modificar se encuentre registrado en el sistema.</t>
  </si>
  <si>
    <t>P-TP-005</t>
  </si>
  <si>
    <t>Asegurar que un tipo de producto no pueda eliminarse cuando tenga productos asociados que deban conservarse para mantener la trazabilidad.</t>
  </si>
  <si>
    <t>P-TP-006</t>
  </si>
  <si>
    <t>Asegurar que el tipo de producto que se desea eliminar exista con el identificador indicado.</t>
  </si>
  <si>
    <t xml:space="preserve">Identificador unico de unidad de medida dentro del sistema </t>
  </si>
  <si>
    <t xml:space="preserve">Tipo de medida a la que corresponde cada unidad de medida </t>
  </si>
  <si>
    <t>Alfanumerico(max 4 caracteres)</t>
  </si>
  <si>
    <t>g</t>
  </si>
  <si>
    <t>Peso</t>
  </si>
  <si>
    <t>kg</t>
  </si>
  <si>
    <t>ml</t>
  </si>
  <si>
    <t>Volumen</t>
  </si>
  <si>
    <t>l</t>
  </si>
  <si>
    <t>und</t>
  </si>
  <si>
    <t>Se debe asegurar una sanitizacion del dato.</t>
  </si>
  <si>
    <t>No pueden existir dos unidades de medida con el mismo nombre.</t>
  </si>
  <si>
    <t>Criterios necesarios para realizar la consulta de las unidades de medida disponibles.</t>
  </si>
  <si>
    <t>Lista de UnidadesMedida</t>
  </si>
  <si>
    <t>Conjunto de unidades de medida disponibles para selección.</t>
  </si>
  <si>
    <t>No existe una unidad de medida asociada al identificador indicado.</t>
  </si>
  <si>
    <t>Informar que la unidad de medida no existe.</t>
  </si>
  <si>
    <t>Identificador de la unidad de medida que se desea eliminar.</t>
  </si>
  <si>
    <t>Unidad de medida eliminada correctamente.</t>
  </si>
  <si>
    <t>La unidad de medida que se desea eliminar no existe.</t>
  </si>
  <si>
    <t>Rechazar la eliminacion e informar que la unidad de medida no existe.</t>
  </si>
  <si>
    <t>Consultar unidades de medida disponibles</t>
  </si>
  <si>
    <t>Permite consultar las unidades de medida precargadas en el sistema para seleccionar la unidad adecuada al registrar cantidades de productos, ingredientes, compras, recetas o movimientos de inventario.</t>
  </si>
  <si>
    <t>Eliminar unidad de medida</t>
  </si>
  <si>
    <t>Unidad de medida eliminada</t>
  </si>
  <si>
    <t>P-UM-001</t>
  </si>
  <si>
    <t>P-UM-002</t>
  </si>
  <si>
    <t>Asegurar que la unidad de medida exista con el identificador indicado</t>
  </si>
  <si>
    <t>P-UM-003</t>
  </si>
  <si>
    <t>Asegurar que la unidad de medida que se desea eliminar se encuentre registrada en el sistema.</t>
  </si>
  <si>
    <t>P-UM-004</t>
  </si>
  <si>
    <t>P-UM-005</t>
  </si>
  <si>
    <t xml:space="preserve">Identificador de cada venta dentro del sistema </t>
  </si>
  <si>
    <t>Fecha en la que se realizo la venta</t>
  </si>
  <si>
    <t>Hora en la que se realizo la venta</t>
  </si>
  <si>
    <t>Número de la factura de venta. El sistema lo asigna solo en el momento en que la venta se hace</t>
  </si>
  <si>
    <t xml:space="preserve">Indicativo de a que cliente le pertenece la venta </t>
  </si>
  <si>
    <t>Total de la venta</t>
  </si>
  <si>
    <t>Time</t>
  </si>
  <si>
    <t>Alfanumerico(max 15 caracteres)</t>
  </si>
  <si>
    <t>Hora</t>
  </si>
  <si>
    <t>Factura</t>
  </si>
  <si>
    <t>11:30:00 Pm</t>
  </si>
  <si>
    <t>FV-000001</t>
  </si>
  <si>
    <t>11:45:00 Pm</t>
  </si>
  <si>
    <t>FV-000002</t>
  </si>
  <si>
    <t>1:00:00 Pm</t>
  </si>
  <si>
    <t>FV-000003</t>
  </si>
  <si>
    <t>12:30:00 Pm</t>
  </si>
  <si>
    <t xml:space="preserve">Identificador unico universal </t>
  </si>
  <si>
    <t>HH:mm:ss</t>
  </si>
  <si>
    <t>Se registra con precision de segundos para evitar que dos ventas del mismo dia choquen en la combinacion unica.</t>
  </si>
  <si>
    <t>El valor total de una venta corresponde a la suma de los Subtotal de todos los DetalleVenta asociados a la misma.</t>
  </si>
  <si>
    <t>No pueden existir dos ventas con la misma Fecha y la misma Hora (a precision de segundos).</t>
  </si>
  <si>
    <t>Combinación única 2</t>
  </si>
  <si>
    <t>No pueden existir dos ventas con el mismo número de factura.</t>
  </si>
  <si>
    <t>Información necesaria para registrar la venta.</t>
  </si>
  <si>
    <t>Venta registrada con la información proporcionada.</t>
  </si>
  <si>
    <t>Los datos ingresados para registrar la venta no son validos.</t>
  </si>
  <si>
    <t>Ya existe otra venta registrada con la misma Fecha y la misma Hora.</t>
  </si>
  <si>
    <t>Rechazar el registro e informar que ya existe una venta en ese mismo momento.</t>
  </si>
  <si>
    <t>Identificador de la venta que se desea confirmar.</t>
  </si>
  <si>
    <t>Venta confirmada, con el consumo de inventario registrado y su número de factura asignado.</t>
  </si>
  <si>
    <t>La venta no contiene ningun detalle de venta.</t>
  </si>
  <si>
    <t>Rechazar la confirmacion e informar que la venta debe tener al menos un detalle.</t>
  </si>
  <si>
    <t>Alguno de los detalles asociados a la venta no es valido.</t>
  </si>
  <si>
    <t>Rechazar la confirmacion e informar que hay un detalle no valido.</t>
  </si>
  <si>
    <t>No existe disponibilidad suficiente de inventario para atender los productos que requieren consumo.</t>
  </si>
  <si>
    <t>El número de factura que le corresponde a la venta ya está asignado a otra venta.</t>
  </si>
  <si>
    <t>Rechazar la confirmación e informar que no se pudo asignar el número de factura.</t>
  </si>
  <si>
    <t>Identificador de la venta que se desea eliminar.</t>
  </si>
  <si>
    <t>Venta eliminada correctamente.</t>
  </si>
  <si>
    <t>La venta que se desea eliminar no existe.</t>
  </si>
  <si>
    <t>Rechazar la eliminacion e informar que la venta no existe.</t>
  </si>
  <si>
    <t>La venta tiene detalles de venta asociados que deben conservarse.</t>
  </si>
  <si>
    <t>Rechazar la eliminacion e informar que la venta tiene detalles asociados.</t>
  </si>
  <si>
    <t>La venta ya se encuentra confirmada.</t>
  </si>
  <si>
    <t>Rechazar la eliminacion e informar que una venta confirmada no puede eliminarse.</t>
  </si>
  <si>
    <t>Registrar venta</t>
  </si>
  <si>
    <t>Permite registrar una venta realizada en el establecimiento, asociando los productos solicitados y la información correspondiente.</t>
  </si>
  <si>
    <t>Productos disponibles, precios vigentes, información del cliente</t>
  </si>
  <si>
    <t>Permite verificar que los productos puedan ser vendidos y que la información utilizada en la venta sea correcta.</t>
  </si>
  <si>
    <t>Venta registrada</t>
  </si>
  <si>
    <t>Confirmar venta</t>
  </si>
  <si>
    <t>Detalles de venta, disponibilidad de inventario</t>
  </si>
  <si>
    <t>Permite comprobar que la venta contiene información válida y que puede ser atendida con las existencias disponibles.</t>
  </si>
  <si>
    <t>Venta confirmada</t>
  </si>
  <si>
    <t>Eliminar venta</t>
  </si>
  <si>
    <t>Permite eliminar una venta que no haya sido confirmada y que no tenga detalles de venta asociados que deban conservarse para mantener la trazabilidad.</t>
  </si>
  <si>
    <t>Ventas registradas</t>
  </si>
  <si>
    <t>Permite identificar la venta existente antes de eliminarla.</t>
  </si>
  <si>
    <t>Venta eliminada</t>
  </si>
  <si>
    <t>P-VEN-001</t>
  </si>
  <si>
    <t>Asegurar que los datos requeridos para registrar una venta sean válidos de acuerdo con el tipo de dato, obligatoriedad, formato y rango correspondiente.</t>
  </si>
  <si>
    <t>P-VEN-002</t>
  </si>
  <si>
    <t>P-VEN-003</t>
  </si>
  <si>
    <t>Asegurar que una venta contenga al menos un detalle de venta antes de ser confirmada.</t>
  </si>
  <si>
    <t>P-VEN-004</t>
  </si>
  <si>
    <t>Asegurar que todos los detalles asociados a una venta sean válidos antes de confirmar la operación.</t>
  </si>
  <si>
    <t>P-VEN-005</t>
  </si>
  <si>
    <t>Asegurar que antes de confirmar una venta exista disponibilidad suficiente para atender los productos que requieren consumo de inventario.</t>
  </si>
  <si>
    <t>P-VEN-006</t>
  </si>
  <si>
    <t>P-VEN-007</t>
  </si>
  <si>
    <t>Asegurar que la venta exista con el identificador indicado</t>
  </si>
  <si>
    <t>P-VEN-008</t>
  </si>
  <si>
    <t>Asegurar que una venta no pueda eliminarse cuando tenga detalles de venta asociados que deban conservarse para mantener la trazabilidad.</t>
  </si>
  <si>
    <t>P-VEN-009</t>
  </si>
  <si>
    <t>Asegurar que una venta confirmada no pueda ser modificada o eliminada.</t>
  </si>
  <si>
    <t>P-VEN-010</t>
  </si>
  <si>
    <t>Nombre de la categoria de origen: indica de donde proviene la operacion (Compra, Venta o Cambio)</t>
  </si>
  <si>
    <t>Codigo unico de una operacion concreta que genera movimientos de inventario (cada detalle de compra, consumo de venta o cambio tiene el suyo)</t>
  </si>
  <si>
    <t>Cantidad del producto interno que se consume: cantidad vendida por la cantidad de la receta, en la unidad de la receta</t>
  </si>
  <si>
    <t>Unidad de medida de la cantidad; es la misma de la receta y queda guardada aunque la receta cambie despues</t>
  </si>
  <si>
    <t>Alfanumerico(max 9 caracteres)</t>
  </si>
  <si>
    <t>FV-000004</t>
  </si>
  <si>
    <t>Venta a la que pertenece; se identifica con su numero de factura</t>
  </si>
  <si>
    <t>Caracterizacion</t>
  </si>
  <si>
    <t>Alfanumerico(max 60 caracteres)</t>
  </si>
  <si>
    <t>Numero de identificacion tributaria (NIT) del proveedor; no se puede repetir entre proveedores</t>
  </si>
  <si>
    <t>Indica si el proveedor esta activo y disponible para nuevas compras</t>
  </si>
  <si>
    <t>NIT</t>
  </si>
  <si>
    <t>Activo</t>
  </si>
  <si>
    <t>Combinacion unica 1</t>
  </si>
  <si>
    <t>900100001-1</t>
  </si>
  <si>
    <t>900100002-2</t>
  </si>
  <si>
    <t>900100003-3</t>
  </si>
  <si>
    <t>900100004-4</t>
  </si>
  <si>
    <t>No puede existir otro proveedor con el mismo NIT. Se debe asegurar una sanitizacion del dato.</t>
  </si>
  <si>
    <t>Se registra como activo (Si). Al retirar el proveedor pasa a No y ya no puede usarse en nuevas compras.</t>
  </si>
  <si>
    <t>No pueden existir dos proveedores con el mismo NIT.</t>
  </si>
  <si>
    <t>Unidad</t>
  </si>
  <si>
    <t>Solo se permiten los tipos Peso (g, kg), Volumen (ml, l) y Unidad (und). Asi el producto interno queda asociado a una unidad valida para su tipo de medida.</t>
  </si>
  <si>
    <t>No pueden existir dos clases de movimiento con el mismo Nombre.</t>
  </si>
  <si>
    <t>Catalogo fijo de 3 valores (Compra, Venta, Cambio)</t>
  </si>
  <si>
    <t>No pueden existir dos categorias de origen con el mismo Nombre.</t>
  </si>
  <si>
    <t>Combinacion unica 2</t>
  </si>
  <si>
    <t>Contacto</t>
  </si>
  <si>
    <t>Vida util en dias: de 1 a 400 si el producto es perecedero y 0 si no lo es</t>
  </si>
  <si>
    <t>Unidad de medida (UnidadMedida) en la que se maneja el producto interno; su tipo (Peso, Volumen o Unidad) define la unidad de las recetas</t>
  </si>
  <si>
    <t>Indica si el producto interno esta activo y disponible para usarse</t>
  </si>
  <si>
    <t>Perecedero</t>
  </si>
  <si>
    <t>Sin insumo</t>
  </si>
  <si>
    <t>Existe un registro especial "Sin insumo" con el identificador por defecto (00000000-0000-0000-0000-000000000000) e inactivo; lo usan los productos que no corresponden a un producto interno.</t>
  </si>
  <si>
    <t>Si el producto es perecedero la vida util va de 1 a 400 dias; si no es perecedero debe ser 0.</t>
  </si>
  <si>
    <t>Debe corresponder a una UnidadMedida existente. Su tipo de medida (Peso, Volumen o Unidad) define la unidad en que se registran las recetas (g, ml o und).</t>
  </si>
  <si>
    <t>Se registra como activo (Si). Solo los productos internos activos se pueden usar en recetas y compras.</t>
  </si>
  <si>
    <t>Total</t>
  </si>
  <si>
    <t>Identificador unico de cada detalle de compra</t>
  </si>
  <si>
    <t>Compra a la que pertenece este detalle</t>
  </si>
  <si>
    <t>Decimal Europeo (4)</t>
  </si>
  <si>
    <t>Cada detalle de compra genera su propio TipoMovimiento (codigo de operacion), que no se puede repetir; con el se registra la entrada al inventario.</t>
  </si>
  <si>
    <t>No pueden existir dos detalles de compra con el mismo TipoMovimiento; cada detalle tiene su propio codigo de operacion.</t>
  </si>
  <si>
    <t>Identificador unico de cada compra de la pizzeria</t>
  </si>
  <si>
    <t>Sal</t>
  </si>
  <si>
    <t>Colombiana 400 ml</t>
  </si>
  <si>
    <t>Mr tea 300 ml</t>
  </si>
  <si>
    <t>Dato calculado: indica si el producto se vende directamente desde el inventario (por ejemplo una bebida). Es Si cuando tiene un ProductoInternoAsociado y No cuando el asociado es "Sin insumo"</t>
  </si>
  <si>
    <t>Producto interno asociado al producto. Si ProductoInterno es Si, es el producto interno con el mismo nombre; si no, es el registro "Sin insumo"</t>
  </si>
  <si>
    <t>Indica si el producto esta activo y disponible para la venta</t>
  </si>
  <si>
    <t>ProductoInternoAsociado</t>
  </si>
  <si>
    <t>Margarita y Hawaiana</t>
  </si>
  <si>
    <t>El usuario lo registra. Si el producto es un producto interno, debe existir un producto interno con el mismo nombre.</t>
  </si>
  <si>
    <t>El usuario indica si el producto se vende directo del inventario. Si es Si, se asocia el producto interno con el mismo nombre. En la base de datos se calcula a partir del ProductoInternoAsociado.</t>
  </si>
  <si>
    <t>Se asigna automaticamente: si ProductoInterno es Si, el producto interno con el mismo nombre (debe existir); si es No, el registro "Sin insumo".</t>
  </si>
  <si>
    <t>Lo registra el usuario al crear el producto. Debe coincidir con el precio vigente en HistoricoPrecio (FechaFin = 01/01/1000).</t>
  </si>
  <si>
    <t>Se registra como activo (Si). Solo los productos activos se muestran al consultar los productos.</t>
  </si>
  <si>
    <t>El precio debe ser mayor a cero y como maximo 1.000.000.</t>
  </si>
  <si>
    <t>Si el precio sigue vigente (sin fecha de fin todavia), se registra el valor por defecto "01/01/1000". Cuando el precio termina, la FechaFin debe ser mayor o igual a la FechaInicio.</t>
  </si>
  <si>
    <t>Un producto solo puede tener un precio vigente: no pueden existir dos registros del mismo Producto con la misma FechaFin.</t>
  </si>
  <si>
    <t>Identificador unico de cada ingrediente (linea) de una receta</t>
  </si>
  <si>
    <t>Unidad de medida del ingrediente; se asigna automaticamente segun el tipo de medida del producto interno (Peso: g, Volumen: ml, Unidad: und)</t>
  </si>
  <si>
    <t>Se asigna automaticamente segun el tipo de medida del producto interno: Peso = g, Volumen = ml, Unidad = und. El usuario no la ingresa.</t>
  </si>
  <si>
    <t>Identificador unico de cada producto que vende la pizzeria</t>
  </si>
  <si>
    <t>Cliente</t>
  </si>
  <si>
    <t>FV-######</t>
  </si>
  <si>
    <t>No lo escribe nadie a mano: el sistema lo asigna en el momento en que la venta se confirma. Formato FV- seguido de 6 digitos (por ejemplo FV-000001) y no se puede repetir.</t>
  </si>
  <si>
    <t>Documento del cliente. Si no se indica, se registra 2222222222 (consumidor final).</t>
  </si>
  <si>
    <t>PrecioProducto</t>
  </si>
  <si>
    <t>La cantidad es un numero entero mayor a cero y como maximo 1000.</t>
  </si>
  <si>
    <t>Se toma del precio vigente del producto en la fecha de la venta (HistoricoPrecio) y se guarda en el detalle, para conservar el precio con el que se vendio aunque despues cambie.</t>
  </si>
  <si>
    <t>Cantidad del lote</t>
  </si>
  <si>
    <t>Es la Cantidad del lote menos todas las salidas de inventario que lo han afectado. No puede ser menor que cero ni mayor que la Cantidad del lote.</t>
  </si>
  <si>
    <t>Entrada (suma al inventario) o Salida (resta del inventario). Debe ser una clase de movimiento existente.</t>
  </si>
  <si>
    <t>Codigo de la operacion que genero el movimiento (detalle de compra, consumo de venta o cambio); a traves de el se conoce la categoria de origen.</t>
  </si>
  <si>
    <t>Cantidad que entra o sale del lote, en la unidad de medida del lote. Debe ser mayor a cero y como maximo 10.000.</t>
  </si>
  <si>
    <t>Fecha en la que se registra el movimiento.</t>
  </si>
  <si>
    <t>Lote sobre el que se realiza la entrada o salida. Es obligatorio en todos los movimientos.</t>
  </si>
  <si>
    <t>No se puede registrar dos veces el mismo codigo de operacion (TipoMovimiento) sobre el mismo Lote.</t>
  </si>
  <si>
    <t>Identificador unico de cada registro de inventario</t>
  </si>
  <si>
    <t>Producto interno (ingrediente o bebida) al que corresponde este registro de inventario</t>
  </si>
  <si>
    <t>StockMinimo</t>
  </si>
  <si>
    <t>Debe corresponder a un producto interno existente; cada producto interno tiene un unico registro de inventario.</t>
  </si>
  <si>
    <t>Debe ser mayor que cero. Si no se indica, se registra 1.</t>
  </si>
  <si>
    <t>La cantidad debe ser mayor a cero y como maximo 10.000.</t>
  </si>
  <si>
    <t>Obligatoria (a diferencia de DetalleCompra, donde es opcional): como Cambio solo aplica a productos no perecederos, siempre debe traer un dato real. Debe ser posterior a la FechaCambio.</t>
  </si>
  <si>
    <t>Cada cambio genera su propio TipoMovimiento (codigo de operacion), que no se puede repetir; con el se registran los movimientos de inventario del cambio.</t>
  </si>
  <si>
    <t>No pueden existir dos cambios con el mismo TipoMovimiento; cada cambio tiene su propio codigo de operacion.</t>
  </si>
  <si>
    <t>Usuario</t>
  </si>
  <si>
    <t>Es la persona que puede ingresar a la aplicacion; solo el administrador de la pizzeria puede iniciar sesion.</t>
  </si>
  <si>
    <t>Identificador unico de cada usuario de la aplicacion</t>
  </si>
  <si>
    <t>Nombre de usuario con el que se inicia sesion; no se puede repetir</t>
  </si>
  <si>
    <t>Contrasena del usuario; se guarda cifrada con BCrypt, nunca en texto plano</t>
  </si>
  <si>
    <t>Rol del usuario dentro de la aplicacion; solo existe el rol Administrador</t>
  </si>
  <si>
    <t>Indica si el usuario esta activo; un usuario inactivo no puede iniciar sesion</t>
  </si>
  <si>
    <t>Alfanumerico(max 30 caracteres)</t>
  </si>
  <si>
    <t>Alfanumerico(max 100 caracteres)</t>
  </si>
  <si>
    <t>Clave</t>
  </si>
  <si>
    <t>Rol</t>
  </si>
  <si>
    <t>pizzeriaUser</t>
  </si>
  <si>
    <t>(cifrada con BCrypt)</t>
  </si>
  <si>
    <t>adminRetirado</t>
  </si>
  <si>
    <t>No puede existir otro usuario con el mismo nombre de usuario. Al iniciar sesion se quitan los espacios al inicio y al final.</t>
  </si>
  <si>
    <t>Se ingresa con maximo 72 caracteres (limite de BCrypt) y se guarda cifrada (hash de hasta 100 caracteres). No se le quitan espacios y nunca se devuelve al consultar el usuario.</t>
  </si>
  <si>
    <t>Solo se permite el rol Administrador; un usuario con otro rol no puede ingresar a la aplicacion.</t>
  </si>
  <si>
    <t>Solo los usuarios activos pueden iniciar sesion.</t>
  </si>
  <si>
    <t>No pueden existir dos usuarios con el mismo nombre de usuario.</t>
  </si>
  <si>
    <t>Credenciales</t>
  </si>
  <si>
    <t>Usuario y contrasena con los que se desea ingresar.</t>
  </si>
  <si>
    <t>Usuario autenticado (id, usuario y rol), sin la contrasena.</t>
  </si>
  <si>
    <t>No se recibieron el usuario o la contrasena, o no cumplen la longitud permitida.</t>
  </si>
  <si>
    <t>Rechazar el inicio de sesion e informar el dato que falta o no es valido.</t>
  </si>
  <si>
    <t>El usuario no existe, esta inactivo o la contrasena no coincide.</t>
  </si>
  <si>
    <t>Rechazar el inicio de sesion con el mensaje generico "Usuario o contrasena incorrectos".</t>
  </si>
  <si>
    <t>El usuario no tiene el rol Administrador.</t>
  </si>
  <si>
    <t>Rechazar el inicio de sesion e informar que no tiene permiso para ingresar.</t>
  </si>
  <si>
    <t>Iniciar sesion</t>
  </si>
  <si>
    <t>Permite que el administrador ingrese a la aplicacion con su usuario y contrasena.</t>
  </si>
  <si>
    <t>Usuario y contrasena ingresados por el administrador.</t>
  </si>
  <si>
    <t>Sesion iniciada</t>
  </si>
  <si>
    <t>P-USU-001</t>
  </si>
  <si>
    <t>Asegurar que se reciban el usuario y la contrasena, que el usuario tenga entre 1 y 30 caracteres y que la contrasena no supere los 72 caracteres.</t>
  </si>
  <si>
    <t>P-USU-002</t>
  </si>
  <si>
    <t>Asegurar que el usuario exista, este activo y que la contrasena coincida con la registrada (cifrada con BCrypt).</t>
  </si>
  <si>
    <t>P-USU-003</t>
  </si>
  <si>
    <t>Asegurar que el usuario tenga el rol Administrador para poder ingresar a la aplicacion.</t>
  </si>
  <si>
    <t>Es el codigo de la operacion: lo comparten la operacion (detalle de compra, consumo de venta o cambio) y los movimientos de inventario que genera.</t>
  </si>
  <si>
    <t>Debe ser una categoria de origen existente (Compra, Venta o Cambio), segun la operacion que genera el codigo.</t>
  </si>
  <si>
    <t>El tipo de movimiento se identifica unicamente por su Id (codigo de operacion); la base de datos no define otra combinacion unica.</t>
  </si>
  <si>
    <t>Categoria de origen de la operacion que genera el codigo.</t>
  </si>
  <si>
    <t>Codigo de operacion generado con su categoria de origen.</t>
  </si>
  <si>
    <t>La categoria de origen no existe.</t>
  </si>
  <si>
    <t>Rechazar la generacion e informar que la categoria de origen no es valida.</t>
  </si>
  <si>
    <t>El identificador generado ya esta siendo utilizado.</t>
  </si>
  <si>
    <t>Identificador del tipo de movimiento que se desea consultar.</t>
  </si>
  <si>
    <t>Tipo de movimiento con su categoria de origen.</t>
  </si>
  <si>
    <t>No existe un tipo de movimiento con el identificador indicado.</t>
  </si>
  <si>
    <t>Informar que el tipo de movimiento no existe.</t>
  </si>
  <si>
    <t>Generar tipo de movimiento</t>
  </si>
  <si>
    <t>Genera un nuevo codigo de operacion con su categoria de origen cada vez que se registra un detalle de compra, un consumo de venta o un cambio.</t>
  </si>
  <si>
    <t>Categoria de origen</t>
  </si>
  <si>
    <t>Categoria de la operacion que necesita el codigo.</t>
  </si>
  <si>
    <t>Tipo de movimiento generado</t>
  </si>
  <si>
    <t>Consultar tipo de movimiento</t>
  </si>
  <si>
    <t>Permite consultar un tipo de movimiento para conocer la categoria de origen de la operacion.</t>
  </si>
  <si>
    <t>Tipos de movimiento registrados</t>
  </si>
  <si>
    <t>Tipo de movimiento consultado</t>
  </si>
  <si>
    <t>P-TMV-001</t>
  </si>
  <si>
    <t>Asegurar que la categoria de origen indicada exista (Compra, Venta o Cambio).</t>
  </si>
  <si>
    <t>P-TMV-002</t>
  </si>
  <si>
    <t>Asegurar que el identificador generado para el tipo de movimiento no exista previamente.</t>
  </si>
  <si>
    <t>P-TMV-003</t>
  </si>
  <si>
    <t>Debe corresponder a un detalle de venta existente.</t>
  </si>
  <si>
    <t>Se toma de la receta (DetalleReceta) del producto vendido; si el producto es un producto interno (por ejemplo una bebida) se consume el propio producto interno asociado.</t>
  </si>
  <si>
    <t>Se calcula como la cantidad del ingrediente en la receta multiplicada por la cantidad vendida en el detalle de venta.</t>
  </si>
  <si>
    <t>Es la misma unidad de la receta (g, ml o und).</t>
  </si>
  <si>
    <t>Cada consumo genera su propio TipoMovimiento de categoria Venta, que no se puede repetir; con el se registran las salidas de inventario.</t>
  </si>
  <si>
    <t>Un mismo producto interno no puede consumirse dos veces para el mismo detalle de venta.</t>
  </si>
  <si>
    <t>No pueden existir dos consumos con el mismo TipoMovimiento; cada consumo tiene su propio codigo de operacion.</t>
  </si>
  <si>
    <t>Detalle de venta confirmado que origina el consumo.</t>
  </si>
  <si>
    <t>Lista de ConsumoVenta</t>
  </si>
  <si>
    <t>Consumos registrados para el detalle de venta.</t>
  </si>
  <si>
    <t>El detalle de venta no existe.</t>
  </si>
  <si>
    <t>Rechazar el registro e informar que el detalle de venta no existe.</t>
  </si>
  <si>
    <t>El producto vendido no tiene receta ni producto interno asociado.</t>
  </si>
  <si>
    <t>Rechazar el registro e informar que el producto no tiene receta.</t>
  </si>
  <si>
    <t>El producto interno ya fue consumido para ese detalle de venta.</t>
  </si>
  <si>
    <t>Rechazar el registro e informar la duplicidad.</t>
  </si>
  <si>
    <t>No hay saldo suficiente en inventario.</t>
  </si>
  <si>
    <t>Rechazar el registro e informar que no hay existencias suficientes.</t>
  </si>
  <si>
    <t>Identificador del detalle de venta.</t>
  </si>
  <si>
    <t>Informar que el detalle de venta no existe.</t>
  </si>
  <si>
    <t>Registrar consumo de venta</t>
  </si>
  <si>
    <t>Al confirmar una venta, registra por cada detalle de venta los productos internos que se consumen segun la receta del producto vendido.</t>
  </si>
  <si>
    <t>Detalle de venta y receta</t>
  </si>
  <si>
    <t>Detalle de venta confirmado y receta del producto vendido.</t>
  </si>
  <si>
    <t>Consumo de venta registrado</t>
  </si>
  <si>
    <t>Consultar consumos de un detalle de venta</t>
  </si>
  <si>
    <t>Permite consultar los productos internos consumidos por un detalle de venta.</t>
  </si>
  <si>
    <t>Consumos registrados</t>
  </si>
  <si>
    <t>Detalle de venta del que se desean conocer los consumos.</t>
  </si>
  <si>
    <t>Consumos de venta consultados</t>
  </si>
  <si>
    <t>P-CV-001</t>
  </si>
  <si>
    <t>Asegurar que el detalle de venta exista.</t>
  </si>
  <si>
    <t>P-CV-002</t>
  </si>
  <si>
    <t>Asegurar que los productos internos a consumir se obtengan de la receta del producto vendido, o del producto interno asociado cuando el producto se vende directo del inventario.</t>
  </si>
  <si>
    <t>P-CV-003</t>
  </si>
  <si>
    <t>Asegurar que no se registre dos veces el mismo producto interno para el mismo detalle de venta.</t>
  </si>
  <si>
    <t>P-CV-004</t>
  </si>
  <si>
    <t>Asegurar que exista saldo suficiente en inventario para cubrir la cantidad a consumir.</t>
  </si>
  <si>
    <t>P-CV-005</t>
  </si>
  <si>
    <t>Asegurar que el detalle de venta consultado exista.</t>
  </si>
  <si>
    <t>Debe corresponder a un lote existente con saldo disponible. Un lote solo puede tener un retiro.</t>
  </si>
  <si>
    <t>Debe ser mayor a cero, como maximo 10.000 y no puede superar el saldo del lote.</t>
  </si>
  <si>
    <t>Fecha en la que se realiza el retiro del producto del lote.</t>
  </si>
  <si>
    <t>Un lote solo puede tener un retiro registrado.</t>
  </si>
  <si>
    <t>Lote, cantidad y fecha del retiro.</t>
  </si>
  <si>
    <t>Salida de lote registrada.</t>
  </si>
  <si>
    <t>Los datos de la salida no son validos.</t>
  </si>
  <si>
    <t>El lote no existe o no tiene saldo disponible.</t>
  </si>
  <si>
    <t>Rechazar el registro e informar que el lote no esta disponible.</t>
  </si>
  <si>
    <t>La cantidad a retirar supera el saldo del lote.</t>
  </si>
  <si>
    <t>Rechazar el registro e informar el saldo disponible.</t>
  </si>
  <si>
    <t>El lote ya tiene una salida registrada.</t>
  </si>
  <si>
    <t>Rechazar el registro e informar que el lote ya fue retirado.</t>
  </si>
  <si>
    <t>Identificador de la salida de lote.</t>
  </si>
  <si>
    <t>Salida de lote con su lote, cantidad y fecha.</t>
  </si>
  <si>
    <t>No existe una salida de lote con el identificador indicado.</t>
  </si>
  <si>
    <t>Informar que la salida de lote no existe.</t>
  </si>
  <si>
    <t>Registrar salida de lote</t>
  </si>
  <si>
    <t>Registra el retiro de una cantidad de un lote proximo a vencer, despues de atender la alerta de vencimiento.</t>
  </si>
  <si>
    <t>Lote y alerta de vencimiento</t>
  </si>
  <si>
    <t>Lote proximo a vencer y cantidad que se va a retirar.</t>
  </si>
  <si>
    <t>Salida de lote registrada</t>
  </si>
  <si>
    <t>Consultar salida de lote</t>
  </si>
  <si>
    <t>Permite consultar un retiro registrado sobre un lote.</t>
  </si>
  <si>
    <t>Salidas de lote registradas</t>
  </si>
  <si>
    <t>Identificador de la salida que se desea consultar.</t>
  </si>
  <si>
    <t>Salida de lote consultada</t>
  </si>
  <si>
    <t>P-SL-001</t>
  </si>
  <si>
    <t>Asegurar que los datos requeridos para registrar la salida de lote sean validos.</t>
  </si>
  <si>
    <t>P-SL-002</t>
  </si>
  <si>
    <t>Asegurar que el lote exista y tenga saldo disponible.</t>
  </si>
  <si>
    <t>P-SL-003</t>
  </si>
  <si>
    <t>Asegurar que la cantidad a retirar no supere el saldo del lote.</t>
  </si>
  <si>
    <t>P-SL-004</t>
  </si>
  <si>
    <t>Asegurar que el lote no tenga otra salida registrada.</t>
  </si>
  <si>
    <t>P-SL-005</t>
  </si>
  <si>
    <t>Asegurar que la salida de lote exista con el identificador indicado.</t>
  </si>
  <si>
    <t>Es el código de una operación concreta que mueve el inventario (cada detalle de compra, consumo de una venta o cambio tiene el suyo). Pertenece a una CategoriaOrigen y lo comparten la operación y los movimientos que genera.</t>
  </si>
  <si>
    <t>SalidaLote representa el retiro efectivo de una cantidad de producto perteneciente a un lote, realizado por el usuario después de atender una alerta de proximidad al vencimiento. Atributos: Id, Lote, Cantidad y FechaMovimiento. Relación: Lote 1 — 0..1 SalidaLote (un lote puede tener como máximo un retiro; cada retiro pertenece a un único lote). La alerta no se almacena aquí: se calcula a partir de Lote.FechaVencimiento.</t>
  </si>
  <si>
    <t>Asegurar que solo se consulten las unidades de medida del catalogo definido por la pizzeria (g, kg, ml, l y und), cada una con su tipo de medida (Peso, Volumen o Unidad).</t>
  </si>
  <si>
    <t>Asegurar que la unidad de medida que se desea eliminar no este siendo utilizada por productos internos, lotes o registros de inventario que requieran conservarla.</t>
  </si>
  <si>
    <t>Asegurar que la unidad de medida que se desea eliminar no este siendo utilizada por detalles de receta, detalles de compra, cambios o consumos de venta que requieran conservarla.</t>
  </si>
  <si>
    <t>No existen unidades de medida registradas en el catalogo.</t>
  </si>
  <si>
    <t>Informar al administrador que no hay unidades de medida disponibles.</t>
  </si>
  <si>
    <t>La unidad de medida esta siendo utilizada por un producto interno, un lote o un registro de inventario.</t>
  </si>
  <si>
    <t>Rechazar la eliminacion e informar en que registros esta en uso la unidad de medida.</t>
  </si>
  <si>
    <t>La unidad de medida esta siendo utilizada por un detalle de receta, un detalle de compra, un cambio o un consumo de venta.</t>
  </si>
  <si>
    <t>Unidades de medida consultadas</t>
  </si>
  <si>
    <t>Permite eliminar una unidad de medida que no este siendo utilizada por ningun otro registro de la pizzeria.</t>
  </si>
  <si>
    <t>Tipos de producto consultados</t>
  </si>
  <si>
    <t>Tamaños consultados</t>
  </si>
  <si>
    <t>Consultar clases de movimiento disponibles</t>
  </si>
  <si>
    <t>Permite consultar las clases de movimiento (Entrada o Salida) disponibles para clasificar un movimiento de inventario.</t>
  </si>
  <si>
    <t>Clases de movimiento consultadas</t>
  </si>
  <si>
    <t>P-CM-001</t>
  </si>
  <si>
    <t>Asegurar que la clase de movimiento exista con el identificador indicado.</t>
  </si>
  <si>
    <t>Id necesario para realizar la consulta de las clases de movimiento disponibles.</t>
  </si>
  <si>
    <t>Lista de ClasesMovimiento</t>
  </si>
  <si>
    <t>Conjunto de clases de movimiento (Entrada y Salida) disponibles para seleccion.</t>
  </si>
  <si>
    <t>No existen clases de movimiento disponibles.</t>
  </si>
  <si>
    <t>Informar que la clase de movimiento que esta buscando no existe.</t>
  </si>
  <si>
    <t>Consultar categorias de origen disponibles</t>
  </si>
  <si>
    <t>Permite consultar las categorias de origen (Compra, Venta o Cambio) que indican que operacion genero un movimiento de inventario.</t>
  </si>
  <si>
    <t>Categorias de origen consultadas</t>
  </si>
  <si>
    <t>Asegurar que la categoria de origen exista con el identificador indicado.</t>
  </si>
  <si>
    <t>Id necesario para realizar la consulta de las categorias de origen disponibles.</t>
  </si>
  <si>
    <t>Lista de CategoriasOrigen</t>
  </si>
  <si>
    <t>Conjunto de categorias de origen (Compra, Venta y Cambio) disponibles para seleccion.</t>
  </si>
  <si>
    <t>No existen categorias de origen disponibles.</t>
  </si>
  <si>
    <t>Informar que la categoria de origen que esta buscando no existe.</t>
  </si>
  <si>
    <t>Asegurar que no exista otro proveedor registrado con el mismo NIT.</t>
  </si>
  <si>
    <t>Asegurar que el proveedor que se desea retirar se encuentre registrado en el sistema.</t>
  </si>
  <si>
    <t>Asegurar que al retirar un proveedor se conserven sus compras registradas: el retiro solo cambia su estado a inactivo y no borra informacion.</t>
  </si>
  <si>
    <t>P-PROV-010</t>
  </si>
  <si>
    <t>Asegurar que no exista otro proveedor registrado con el mismo nombre de empresa.</t>
  </si>
  <si>
    <t>P-PROV-011</t>
  </si>
  <si>
    <t>Asegurar que el proveedor que se desea retirar no se encuentre ya retirado.</t>
  </si>
  <si>
    <t>P-PROV-012</t>
  </si>
  <si>
    <t>Asegurar que solo se consulten los proveedores activos, que son los disponibles para registrar nuevas compras.</t>
  </si>
  <si>
    <t>Registrar proveedor</t>
  </si>
  <si>
    <t>Permite retirar un proveedor con el que la pizzeria ya no trabaja: queda inactivo y no se puede usar en nuevas compras, pero se conservan sus compras.</t>
  </si>
  <si>
    <t>Proveedor retirado</t>
  </si>
  <si>
    <t>Consultar proveedores activos</t>
  </si>
  <si>
    <t>Permite consultar los proveedores activos, ordenados por nombre de empresa, para seleccionarlos al registrar una compra.</t>
  </si>
  <si>
    <t>Proveedores registrados</t>
  </si>
  <si>
    <t>Proveedores con estado activo.</t>
  </si>
  <si>
    <t>Proveedores activos consultados</t>
  </si>
  <si>
    <t>Ya existe otro proveedor registrado con el mismo NIT.</t>
  </si>
  <si>
    <t>Rechazar el registro e informar que ya existe un proveedor con ese NIT.</t>
  </si>
  <si>
    <t>Ya existe otro proveedor registrado con el mismo nombre de empresa.</t>
  </si>
  <si>
    <t>Rechazar el registro e informar que ya existe un proveedor con ese nombre.</t>
  </si>
  <si>
    <t>Los nuevos datos del proveedor no son validos.</t>
  </si>
  <si>
    <t>Rechazar la modificacion e informar cual dato no es valido.</t>
  </si>
  <si>
    <t>El proveedor ya se encuentra retirado.</t>
  </si>
  <si>
    <t>Informar que el proveedor ya esta retirado.</t>
  </si>
  <si>
    <t>El proveedor tiene compras registradas.</t>
  </si>
  <si>
    <t>Retirar el proveedor sin borrar sus compras; siguen disponibles para consulta.</t>
  </si>
  <si>
    <t>Ninguno</t>
  </si>
  <si>
    <t>-</t>
  </si>
  <si>
    <t>No requiere datos de entrada.</t>
  </si>
  <si>
    <t>Lista de Proveedor</t>
  </si>
  <si>
    <t>Proveedores activos ordenados por nombre de empresa.</t>
  </si>
  <si>
    <t>No existen proveedores activos.</t>
  </si>
  <si>
    <t>Informar que no hay proveedores activos disponibles.</t>
  </si>
  <si>
    <t>P-COM-009</t>
  </si>
  <si>
    <t>Asegurar que el total de la compra corresponda a la suma de los precios de compra de sus detalles y no supere 5.000.000; el total no lo digita el usuario, se calcula.</t>
  </si>
  <si>
    <t>El total calculado no corresponde a la suma de los detalles o supera 5.000.000.</t>
  </si>
  <si>
    <t>Rechazar el registro e informar que el total de la compra no es valido.</t>
  </si>
  <si>
    <t>Los nuevos datos de la compra no son validos.</t>
  </si>
  <si>
    <t>La modificacion deja dos compras con el mismo Proveedor y el mismo NumeroFactura.</t>
  </si>
  <si>
    <t>Rechazar la modificacion e informar la duplicidad.</t>
  </si>
  <si>
    <t>El proveedor indicado se encuentra retirado o inactivo.</t>
  </si>
  <si>
    <t>Rechazar la modificacion e informar que el proveedor no esta disponible.</t>
  </si>
  <si>
    <t>Asegurar que la cantidad registrada en un detalle de compra sea mayor que cero y como maximo 100.000.</t>
  </si>
  <si>
    <t>P-DC-012</t>
  </si>
  <si>
    <t>Asegurar que el precio de compra sea mayor o igual a cero y como maximo 5.000.000.</t>
  </si>
  <si>
    <t>P-DC-013</t>
  </si>
  <si>
    <t>Asegurar que el producto interno del detalle de compra se encuentre activo.</t>
  </si>
  <si>
    <t>P-DC-014</t>
  </si>
  <si>
    <t>Al registrar un detalle de compra se genera su propio TipoMovimiento de categoria Compra, que no se repite.</t>
  </si>
  <si>
    <t>P-DC-015</t>
  </si>
  <si>
    <t>Al registrar un detalle de compra se crea un nuevo Lote del producto interno con la cantidad comprada (en la unidad del inventario) y su numero de lote consecutivo. Su fecha de vencimiento es la del detalle si el producto no es perecedero, o la fecha de compra mas la vida util si es perecedero.</t>
  </si>
  <si>
    <t>P-DC-016</t>
  </si>
  <si>
    <t>Al registrar un detalle de compra se registra el movimiento de inventario de Entrada sobre el lote creado y se actualiza la cantidad total del inventario del producto interno.</t>
  </si>
  <si>
    <t>P-DC-017</t>
  </si>
  <si>
    <t>Al registrar, modificar o eliminar un detalle de compra se recalcula el total de la compra.</t>
  </si>
  <si>
    <t>El producto interno se encuentra inactivo.</t>
  </si>
  <si>
    <t>Rechazar el registro e informar que el producto interno no esta disponible.</t>
  </si>
  <si>
    <t>La cantidad no es mayor que cero o supera 100.000.</t>
  </si>
  <si>
    <t>Rechazar el registro e informar el rango permitido.</t>
  </si>
  <si>
    <t>El precio de compra es negativo o supera 5.000.000.</t>
  </si>
  <si>
    <t>No fue posible generar el TipoMovimiento del detalle.</t>
  </si>
  <si>
    <t>Rechazar el registro y no crear el lote ni el movimiento.</t>
  </si>
  <si>
    <t>No fue posible crear el lote del producto interno.</t>
  </si>
  <si>
    <t>Rechazar el registro completo para no dejar el inventario inconsistente.</t>
  </si>
  <si>
    <t>No fue posible registrar la entrada de inventario.</t>
  </si>
  <si>
    <t>El total recalculado de la compra supera 5.000.000.</t>
  </si>
  <si>
    <t>Rechazar el registro e informar que la compra supera el total permitido.</t>
  </si>
  <si>
    <t>Los nuevos datos del detalle de compra no son validos.</t>
  </si>
  <si>
    <t>La nueva cantidad no es mayor que cero o supera 100.000.</t>
  </si>
  <si>
    <t>Rechazar la modificacion e informar el rango permitido.</t>
  </si>
  <si>
    <t>El nuevo precio de compra es negativo o supera 5.000.000.</t>
  </si>
  <si>
    <t>Rechazar la modificacion e informar que la compra supera el total permitido.</t>
  </si>
  <si>
    <t>No fue posible recalcular el total de la compra.</t>
  </si>
  <si>
    <t>Rechazar la eliminacion para no dejar el total inconsistente.</t>
  </si>
  <si>
    <t>Asegurar que la VidaUtil este entre 1 y 400 dias cuando el producto interno sea perecedero, y que sea 0 cuando no lo sea.</t>
  </si>
  <si>
    <t>Asegurar que la TipoMedida corresponda a una unidad de medida existente del catalogo.</t>
  </si>
  <si>
    <t>Asegurar que un producto interno inactivo no pueda usarse en nuevas recetas ni en nuevas compras; al inactivarlo se conservan sus lotes, movimientos, compras y recetas registrados.</t>
  </si>
  <si>
    <t>P-PI-008</t>
  </si>
  <si>
    <t>Asegurar que el producto interno que se desea inactivar no se encuentre ya inactivo.</t>
  </si>
  <si>
    <t>P-PI-009</t>
  </si>
  <si>
    <t>Asegurar que el registro especial "Sin insumo" no pueda modificarse, inactivarse ni usarse en recetas o compras.</t>
  </si>
  <si>
    <t>P-PI-010</t>
  </si>
  <si>
    <t>Al registrar un producto interno se crea su registro de inventario con cantidad total 0 y stock minimo 1.</t>
  </si>
  <si>
    <t>P-PI-011</t>
  </si>
  <si>
    <t>Asegurar que solo se consulten los productos internos activos.</t>
  </si>
  <si>
    <t>Inactivar producto interno</t>
  </si>
  <si>
    <t>Permite inactivar un producto interno que la pizzeria ya no usa: no se puede usar en nuevas recetas ni compras, pero se conserva su historial.</t>
  </si>
  <si>
    <t>Producto interno inactivado</t>
  </si>
  <si>
    <t>Consultar productos internos activos</t>
  </si>
  <si>
    <t>Permite consultar los productos internos activos, por ejemplo para escoger los ingredientes de una receta.</t>
  </si>
  <si>
    <t>Productos internos con estado activo.</t>
  </si>
  <si>
    <t>Productos internos activos consultados</t>
  </si>
  <si>
    <t>La vida util no esta entre 1 y 400 dias para un producto perecedero, o no es 0 para uno no perecedero.</t>
  </si>
  <si>
    <t>Rechazar el registro e informar el valor permitido.</t>
  </si>
  <si>
    <t>La TipoMedida indicada no corresponde a una unidad de medida existente.</t>
  </si>
  <si>
    <t>No fue posible crear el registro de inventario del producto interno.</t>
  </si>
  <si>
    <t>Rechazar el registro completo para que el producto interno no quede sin inventario.</t>
  </si>
  <si>
    <t>Se intento modificar el registro "Sin insumo".</t>
  </si>
  <si>
    <t>Rechazar la modificacion e informar que ese registro no se puede modificar.</t>
  </si>
  <si>
    <t>Los nuevos datos del producto interno no son validos.</t>
  </si>
  <si>
    <t>El nuevo Nombre ya lo tiene otro producto interno.</t>
  </si>
  <si>
    <t>La nueva vida util no corresponde a si el producto es perecedero o no.</t>
  </si>
  <si>
    <t>Rechazar la modificacion e informar el valor permitido.</t>
  </si>
  <si>
    <t>Producto interno inactivado.</t>
  </si>
  <si>
    <t>El producto interno que se desea inactivar no existe.</t>
  </si>
  <si>
    <t>Rechazar la inactivacion e informar que el producto interno no existe.</t>
  </si>
  <si>
    <t>El producto interno ya se encuentra inactivo.</t>
  </si>
  <si>
    <t>Informar que el producto interno ya esta inactivo.</t>
  </si>
  <si>
    <t>Se intento inactivar el registro "Sin insumo".</t>
  </si>
  <si>
    <t>Rechazar la inactivacion e informar que ese registro no se puede inactivar.</t>
  </si>
  <si>
    <t>El producto interno tiene lotes, compras o recetas registradas.</t>
  </si>
  <si>
    <t>Inactivar el producto interno sin borrar su historial.</t>
  </si>
  <si>
    <t>Lista de ProductoInterno</t>
  </si>
  <si>
    <t>Productos internos activos.</t>
  </si>
  <si>
    <t>No existen productos internos activos.</t>
  </si>
  <si>
    <t>Informar que no hay productos internos activos.</t>
  </si>
  <si>
    <t>Asegurar que los datos requeridos para registrar un producto sean validos: nombre de 1 a 40 caracteres, tipo de producto y tamano diligenciados, y precio mayor que 0 y como maximo 1.000.000.</t>
  </si>
  <si>
    <t>Asegurar que, cuando el producto sea un producto interno, exista un producto interno con el mismo nombre y se asocie como ProductoInternoAsociado; si no es producto interno, se asocia el registro "Sin insumo".</t>
  </si>
  <si>
    <t>Asegurar que el producto que se quiere inactivar se encuentre registrado en el sistema.</t>
  </si>
  <si>
    <t>Asegurar que al inactivar un producto se conserve su informacion historica (precios, ventas y recetas), aunque ya no se ofrezca en la pizzeria.</t>
  </si>
  <si>
    <t>P-PRO-010</t>
  </si>
  <si>
    <t>Al registrar un producto, su precio queda registrado en HistoricoPrecio como precio vigente desde la fecha de registro (FechaFin 01/01/1000).</t>
  </si>
  <si>
    <t>P-PRO-011</t>
  </si>
  <si>
    <t>Asegurar que un producto inactivo no pueda venderse ni recibir nuevos ingredientes en su receta.</t>
  </si>
  <si>
    <t>P-PRO-012</t>
  </si>
  <si>
    <t>Asegurar que el producto que se desea inactivar no se encuentre ya inactivo.</t>
  </si>
  <si>
    <t>P-PRO-013</t>
  </si>
  <si>
    <t>Asegurar que solo se consulten los productos activos.</t>
  </si>
  <si>
    <t>Inactivar producto</t>
  </si>
  <si>
    <t>Permite inactivar un producto que la pizzeria ya no ofrece: no se puede vender, pero se conserva su historial de precios, ventas y recetas.</t>
  </si>
  <si>
    <t>Producto inactivado</t>
  </si>
  <si>
    <t>Consultar productos activos</t>
  </si>
  <si>
    <t>Permite consultar los productos activos que la pizzeria ofrece, por ejemplo para registrar una venta o armar una receta.</t>
  </si>
  <si>
    <t>Productos registrados</t>
  </si>
  <si>
    <t>Productos con estado activo.</t>
  </si>
  <si>
    <t>Productos activos consultados</t>
  </si>
  <si>
    <t>No existe un producto interno con el mismo nombre del producto.</t>
  </si>
  <si>
    <t>Rechazar el registro e informar que primero debe registrarse el producto interno.</t>
  </si>
  <si>
    <t>No fue posible registrar el precio inicial en el historico de precios.</t>
  </si>
  <si>
    <t>Rechazar el registro completo para que el producto no quede sin precio vigente.</t>
  </si>
  <si>
    <t>Producto inactivado.</t>
  </si>
  <si>
    <t>El producto ya se encuentra inactivo.</t>
  </si>
  <si>
    <t>Informar que el producto ya esta inactivo.</t>
  </si>
  <si>
    <t>El producto tiene precios, ventas o recetas registradas.</t>
  </si>
  <si>
    <t>Inactivar el producto sin borrar su historial.</t>
  </si>
  <si>
    <t>Lista de Producto</t>
  </si>
  <si>
    <t>Productos activos con su tipo, tamano y precio.</t>
  </si>
  <si>
    <t>No existen productos activos.</t>
  </si>
  <si>
    <t>Informar que no hay productos activos.</t>
  </si>
  <si>
    <t>El precio registrado debe ser mayor que cero y como maximo 1.000.000.</t>
  </si>
  <si>
    <t>La fecha de finalizacion de un precio debe ser mayor o igual a su fecha de inicio; mientras el precio este vigente se registra 01/01/1000.</t>
  </si>
  <si>
    <t>Al registrar un nuevo precio para un producto, el precio vigente anterior se cierra asignandole como FechaFin el dia anterior al inicio del nuevo precio; el nuevo queda vigente (FechaFin 01/01/1000) y se actualiza el precio del producto.</t>
  </si>
  <si>
    <t>El historico de precios de un producto debe conservarse aunque el producto sea inactivado.</t>
  </si>
  <si>
    <t>Consultar historico de precios de un producto</t>
  </si>
  <si>
    <t>Permite consultar todos los precios que ha tenido un producto, con su periodo de vigencia.</t>
  </si>
  <si>
    <t>Historico de precios</t>
  </si>
  <si>
    <t>Producto del que se desea conocer el historico.</t>
  </si>
  <si>
    <t>Historico de precios consultado</t>
  </si>
  <si>
    <t>El precio no es mayor que cero o supera 1.000.000.</t>
  </si>
  <si>
    <t>La fecha de finalizacion es anterior a la fecha de inicio.</t>
  </si>
  <si>
    <t>Rechazar el registro e informar que las fechas no son validas.</t>
  </si>
  <si>
    <t>No fue posible cerrar el precio vigente anterior.</t>
  </si>
  <si>
    <t>Rechazar el registro para no dejar dos precios vigentes.</t>
  </si>
  <si>
    <t>Identificador del producto.</t>
  </si>
  <si>
    <t>Lista de HistoricoPrecio</t>
  </si>
  <si>
    <t>Precios del producto ordenados por fecha de inicio.</t>
  </si>
  <si>
    <t>El producto no existe.</t>
  </si>
  <si>
    <t>Informar que el producto no existe.</t>
  </si>
  <si>
    <t>Asegurar que la cantidad registrada para un producto interno sea mayor que cero y como maximo 10.000.</t>
  </si>
  <si>
    <t>Asegurar que la unidad de medida del detalle de receta se asigne automaticamente segun el tipo de medida del producto interno: Peso = g, Volumen = ml, Unidad = und. El usuario no la ingresa.</t>
  </si>
  <si>
    <t>P-DR-010</t>
  </si>
  <si>
    <t>Asegurar que el identificador generado para el detalle de receta no este siendo utilizado por otro detalle de receta.</t>
  </si>
  <si>
    <t>P-DR-011</t>
  </si>
  <si>
    <t>Asegurar que el producto interno del ingrediente se encuentre activo.</t>
  </si>
  <si>
    <t>P-DR-012</t>
  </si>
  <si>
    <t>Asegurar que la consulta retorne los ingredientes que cumplan con los criterios indicados (producto, producto interno o unidad de medida).</t>
  </si>
  <si>
    <t>P-DR-013</t>
  </si>
  <si>
    <t>Asegurar que se consulten las recetas de los productos activos o de los inactivos, segun lo solicitado.</t>
  </si>
  <si>
    <t>P-DR-014</t>
  </si>
  <si>
    <t>Asegurar que el producto al que se agrega el ingrediente se encuentre activo.</t>
  </si>
  <si>
    <t>Consultar ingredientes por filtro</t>
  </si>
  <si>
    <t>Permite consultar los ingredientes de recetas que cumplan con los criterios indicados, por ejemplo todos los ingredientes de un producto.</t>
  </si>
  <si>
    <t>Criterios de busqueda</t>
  </si>
  <si>
    <t>Producto, producto interno o unidad de medida por los que se desea filtrar.</t>
  </si>
  <si>
    <t>Ingredientes consultados</t>
  </si>
  <si>
    <t>Consultar recetas de productos activos</t>
  </si>
  <si>
    <t>Permite consultar las recetas (ingredientes) de los productos que la pizzeria ofrece actualmente.</t>
  </si>
  <si>
    <t>Recetas registradas</t>
  </si>
  <si>
    <t>Recetas de los productos con estado activo.</t>
  </si>
  <si>
    <t>Recetas de productos activos consultadas</t>
  </si>
  <si>
    <t>Consultar recetas de productos inactivos</t>
  </si>
  <si>
    <t>Permite consultar las recetas de los productos que la pizzeria ya no ofrece, para conservar su historial.</t>
  </si>
  <si>
    <t>Recetas de los productos con estado inactivo.</t>
  </si>
  <si>
    <t>Recetas de productos inactivos consultadas</t>
  </si>
  <si>
    <t>El producto se encuentra inactivo.</t>
  </si>
  <si>
    <t>Rechazar el registro e informar que el producto no esta disponible.</t>
  </si>
  <si>
    <t>La cantidad no es mayor que cero o supera 10.000.</t>
  </si>
  <si>
    <t>No fue posible determinar la unidad de medida a partir del producto interno.</t>
  </si>
  <si>
    <t>Rechazar el registro e informar que el producto interno no tiene una unidad de medida valida.</t>
  </si>
  <si>
    <t>La nueva cantidad no es mayor que cero o supera 10.000.</t>
  </si>
  <si>
    <t>Filtro</t>
  </si>
  <si>
    <t>Criterios de busqueda.</t>
  </si>
  <si>
    <t>Lista de DetalleReceta</t>
  </si>
  <si>
    <t>Ingredientes que cumplen con el filtro.</t>
  </si>
  <si>
    <t>No existen ingredientes que cumplan con el filtro.</t>
  </si>
  <si>
    <t>Informar que no se encontraron resultados.</t>
  </si>
  <si>
    <t>Ingredientes de las recetas de productos activos.</t>
  </si>
  <si>
    <t>No existen recetas de productos activos.</t>
  </si>
  <si>
    <t>Informar que no hay recetas registradas para productos activos.</t>
  </si>
  <si>
    <t>Ingredientes de las recetas de productos inactivos.</t>
  </si>
  <si>
    <t>No existen recetas de productos inactivos.</t>
  </si>
  <si>
    <t>Informar que no hay recetas registradas para productos inactivos.</t>
  </si>
  <si>
    <t>Asegurar que no exista otra venta registrada con la misma Fecha y la misma Hora.</t>
  </si>
  <si>
    <t>Asegurar que el total de la venta corresponda a la suma de los subtotales de sus detalles y no supere 1.000.000.</t>
  </si>
  <si>
    <t>Asegurar que al confirmar una venta se le asigne el siguiente numero de factura del consecutivo (FV- seguido de 6 digitos), sin repetir un numero que ya tenga otra venta.</t>
  </si>
  <si>
    <t>P-VEN-011</t>
  </si>
  <si>
    <t>Si no se indica el cliente de la venta, se registra 2222222222 (consumidor final).</t>
  </si>
  <si>
    <t>P-VEN-012</t>
  </si>
  <si>
    <t>Al confirmar una venta se registran los consumos de cada detalle de venta, segun la receta del producto vendido o su producto interno asociado.</t>
  </si>
  <si>
    <t>P-VEN-013</t>
  </si>
  <si>
    <t>Al confirmar una venta, cada producto interno consumido sale del inventario por FIFO: primero del lote mas antiguo con saldo disponible (el de menor numero de lote); se registra un movimiento de Salida por cada lote afectado y se actualiza el inventario.</t>
  </si>
  <si>
    <t>Permite confirmar una venta: se calcula el total, se asigna el numero de factura, se registran los consumos y se descuenta el inventario por FIFO. Una venta confirmada ya no se puede modificar.</t>
  </si>
  <si>
    <t>Consultar venta</t>
  </si>
  <si>
    <t>Permite consultar una venta con sus detalles, su total y su numero de factura.</t>
  </si>
  <si>
    <t>Identificador de la venta que se desea consultar.</t>
  </si>
  <si>
    <t>Venta consultada</t>
  </si>
  <si>
    <t>No se indico el cliente de la venta.</t>
  </si>
  <si>
    <t>Registrar la venta con el cliente 2222222222 (consumidor final).</t>
  </si>
  <si>
    <t>La venta que se desea confirmar no existe.</t>
  </si>
  <si>
    <t>Rechazar la confirmacion e informar que la venta no existe.</t>
  </si>
  <si>
    <t>Informar que la venta ya fue confirmada y no puede modificarse.</t>
  </si>
  <si>
    <t>El total no corresponde a la suma de los subtotales o supera 1.000.000.</t>
  </si>
  <si>
    <t>Rechazar la confirmacion e informar el total calculado.</t>
  </si>
  <si>
    <t>No fue posible registrar los consumos de la venta.</t>
  </si>
  <si>
    <t>Rechazar la confirmacion completa para no dejar el inventario inconsistente.</t>
  </si>
  <si>
    <t>No hay saldo suficiente en los lotes para descontar los productos internos.</t>
  </si>
  <si>
    <t>Rechazar la confirmacion e informar que producto interno no tiene existencias suficientes.</t>
  </si>
  <si>
    <t>Identificador de la venta.</t>
  </si>
  <si>
    <t>Venta con sus detalles y su total.</t>
  </si>
  <si>
    <t>No existe una venta con el identificador indicado.</t>
  </si>
  <si>
    <t>Informar que la venta no existe.</t>
  </si>
  <si>
    <t>El producto asociado a un detalle de venta debe existir y encontrarse activo.</t>
  </si>
  <si>
    <t>La cantidad registrada en un detalle de venta debe ser un numero entero mayor que cero y como maximo 1000.</t>
  </si>
  <si>
    <t>Cuando el producto se vende directo del inventario (sin receta, por ejemplo una bebida), el consumo se registra sobre su producto interno asociado.</t>
  </si>
  <si>
    <t>P-DV-013</t>
  </si>
  <si>
    <t>El subtotal del detalle se calcula como la cantidad por el precio del producto; no lo digita el usuario.</t>
  </si>
  <si>
    <t>Producto agregado a la venta</t>
  </si>
  <si>
    <t>Retirar producto de la venta</t>
  </si>
  <si>
    <t>Permite quitar un producto de una venta que todavia no ha sido confirmada.</t>
  </si>
  <si>
    <t>Detalle de venta</t>
  </si>
  <si>
    <t>Detalle que se desea quitar de la venta.</t>
  </si>
  <si>
    <t>Producto retirado de la venta</t>
  </si>
  <si>
    <t>La venta a la que se agrega el producto no existe.</t>
  </si>
  <si>
    <t>Rechazar el registro e informar que la venta no existe.</t>
  </si>
  <si>
    <t>La venta ya fue confirmada.</t>
  </si>
  <si>
    <t>Rechazar el cambio e informar que una venta confirmada no se puede modificar.</t>
  </si>
  <si>
    <t>El producto no existe o se encuentra inactivo.</t>
  </si>
  <si>
    <t>Rechazar el registro e informar que el producto no esta disponible para la venta.</t>
  </si>
  <si>
    <t>La cantidad no es un numero entero entre 1 y 1000.</t>
  </si>
  <si>
    <t>El producto ya esta en la venta.</t>
  </si>
  <si>
    <t>Rechazar el registro e indicar que se modifique la cantidad del detalle existente.</t>
  </si>
  <si>
    <t>El subtotal no corresponde a la cantidad por el precio.</t>
  </si>
  <si>
    <t>Recalcular el subtotal a partir de la cantidad y el precio.</t>
  </si>
  <si>
    <t>La nueva cantidad no es un numero entero entre 1 y 1000.</t>
  </si>
  <si>
    <t>Detalle de venta retirado.</t>
  </si>
  <si>
    <t>El detalle de venta que se desea retirar no existe.</t>
  </si>
  <si>
    <t>Rechazar la operacion e informar que el detalle no existe.</t>
  </si>
  <si>
    <t>Asegurar que la clase de movimiento sea valida para la operacion: Entrada para compras y para el lote de reemplazo de un cambio; Salida para ventas y para el lote que se devuelve en un cambio.</t>
  </si>
  <si>
    <t>Asegurar que la cantidad registrada en un movimiento de inventario sea mayor que cero y como maximo 10.000.</t>
  </si>
  <si>
    <t>El retiro de producto de un lote por vencimiento no es un movimiento de inventario: se registra como SalidaLote, que descuenta el saldo del lote.</t>
  </si>
  <si>
    <t>Asegurar que un movimiento de inventario relacionado con una compra corresponda a un detalle de compra valido y use su mismo TipoMovimiento.</t>
  </si>
  <si>
    <t>Asegurar que un movimiento de Salida por venta corresponda a un consumo de venta valido y use su mismo TipoMovimiento.</t>
  </si>
  <si>
    <t>Asegurar que el movimiento de inventario exista con el identificador indicado.</t>
  </si>
  <si>
    <t>La Cantidad del movimiento se copia de la operacion que lo genera y queda fija: del DetalleCompra para Compra, del ConsumoVenta para Venta (repartida entre los lotes por FIFO) y del Cambio para Cambio. No se recalcula despues, aunque la receta cambie.</t>
  </si>
  <si>
    <t>Asegurar que un movimiento con categoria de origen Cambio solo se genere para un producto interno no perecedero.</t>
  </si>
  <si>
    <t>Asegurar que el TipoMovimiento del movimiento exista y pertenezca a una categoria de origen valida (Compra, Venta o Cambio).</t>
  </si>
  <si>
    <t>Asegurar que las salidas por venta se tomen por FIFO: primero del lote mas antiguo con saldo disponible del producto interno, pasando al siguiente lote cuando el saldo no alcance.</t>
  </si>
  <si>
    <t>P-MI-017</t>
  </si>
  <si>
    <t>Al registrar un movimiento se actualiza el saldo del lote afectado y la cantidad total del inventario del producto interno.</t>
  </si>
  <si>
    <t>Registra la salida de los productos internos consumidos en una venta confirmada, descontandolos de los lotes por FIFO.</t>
  </si>
  <si>
    <t>ConsumoVenta, Lote</t>
  </si>
  <si>
    <t>Consumos de la venta y lotes disponibles del producto interno.</t>
  </si>
  <si>
    <t>Registrar movimientos por cambio de producto</t>
  </si>
  <si>
    <t>Cuando se registra el cambio de un producto no perecedero, registra la Salida del lote que se devuelve al proveedor y la Entrada del lote de reemplazo, con el TipoMovimiento del cambio.</t>
  </si>
  <si>
    <t>Consultar movimientos de un lote</t>
  </si>
  <si>
    <t>Permite consultar las entradas y salidas registradas sobre un lote, para conocer la trazabilidad de sus existencias.</t>
  </si>
  <si>
    <t>Movimientos registrados</t>
  </si>
  <si>
    <t>Lote del que se desean conocer los movimientos.</t>
  </si>
  <si>
    <t>Movimientos de lote consultados</t>
  </si>
  <si>
    <t>Los datos requeridos para registrar el movimiento no son validos.</t>
  </si>
  <si>
    <t>La clase de movimiento no corresponde a la operacion.</t>
  </si>
  <si>
    <t>Rechazar el registro e informar la clase de movimiento esperada.</t>
  </si>
  <si>
    <t>El TipoMovimiento no existe o su categoria de origen no es valida.</t>
  </si>
  <si>
    <t>Rechazar el registro e informar que el codigo de operacion no es valido.</t>
  </si>
  <si>
    <t>El detalle de compra asociado no es valido.</t>
  </si>
  <si>
    <t>Rechazar el registro e informar que el detalle de compra no existe.</t>
  </si>
  <si>
    <t>El lote sobre el cual se registra el movimiento no existe.</t>
  </si>
  <si>
    <t>Ya existe un movimiento con el mismo TipoMovimiento sobre el mismo lote.</t>
  </si>
  <si>
    <t>La cantidad no corresponde a la de la operacion que genera el movimiento.</t>
  </si>
  <si>
    <t>Copiar la cantidad de la operacion de origen y dejarla fija.</t>
  </si>
  <si>
    <t>No fue posible actualizar el saldo del lote o el inventario.</t>
  </si>
  <si>
    <t>Consumo de venta que origina la salida.</t>
  </si>
  <si>
    <t>El consumo de venta asociado no es valido.</t>
  </si>
  <si>
    <t>Rechazar el registro e informar que el consumo de venta no existe.</t>
  </si>
  <si>
    <t>No hay lotes con saldo suficiente para cubrir la salida.</t>
  </si>
  <si>
    <t>El cambio asociado no existe o no es valido.</t>
  </si>
  <si>
    <t>Rechazar el registro e informar que el cambio no existe.</t>
  </si>
  <si>
    <t>El producto interno del cambio es perecedero.</t>
  </si>
  <si>
    <t>Rechazar el registro: los perecederos no se cambian, se retiran con SalidaLote.</t>
  </si>
  <si>
    <t>Identificador del lote.</t>
  </si>
  <si>
    <t>Lista de MovimientoInventario</t>
  </si>
  <si>
    <t>Entradas y salidas del lote ordenadas por fecha.</t>
  </si>
  <si>
    <t>El lote no existe.</t>
  </si>
  <si>
    <t>Se buscan retiros por vencimiento entre los movimientos de inventario.</t>
  </si>
  <si>
    <t>Indicar que los retiros por vencimiento se consultan en SalidaLote.</t>
  </si>
  <si>
    <t>Asegurar que la cantidad inicial registrada para un lote sea mayor que cero y como maximo 10.000.</t>
  </si>
  <si>
    <t>Asegurar que el saldo de un lote nunca sea inferior a cero ni superior a su cantidad: el saldo es la cantidad menos las salidas por venta, las salidas por cambio y los retiros (SalidaLote).</t>
  </si>
  <si>
    <t>Ningun atributo de un lote (FechaVencimiento, ProductoInterno, Cantidad, Saldo, Disponible, UnidadMedidaInventario, NumeroLote) puede ser modificado manualmente; todos se generan o recalculan automaticamente.</t>
  </si>
  <si>
    <t>P-LOT-012</t>
  </si>
  <si>
    <t>Asegurar que el NumeroLote sea consecutivo por producto interno: el primer lote es 1 y cada nuevo lote del mismo producto interno toma el siguiente numero.</t>
  </si>
  <si>
    <t>P-LOT-013</t>
  </si>
  <si>
    <t>Asegurar que el lote quede disponible mientras su saldo sea mayor que cero y no disponible cuando llegue a cero.</t>
  </si>
  <si>
    <t>Cuando se registra un detalle de compra o el reemplazo de un cambio, el sistema crea automaticamente el lote del producto interno con su cantidad, saldo, fecha de vencimiento y numero de lote consecutivo.</t>
  </si>
  <si>
    <t>Cada vez que se registra una salida por venta o por cambio, o un retiro (SalidaLote), el saldo del lote se recalcula automaticamente.</t>
  </si>
  <si>
    <t>MovimientoInventario, SalidaLote</t>
  </si>
  <si>
    <t>Salidas y retiros que afectan el lote.</t>
  </si>
  <si>
    <t>La cantidad inicial no es mayor que cero o supera 10.000.</t>
  </si>
  <si>
    <t>El numero de lote no es el siguiente consecutivo del producto interno.</t>
  </si>
  <si>
    <t>Asignar el siguiente numero de lote consecutivo.</t>
  </si>
  <si>
    <t>El recalculo dejaria el saldo por debajo de cero o por encima de la cantidad.</t>
  </si>
  <si>
    <t>Rechazar la operacion que origina el recalculo.</t>
  </si>
  <si>
    <t>El saldo del lote llego a cero.</t>
  </si>
  <si>
    <t>Marcar el lote como no disponible.</t>
  </si>
  <si>
    <t>Asegurar que la cantidad disponible de una existencia no sea inferior a cero ni superior a 100.000.</t>
  </si>
  <si>
    <t>Asegurar que el stock minimo sea mayor que cero y como maximo 100.000; si no se indica, se registra 1.</t>
  </si>
  <si>
    <t>Asegurar que no exista mas de un registro de inventario para el mismo ProductoInterno.</t>
  </si>
  <si>
    <t>La cantidad resultante seria inferior a cero o superior a 100.000.</t>
  </si>
  <si>
    <t>Rechazar la actualizacion e informar el rango permitido.</t>
  </si>
  <si>
    <t>Ya existe otro registro de inventario para el mismo producto interno.</t>
  </si>
  <si>
    <t>Rechazar la operacion e informar la duplicidad.</t>
  </si>
  <si>
    <t>El stock minimo no es mayor que cero o supera 100.000.</t>
  </si>
  <si>
    <t>Rechazar el cambio e informar el rango permitido.</t>
  </si>
  <si>
    <t>Asegurar que el producto interno asociado al cambio sea no perecedero; un producto perecedero no se cambia con el proveedor, se retira del lote con SalidaLote.</t>
  </si>
  <si>
    <t>Asegurar que la cantidad registrada en el cambio sea mayor que cero y como maximo 10.000.</t>
  </si>
  <si>
    <t>P-CAM-010</t>
  </si>
  <si>
    <t>Al registrar un cambio se genera su propio TipoMovimiento de categoria Cambio, que no se repite.</t>
  </si>
  <si>
    <t>P-CAM-011</t>
  </si>
  <si>
    <t>Al registrar un cambio se registra la Salida del lote que se devuelve al proveedor y se crea un nuevo lote con el producto de reemplazo y su Entrada, ambos con el TipoMovimiento del cambio.</t>
  </si>
  <si>
    <t>Consultar cambio</t>
  </si>
  <si>
    <t>Permite consultar un cambio de producto registrado, con su producto, cantidad y fechas.</t>
  </si>
  <si>
    <t>Cambios registrados</t>
  </si>
  <si>
    <t>Identificador del cambio que se desea consultar.</t>
  </si>
  <si>
    <t>Cambio consultado</t>
  </si>
  <si>
    <t>No fue posible generar el TipoMovimiento del cambio.</t>
  </si>
  <si>
    <t>Rechazar el registro y no generar movimientos.</t>
  </si>
  <si>
    <t>No fue posible registrar la salida del lote o la entrada del reemplazo.</t>
  </si>
  <si>
    <t>Identificador del cambio.</t>
  </si>
  <si>
    <t>Cambio con su producto, cantidad y fechas.</t>
  </si>
  <si>
    <t>No existe un cambio con el identificador indicado.</t>
  </si>
  <si>
    <t>Informar que el cambio no existe.</t>
  </si>
  <si>
    <t>P-SL-006</t>
  </si>
  <si>
    <t>Al registrar una salida de lote se descuenta la cantidad del saldo del lote y de la cantidad total del inventario del producto interno; no genera movimiento de inventario.</t>
  </si>
  <si>
    <t>P-CV-006</t>
  </si>
  <si>
    <t>Al registrar un consumo se genera su propio TipoMovimiento de categoria Venta y se registran las salidas de inventario por FIFO sobre los lotes del producto interno.</t>
  </si>
  <si>
    <t>No fue posible registrar las salidas de inventario del consumo.</t>
  </si>
  <si>
    <t>¿Se permitirá agregar productos al detalle de venta si el sistema detecta que el inventario virtual está en cero? Respuesta: Si. El inventario no se valida al agregar productos, sino al confirmar la venta (P-VEN-005 y P-VEN-013).</t>
  </si>
  <si>
    <t>Cada pizzería administra un inventario independiente.</t>
  </si>
  <si>
    <t>Todo cambio en las existencias de los productos internos debe quedar registrado: las entradas y salidas por compra, venta y cambio mediante un MovimientoInventario, y los retiros por vencimiento mediante una SalidaLote.</t>
  </si>
  <si>
    <t>El inventario debe reflejar automáticamente los movimientos y retiros registrados (actualizaciones).</t>
  </si>
  <si>
    <t>Cada pizza y cada adición posee una única receta. Las bebidas no tienen receta, porque se venden directamente del inventario.</t>
  </si>
  <si>
    <t>Una venta puede tener muchos productos, cada uno registrado en un DetalleVenta. El total de la venta se calcula como la suma de los subtotales de sus detalles y, con base en él, se emite la factura y se realiza el pago.</t>
  </si>
  <si>
    <t>Todo se paga de contado, para no manejar sistemas de crédito con los proveedores.</t>
  </si>
  <si>
    <t>No se maneja nómina: el sistema no registra empleados ni sueldos. Solo existe el usuario Administrador, que es quien ingresa a la aplicación.</t>
  </si>
  <si>
    <t>El precio de un producto puede cambiarse cuando sea necesario; cada cambio queda registrado en HistoricoPrecio.</t>
  </si>
  <si>
    <t>Cada instancia del sistema corresponde a una sola pizzería, y la información operativa pertenece exclusivamente a la pizzería que utiliza dicha instancia.</t>
  </si>
  <si>
    <t>El valor total de una compra corresponde a la suma de los precios de compra de todos sus detalles de compra, y no puede superar 5.000.000.</t>
  </si>
  <si>
    <t>Solo los usuarios activos con rol Administrador pueden ingresar a la aplicación.</t>
  </si>
  <si>
    <t>La unidad de medida de cada ingrediente de una receta se asigna automáticamente según el tipo de medida del producto interno: Peso = g, Volumen = ml, Unidad = und.</t>
  </si>
  <si>
    <t>Los proveedores, los productos y los productos internos no se eliminan: se retiran o inactivan, para conservar su historial de compras, ventas, recetas y precios.</t>
  </si>
  <si>
    <t>Un producto solo puede tener un precio vigente, que se identifica con la FechaFin 01/01/1000. Al registrar un nuevo precio, el anterior se cierra.</t>
  </si>
  <si>
    <t>Los productos que se venden directo del inventario (por ejemplo las bebidas) deben tener un producto interno con el mismo nombre; los demás productos se asocian al registro "Sin insumo".</t>
  </si>
  <si>
    <t>Cada producto interno tiene un único registro de inventario, que se crea al registrar el producto interno.</t>
  </si>
  <si>
    <t>La fecha de vencimiento de un lote es la fecha de compra más la vida útil si el producto es perecedero; si no lo es, es la fecha de vencimiento que trae el producto.</t>
  </si>
  <si>
    <t>Si no se indica el cliente de una venta, se registra 2222222222 (consumidor final).</t>
  </si>
  <si>
    <t>El número de factura de venta (FV- seguido de 6 dígitos) se asigna de forma consecutiva al confirmar la venta.</t>
  </si>
  <si>
    <t>Las existencias se validan al confirmar la venta, no al agregar productos al detalle. Una venta confirmada no se puede modificar ni eliminar.</t>
  </si>
  <si>
    <t>Al confirmar una venta, los productos internos consumidos salen del inventario por FIFO: primero del lote más antiguo con saldo disponible.</t>
  </si>
  <si>
    <t>Cuando un lote está próximo a vencer: si el producto es no perecedero se cambia con el proveedor (Cambio); si es perecedero no se cambia, se retira del lote con una SalidaLote.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</si>
</sst>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dd/mm/yyyy"/>
    <numFmt numFmtId="166" formatCode="d/m/yyyy"/>
  </numFmts>
  <fonts count="75">
    <font>
      <sz val="10"/>
      <color rgb="FF000000"/>
      <name val="Arial"/>
      <scheme val="minor"/>
    </font>
    <font>
      <sz val="10"/>
      <color theme="1"/>
      <name val="Arial"/>
      <family val="2"/>
      <scheme val="minor"/>
    </font>
    <font>
      <u/>
      <sz val="7"/>
      <color rgb="FF0000FF"/>
      <name val="Arial"/>
      <family val="2"/>
    </font>
    <font>
      <u/>
      <sz val="8"/>
      <color rgb="FF0000FF"/>
      <name val="Arial"/>
      <family val="2"/>
    </font>
    <font>
      <u/>
      <sz val="10"/>
      <color rgb="FF0000FF"/>
      <name val="Arial"/>
      <family val="2"/>
    </font>
    <font>
      <sz val="10"/>
      <color rgb="FF000000"/>
      <name val="Arial"/>
      <family val="2"/>
      <scheme val="minor"/>
    </font>
    <font>
      <b/>
      <sz val="11"/>
      <color rgb="FF000000"/>
      <name val="&quot;Aptos Narrow&quot;"/>
    </font>
    <font>
      <sz val="11"/>
      <color rgb="FF000000"/>
      <name val="Arial"/>
      <family val="2"/>
    </font>
    <font>
      <sz val="11"/>
      <color rgb="FF000000"/>
      <name val="&quot;Aptos Narrow&quot;"/>
    </font>
    <font>
      <sz val="11"/>
      <color theme="1"/>
      <name val="Arial"/>
      <family val="2"/>
    </font>
    <font>
      <b/>
      <sz val="10"/>
      <color rgb="FF000000"/>
      <name val="&quot;Aptos Narrow&quot;"/>
    </font>
    <font>
      <sz val="10"/>
      <color rgb="FF000000"/>
      <name val="Arial"/>
      <family val="2"/>
    </font>
    <font>
      <sz val="10"/>
      <color theme="1"/>
      <name val="Arial"/>
      <family val="2"/>
    </font>
    <font>
      <u/>
      <sz val="11"/>
      <color rgb="FF0000FF"/>
      <name val="Arial"/>
      <family val="2"/>
    </font>
    <font>
      <b/>
      <sz val="10"/>
      <color theme="1"/>
      <name val="Arial"/>
      <family val="2"/>
      <scheme val="minor"/>
    </font>
    <font>
      <b/>
      <sz val="10"/>
      <color rgb="FF000000"/>
      <name val="Arial"/>
      <family val="2"/>
      <scheme val="minor"/>
    </font>
    <font>
      <u/>
      <sz val="11"/>
      <color rgb="FF000000"/>
      <name val="Arial"/>
      <family val="2"/>
    </font>
    <font>
      <sz val="7"/>
      <color theme="1"/>
      <name val="Arial"/>
      <family val="2"/>
      <scheme val="minor"/>
    </font>
    <font>
      <u/>
      <sz val="10"/>
      <color rgb="FF000000"/>
      <name val="&quot;Aptos Narrow&quot;"/>
    </font>
    <font>
      <sz val="10"/>
      <color rgb="FF1F1F1F"/>
      <name val="Arial"/>
      <family val="2"/>
      <scheme val="minor"/>
    </font>
    <font>
      <u/>
      <sz val="8"/>
      <color rgb="FF1155CC"/>
      <name val="Arial"/>
      <family val="2"/>
    </font>
    <font>
      <u/>
      <sz val="7"/>
      <color rgb="FF1155CC"/>
      <name val="Arial"/>
      <family val="2"/>
    </font>
    <font>
      <b/>
      <sz val="10"/>
      <color theme="1"/>
      <name val="Aptos Narrow"/>
      <family val="2"/>
    </font>
    <font>
      <u/>
      <sz val="10"/>
      <color rgb="FF0563C1"/>
      <name val="Arial"/>
      <family val="2"/>
    </font>
    <font>
      <u/>
      <sz val="10"/>
      <color theme="10"/>
      <name val="Arial"/>
      <family val="2"/>
      <scheme val="minor"/>
    </font>
    <font>
      <u/>
      <sz val="10"/>
      <color theme="1"/>
      <name val="Arial"/>
      <family val="2"/>
      <scheme val="minor"/>
    </font>
    <font>
      <u/>
      <sz val="10"/>
      <color rgb="FF0563C1"/>
      <name val="Arial"/>
      <family val="2"/>
    </font>
    <font>
      <sz val="11"/>
      <color rgb="FF000000"/>
      <name val="Aptos Narrow"/>
      <family val="2"/>
    </font>
    <font>
      <sz val="11"/>
      <color rgb="FF000000"/>
      <name val="Arial"/>
      <family val="2"/>
      <scheme val="minor"/>
    </font>
    <font>
      <sz val="11"/>
      <color theme="1"/>
      <name val="Aptos Narrow"/>
      <family val="2"/>
    </font>
    <font>
      <b/>
      <sz val="11"/>
      <color theme="1"/>
      <name val="Arial"/>
      <family val="2"/>
      <scheme val="minor"/>
    </font>
    <font>
      <sz val="10"/>
      <name val="Arial"/>
      <family val="2"/>
      <scheme val="minor"/>
    </font>
    <font>
      <sz val="10"/>
      <color theme="3"/>
      <name val="Arial"/>
      <family val="2"/>
    </font>
    <font>
      <u/>
      <sz val="10"/>
      <color theme="4" tint="-0.499984740745262"/>
      <name val="Arial"/>
      <family val="2"/>
      <scheme val="minor"/>
    </font>
    <font>
      <b/>
      <sz val="10"/>
      <name val="Arial"/>
      <family val="2"/>
    </font>
    <font>
      <sz val="10"/>
      <name val="Arial"/>
      <family val="2"/>
    </font>
    <font>
      <sz val="10"/>
      <color rgb="FF0563C1"/>
      <name val="Arial"/>
      <family val="2"/>
    </font>
    <font>
      <u/>
      <sz val="10"/>
      <color rgb="FF0000FF"/>
      <name val="Arial"/>
      <family val="2"/>
    </font>
    <font>
      <u/>
      <sz val="10"/>
      <color theme="4" tint="-0.499984740745262"/>
      <name val="Arial"/>
      <family val="2"/>
    </font>
    <font>
      <sz val="10"/>
      <color theme="3"/>
      <name val="Arial"/>
      <family val="2"/>
      <scheme val="minor"/>
    </font>
    <font>
      <sz val="10"/>
      <color rgb="FFFF0000"/>
      <name val="Arial"/>
      <family val="2"/>
      <scheme val="minor"/>
    </font>
    <font>
      <u/>
      <sz val="10"/>
      <color theme="4"/>
      <name val="Arial"/>
      <family val="2"/>
      <scheme val="minor"/>
    </font>
    <font>
      <sz val="10"/>
      <name val="Arial"/>
      <family val="2"/>
    </font>
    <font>
      <u/>
      <sz val="10"/>
      <color theme="4"/>
      <name val="Arial"/>
      <family val="2"/>
    </font>
    <font>
      <sz val="10"/>
      <color rgb="FF000000"/>
      <name val="Arial"/>
      <family val="2"/>
      <scheme val="major"/>
    </font>
    <font>
      <u/>
      <sz val="10"/>
      <color rgb="FF0563C1"/>
      <name val="Arial"/>
      <family val="2"/>
      <scheme val="major"/>
    </font>
    <font>
      <b/>
      <sz val="10"/>
      <color rgb="FF000000"/>
      <name val="Arial"/>
      <family val="2"/>
      <scheme val="major"/>
    </font>
    <font>
      <b/>
      <u/>
      <sz val="11"/>
      <color theme="4" tint="-0.499984740745262"/>
      <name val="Arial"/>
      <family val="2"/>
      <scheme val="minor"/>
    </font>
    <font>
      <b/>
      <sz val="10"/>
      <color theme="3"/>
      <name val="Aptos Narrow"/>
      <family val="2"/>
    </font>
    <font>
      <b/>
      <sz val="11"/>
      <color theme="3"/>
      <name val="Arial"/>
      <family val="2"/>
      <scheme val="minor"/>
    </font>
    <font>
      <u/>
      <sz val="10"/>
      <color theme="4" tint="-0.249977111117893"/>
      <name val="Arial"/>
      <family val="2"/>
      <scheme val="minor"/>
    </font>
    <font>
      <u/>
      <sz val="10"/>
      <color theme="4" tint="-0.249977111117893"/>
      <name val="Arial"/>
      <family val="2"/>
    </font>
    <font>
      <sz val="10"/>
      <color theme="4" tint="-0.499984740745262"/>
      <name val="Arial"/>
      <family val="2"/>
    </font>
    <font>
      <u/>
      <sz val="10"/>
      <color rgb="FF000000"/>
      <name val="Arial"/>
      <family val="2"/>
      <scheme val="minor"/>
    </font>
    <font>
      <u/>
      <sz val="10"/>
      <color rgb="FF0070C0"/>
      <name val="Arial"/>
      <family val="2"/>
    </font>
    <font>
      <sz val="10"/>
      <color rgb="FF0070C0"/>
      <name val="Arial"/>
      <family val="2"/>
    </font>
    <font>
      <sz val="10"/>
      <color theme="4"/>
      <name val="Arial"/>
      <family val="2"/>
      <scheme val="minor"/>
    </font>
    <font>
      <u/>
      <sz val="10"/>
      <color theme="3"/>
      <name val="Arial"/>
      <family val="2"/>
    </font>
    <font>
      <u/>
      <sz val="10"/>
      <color rgb="FF000000"/>
      <name val="Arial"/>
      <family val="2"/>
      <scheme val="major"/>
    </font>
    <font>
      <b/>
      <sz val="10"/>
      <color theme="3"/>
      <name val="Arial"/>
      <family val="2"/>
      <scheme val="major"/>
    </font>
    <font>
      <sz val="11"/>
      <color rgb="FF000000"/>
      <name val="Arial"/>
      <family val="2"/>
      <scheme val="major"/>
    </font>
    <font>
      <b/>
      <u/>
      <sz val="11"/>
      <name val="Arial"/>
      <family val="2"/>
      <scheme val="minor"/>
    </font>
    <font>
      <sz val="10"/>
      <color rgb="FF000000"/>
      <name val="&quot;Aptos Narrow&quot;"/>
    </font>
    <font>
      <b/>
      <sz val="14"/>
      <name val="Arial"/>
    </font>
    <font>
      <sz val="10"/>
      <name val="Arial"/>
    </font>
    <font>
      <i/>
      <sz val="10"/>
      <color rgb="FF555555"/>
      <name val="Arial"/>
    </font>
    <font>
      <b/>
      <sz val="11"/>
      <color rgb="FFFFFFFF"/>
      <name val="Arial"/>
    </font>
    <font>
      <b/>
      <sz val="10"/>
      <name val="Arial"/>
    </font>
    <font>
      <b/>
      <sz val="10"/>
      <color rgb="FF006100"/>
      <name val="Arial"/>
    </font>
    <font>
      <u/>
      <sz val="10"/>
      <color rgb="FF0563C1"/>
      <name val="Arial"/>
      <family val="2"/>
      <scheme val="minor"/>
    </font>
    <font>
      <u/>
      <sz val="11"/>
      <color rgb="FF0563C1"/>
      <name val="Arial"/>
      <family val="2"/>
      <scheme val="minor"/>
    </font>
    <font>
      <u/>
      <sz val="11"/>
      <color rgb="FF0563C1"/>
      <name val="&quot;Aptos Narrow&quot;"/>
    </font>
    <font>
      <u/>
      <sz val="11"/>
      <color rgb="FF0563C1"/>
      <name val="Arial"/>
      <family val="2"/>
    </font>
    <font>
      <b/>
      <u/>
      <sz val="11"/>
      <color rgb="FF0563C1"/>
      <name val="&quot;Aptos Narrow&quot;"/>
    </font>
    <font>
      <u/>
      <sz val="11"/>
      <color rgb="FF0563C1"/>
      <name val="Aptos Narrow"/>
      <family val="2"/>
    </font>
  </fonts>
  <fills count="110">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999999"/>
        <bgColor rgb="FF999999"/>
      </patternFill>
    </fill>
    <fill>
      <patternFill patternType="solid">
        <fgColor theme="9"/>
        <bgColor theme="9"/>
      </patternFill>
    </fill>
    <fill>
      <patternFill patternType="solid">
        <fgColor theme="7"/>
        <bgColor theme="7"/>
      </patternFill>
    </fill>
    <fill>
      <patternFill patternType="solid">
        <fgColor rgb="FF4A86E8"/>
        <bgColor rgb="FF4A86E8"/>
      </patternFill>
    </fill>
    <fill>
      <patternFill patternType="solid">
        <fgColor rgb="FFFF9900"/>
        <bgColor rgb="FFFF9900"/>
      </patternFill>
    </fill>
    <fill>
      <patternFill patternType="solid">
        <fgColor rgb="FFFCFCD0"/>
        <bgColor rgb="FFFCFCD0"/>
      </patternFill>
    </fill>
    <fill>
      <patternFill patternType="solid">
        <fgColor rgb="FFD9D9D9"/>
        <bgColor rgb="FFD9D9D9"/>
      </patternFill>
    </fill>
    <fill>
      <patternFill patternType="solid">
        <fgColor rgb="FFC0E6F5"/>
        <bgColor rgb="FFC0E6F5"/>
      </patternFill>
    </fill>
    <fill>
      <patternFill patternType="solid">
        <fgColor rgb="FFF2CEEF"/>
        <bgColor rgb="FFF2CEEF"/>
      </patternFill>
    </fill>
    <fill>
      <patternFill patternType="solid">
        <fgColor rgb="FFC1F0C8"/>
        <bgColor rgb="FFC1F0C8"/>
      </patternFill>
    </fill>
    <fill>
      <patternFill patternType="solid">
        <fgColor rgb="FFDAF2D0"/>
        <bgColor rgb="FFDAF2D0"/>
      </patternFill>
    </fill>
    <fill>
      <patternFill patternType="solid">
        <fgColor rgb="FFFCFCAA"/>
        <bgColor rgb="FFFCFCAA"/>
      </patternFill>
    </fill>
    <fill>
      <patternFill patternType="solid">
        <fgColor rgb="FFE49EDD"/>
        <bgColor rgb="FFE49EDD"/>
      </patternFill>
    </fill>
    <fill>
      <patternFill patternType="solid">
        <fgColor rgb="FFFFFF00"/>
        <bgColor rgb="FFFFFF00"/>
      </patternFill>
    </fill>
    <fill>
      <patternFill patternType="solid">
        <fgColor rgb="FF92D050"/>
        <bgColor rgb="FF92D050"/>
      </patternFill>
    </fill>
    <fill>
      <patternFill patternType="solid">
        <fgColor rgb="FFCC99FF"/>
        <bgColor rgb="FFCC99FF"/>
      </patternFill>
    </fill>
    <fill>
      <patternFill patternType="solid">
        <fgColor rgb="FFFDD3FA"/>
        <bgColor rgb="FFFDD3FA"/>
      </patternFill>
    </fill>
    <fill>
      <patternFill patternType="solid">
        <fgColor rgb="FFFFC000"/>
        <bgColor rgb="FFFFC000"/>
      </patternFill>
    </fill>
    <fill>
      <patternFill patternType="solid">
        <fgColor rgb="FFFA90B1"/>
        <bgColor rgb="FFFA90B1"/>
      </patternFill>
    </fill>
    <fill>
      <patternFill patternType="solid">
        <fgColor rgb="FF93C47D"/>
        <bgColor rgb="FF93C47D"/>
      </patternFill>
    </fill>
    <fill>
      <patternFill patternType="solid">
        <fgColor rgb="FFB6D7A8"/>
        <bgColor rgb="FFB6D7A8"/>
      </patternFill>
    </fill>
    <fill>
      <patternFill patternType="solid">
        <fgColor rgb="FFB7B7B7"/>
        <bgColor rgb="FFB7B7B7"/>
      </patternFill>
    </fill>
    <fill>
      <patternFill patternType="solid">
        <fgColor rgb="FF46BDC6"/>
        <bgColor rgb="FF46BDC6"/>
      </patternFill>
    </fill>
    <fill>
      <patternFill patternType="solid">
        <fgColor rgb="FF34A853"/>
        <bgColor rgb="FF34A853"/>
      </patternFill>
    </fill>
    <fill>
      <patternFill patternType="solid">
        <fgColor rgb="FFF3F3F3"/>
        <bgColor rgb="FFF3F3F3"/>
      </patternFill>
    </fill>
    <fill>
      <patternFill patternType="solid">
        <fgColor theme="4"/>
        <bgColor theme="4"/>
      </patternFill>
    </fill>
    <fill>
      <patternFill patternType="solid">
        <fgColor theme="2"/>
        <bgColor rgb="FF00FFFF"/>
      </patternFill>
    </fill>
    <fill>
      <patternFill patternType="solid">
        <fgColor theme="2"/>
        <bgColor indexed="64"/>
      </patternFill>
    </fill>
    <fill>
      <patternFill patternType="solid">
        <fgColor theme="2" tint="-0.34998626667073579"/>
        <bgColor theme="9"/>
      </patternFill>
    </fill>
    <fill>
      <patternFill patternType="solid">
        <fgColor theme="9"/>
        <bgColor indexed="64"/>
      </patternFill>
    </fill>
    <fill>
      <patternFill patternType="solid">
        <fgColor theme="2" tint="-0.14999847407452621"/>
        <bgColor indexed="64"/>
      </patternFill>
    </fill>
    <fill>
      <patternFill patternType="solid">
        <fgColor rgb="FFFFCCFF"/>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rgb="FFFF0000"/>
      </patternFill>
    </fill>
    <fill>
      <patternFill patternType="solid">
        <fgColor theme="0" tint="-0.14999847407452621"/>
        <bgColor rgb="FFD9D9D9"/>
      </patternFill>
    </fill>
    <fill>
      <patternFill patternType="solid">
        <fgColor theme="0"/>
        <bgColor rgb="FFD9D9D9"/>
      </patternFill>
    </fill>
    <fill>
      <patternFill patternType="solid">
        <fgColor theme="2" tint="-0.34998626667073579"/>
        <bgColor indexed="64"/>
      </patternFill>
    </fill>
    <fill>
      <patternFill patternType="solid">
        <fgColor theme="7"/>
        <bgColor indexed="64"/>
      </patternFill>
    </fill>
    <fill>
      <patternFill patternType="solid">
        <fgColor theme="2" tint="-0.14999847407452621"/>
        <bgColor rgb="FFD9D9D9"/>
      </patternFill>
    </fill>
    <fill>
      <patternFill patternType="solid">
        <fgColor theme="2" tint="-0.249977111117893"/>
        <bgColor rgb="FFD9D9D9"/>
      </patternFill>
    </fill>
    <fill>
      <patternFill patternType="solid">
        <fgColor theme="2" tint="-0.249977111117893"/>
        <bgColor indexed="64"/>
      </patternFill>
    </fill>
    <fill>
      <patternFill patternType="solid">
        <fgColor rgb="FFFF9933"/>
        <bgColor indexed="64"/>
      </patternFill>
    </fill>
    <fill>
      <patternFill patternType="solid">
        <fgColor theme="0"/>
        <bgColor rgb="FFF2CEEF"/>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999999"/>
      </patternFill>
    </fill>
    <fill>
      <patternFill patternType="solid">
        <fgColor rgb="FF46BDC6"/>
      </patternFill>
    </fill>
    <fill>
      <patternFill patternType="solid">
        <fgColor rgb="FF34A853"/>
      </patternFill>
    </fill>
    <fill>
      <patternFill patternType="solid">
        <fgColor rgb="FFD9D9D9"/>
      </patternFill>
    </fill>
    <fill>
      <patternFill patternType="solid">
        <fgColor rgb="FFFFFFFF"/>
      </patternFill>
    </fill>
    <fill>
      <patternFill patternType="solid">
        <fgColor theme="8"/>
        <bgColor indexed="64"/>
      </patternFill>
    </fill>
    <fill>
      <patternFill patternType="solid">
        <fgColor rgb="FF7030A0"/>
        <bgColor indexed="64"/>
      </patternFill>
    </fill>
    <fill>
      <patternFill patternType="solid">
        <fgColor rgb="FF7030A0"/>
        <bgColor rgb="FFFF9900"/>
      </patternFill>
    </fill>
    <fill>
      <patternFill patternType="solid">
        <fgColor theme="2"/>
        <bgColor rgb="FFFF9900"/>
      </patternFill>
    </fill>
    <fill>
      <patternFill patternType="solid">
        <fgColor theme="8"/>
        <bgColor rgb="FFFF9900"/>
      </patternFill>
    </fill>
    <fill>
      <patternFill patternType="solid">
        <fgColor rgb="FF7030A0"/>
        <bgColor rgb="FF4A86E8"/>
      </patternFill>
    </fill>
    <fill>
      <patternFill patternType="solid">
        <fgColor theme="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bgColor indexed="64"/>
      </patternFill>
    </fill>
    <fill>
      <patternFill patternType="solid">
        <fgColor theme="7" tint="0.79998168889431442"/>
        <bgColor indexed="65"/>
      </patternFill>
    </fill>
    <fill>
      <patternFill patternType="solid">
        <fgColor theme="9" tint="0.79998168889431442"/>
        <bgColor indexed="65"/>
      </patternFill>
    </fill>
    <fill>
      <patternFill patternType="solid">
        <fgColor theme="5" tint="0.79998168889431442"/>
        <bgColor indexed="64"/>
      </patternFill>
    </fill>
    <fill>
      <patternFill patternType="solid">
        <fgColor theme="0" tint="-0.249977111117893"/>
        <bgColor indexed="64"/>
      </patternFill>
    </fill>
    <fill>
      <patternFill patternType="solid">
        <fgColor theme="0"/>
        <bgColor rgb="FFFFC000"/>
      </patternFill>
    </fill>
    <fill>
      <patternFill patternType="solid">
        <fgColor theme="0"/>
        <bgColor rgb="FFFA90B1"/>
      </patternFill>
    </fill>
    <fill>
      <patternFill patternType="solid">
        <fgColor theme="5" tint="0.59999389629810485"/>
        <bgColor indexed="64"/>
      </patternFill>
    </fill>
    <fill>
      <patternFill patternType="solid">
        <fgColor theme="4" tint="0.39997558519241921"/>
        <bgColor indexed="64"/>
      </patternFill>
    </fill>
    <fill>
      <patternFill patternType="solid">
        <fgColor theme="2" tint="-0.14999847407452621"/>
        <bgColor rgb="FF999999"/>
      </patternFill>
    </fill>
    <fill>
      <patternFill patternType="solid">
        <fgColor theme="2"/>
        <bgColor rgb="FF00FF00"/>
      </patternFill>
    </fill>
    <fill>
      <patternFill patternType="solid">
        <fgColor theme="2"/>
        <bgColor rgb="FFFFFFFF"/>
      </patternFill>
    </fill>
    <fill>
      <patternFill patternType="solid">
        <fgColor theme="2"/>
        <bgColor rgb="FFFF0000"/>
      </patternFill>
    </fill>
    <fill>
      <patternFill patternType="solid">
        <fgColor theme="8" tint="0.59999389629810485"/>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rgb="FF7030A0"/>
      </patternFill>
    </fill>
    <fill>
      <patternFill patternType="solid">
        <fgColor rgb="FFE7E6E6"/>
      </patternFill>
    </fill>
    <fill>
      <patternFill patternType="solid">
        <fgColor rgb="FFFFF2CC"/>
      </patternFill>
    </fill>
    <fill>
      <patternFill patternType="solid">
        <fgColor rgb="FFC55A11"/>
      </patternFill>
    </fill>
    <fill>
      <patternFill patternType="solid">
        <fgColor rgb="FF2F75B5"/>
      </patternFill>
    </fill>
    <fill>
      <patternFill patternType="solid">
        <fgColor rgb="FF548235"/>
      </patternFill>
    </fill>
    <fill>
      <patternFill patternType="solid">
        <fgColor rgb="FF404040"/>
      </patternFill>
    </fill>
    <fill>
      <patternFill patternType="solid">
        <fgColor rgb="FFE2EFDA"/>
      </patternFill>
    </fill>
    <fill>
      <patternFill patternType="solid">
        <fgColor rgb="FF00FF00"/>
        <bgColor indexed="64"/>
      </patternFill>
    </fill>
    <fill>
      <patternFill patternType="solid">
        <fgColor rgb="FFFFFFFF"/>
        <bgColor indexed="64"/>
      </patternFill>
    </fill>
    <fill>
      <patternFill patternType="solid">
        <fgColor rgb="FFDAF1F3"/>
        <bgColor indexed="64"/>
      </patternFill>
    </fill>
    <fill>
      <patternFill patternType="solid">
        <fgColor rgb="FFFDE49B"/>
        <bgColor indexed="64"/>
      </patternFill>
    </fill>
    <fill>
      <patternFill patternType="solid">
        <fgColor rgb="FFFFE1CC"/>
        <bgColor indexed="64"/>
      </patternFill>
    </fill>
    <fill>
      <patternFill patternType="solid">
        <fgColor rgb="FFD9D9D9"/>
        <bgColor indexed="64"/>
      </patternFill>
    </fill>
    <fill>
      <patternFill patternType="solid">
        <fgColor rgb="FFD1F1DA"/>
        <bgColor indexed="64"/>
      </patternFill>
    </fill>
    <fill>
      <patternFill patternType="solid">
        <fgColor rgb="FFFEF2CD"/>
        <bgColor indexed="64"/>
      </patternFill>
    </fill>
    <fill>
      <patternFill patternType="solid">
        <fgColor rgb="FFFBDAD7"/>
        <bgColor indexed="64"/>
      </patternFill>
    </fill>
    <fill>
      <patternFill patternType="solid">
        <fgColor rgb="FFF2CEEF"/>
        <bgColor indexed="64"/>
      </patternFill>
    </fill>
    <fill>
      <patternFill patternType="solid">
        <fgColor rgb="FFFCFCD0"/>
        <bgColor indexed="64"/>
      </patternFill>
    </fill>
    <fill>
      <patternFill patternType="solid">
        <fgColor rgb="FFFDD868"/>
        <bgColor indexed="64"/>
      </patternFill>
    </fill>
    <fill>
      <patternFill patternType="solid">
        <fgColor rgb="FF8CB5F9"/>
        <bgColor indexed="64"/>
      </patternFill>
    </fill>
    <fill>
      <patternFill patternType="solid">
        <fgColor rgb="FFBFBFBF"/>
        <bgColor indexed="64"/>
      </patternFill>
    </fill>
    <fill>
      <patternFill patternType="solid">
        <fgColor rgb="FFFFC599"/>
        <bgColor indexed="64"/>
      </patternFill>
    </fill>
    <fill>
      <patternFill patternType="solid">
        <fgColor rgb="FFF28E86"/>
        <bgColor indexed="64"/>
      </patternFill>
    </fill>
    <fill>
      <patternFill patternType="solid">
        <fgColor theme="0" tint="-0.14999847407452621"/>
        <bgColor rgb="FFFF0000"/>
      </patternFill>
    </fill>
    <fill>
      <patternFill patternType="solid">
        <fgColor theme="9" tint="0.59999389629810485"/>
        <bgColor indexed="64"/>
      </patternFill>
    </fill>
  </fills>
  <borders count="9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thin">
        <color indexed="64"/>
      </left>
      <right style="thin">
        <color indexed="64"/>
      </right>
      <top style="thin">
        <color rgb="FF000000"/>
      </top>
      <bottom style="thin">
        <color auto="1"/>
      </bottom>
      <diagonal/>
    </border>
    <border>
      <left style="thin">
        <color rgb="FF000000"/>
      </left>
      <right/>
      <top/>
      <bottom style="thin">
        <color rgb="FF000000"/>
      </bottom>
      <diagonal/>
    </border>
    <border>
      <left style="thin">
        <color indexed="64"/>
      </left>
      <right/>
      <top style="thin">
        <color indexed="64"/>
      </top>
      <bottom style="thin">
        <color auto="1"/>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diagonal/>
    </border>
    <border>
      <left style="medium">
        <color rgb="FF000000"/>
      </left>
      <right/>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diagonal/>
    </border>
    <border>
      <left style="thin">
        <color rgb="FF999999"/>
      </left>
      <right style="thin">
        <color rgb="FF999999"/>
      </right>
      <top style="thin">
        <color rgb="FF999999"/>
      </top>
      <bottom style="thin">
        <color rgb="FF999999"/>
      </bottom>
      <diagonal/>
    </border>
    <border>
      <left style="thin">
        <color indexed="64"/>
      </left>
      <right/>
      <top style="thin">
        <color indexed="64"/>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indexed="64"/>
      </left>
      <right style="thin">
        <color indexed="64"/>
      </right>
      <top style="thin">
        <color rgb="FF000000"/>
      </top>
      <bottom/>
      <diagonal/>
    </border>
    <border>
      <left style="thin">
        <color rgb="FF000000"/>
      </left>
      <right/>
      <top style="thin">
        <color indexed="64"/>
      </top>
      <bottom/>
      <diagonal/>
    </border>
    <border>
      <left style="thin">
        <color rgb="FF000000"/>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auto="1"/>
      </bottom>
      <diagonal/>
    </border>
    <border>
      <left style="medium">
        <color rgb="FF000000"/>
      </left>
      <right/>
      <top style="medium">
        <color rgb="FF000000"/>
      </top>
      <bottom/>
      <diagonal/>
    </border>
    <border>
      <left style="thin">
        <color rgb="FF000000"/>
      </left>
      <right/>
      <top style="medium">
        <color rgb="FF000000"/>
      </top>
      <bottom/>
      <diagonal/>
    </border>
    <border>
      <left style="medium">
        <color rgb="FF000000"/>
      </left>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indexed="64"/>
      </right>
      <top style="medium">
        <color rgb="FF000000"/>
      </top>
      <bottom/>
      <diagonal/>
    </border>
    <border>
      <left style="medium">
        <color indexed="64"/>
      </left>
      <right/>
      <top style="thin">
        <color indexed="64"/>
      </top>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style="thin">
        <color indexed="64"/>
      </right>
      <top/>
      <bottom style="thin">
        <color rgb="FF000000"/>
      </bottom>
      <diagonal/>
    </border>
    <border>
      <left style="thin">
        <color rgb="FF000000"/>
      </left>
      <right/>
      <top style="thin">
        <color indexed="64"/>
      </top>
      <bottom style="thin">
        <color auto="1"/>
      </bottom>
      <diagonal/>
    </border>
    <border>
      <left style="thin">
        <color indexed="64"/>
      </left>
      <right style="medium">
        <color indexed="64"/>
      </right>
      <top style="thin">
        <color indexed="64"/>
      </top>
      <bottom/>
      <diagonal/>
    </border>
  </borders>
  <cellStyleXfs count="2">
    <xf numFmtId="0" fontId="0" fillId="0" borderId="45"/>
    <xf numFmtId="0" fontId="24" fillId="0" borderId="45"/>
  </cellStyleXfs>
  <cellXfs count="1657">
    <xf numFmtId="0" fontId="0" fillId="0" borderId="0" xfId="0" applyBorder="1"/>
    <xf numFmtId="0" fontId="2" fillId="2" borderId="0" xfId="0" applyFont="1" applyFill="1" applyBorder="1"/>
    <xf numFmtId="0" fontId="3" fillId="0" borderId="0" xfId="0" applyFont="1" applyBorder="1"/>
    <xf numFmtId="0" fontId="1" fillId="0" borderId="0" xfId="0" applyFont="1" applyBorder="1" applyAlignment="1">
      <alignment horizontal="center" vertical="center"/>
    </xf>
    <xf numFmtId="0" fontId="5" fillId="0" borderId="0" xfId="0" applyFont="1" applyBorder="1" applyAlignment="1">
      <alignment wrapText="1"/>
    </xf>
    <xf numFmtId="0" fontId="1" fillId="3" borderId="0" xfId="0" applyFont="1" applyFill="1" applyBorder="1"/>
    <xf numFmtId="0" fontId="1" fillId="7" borderId="0" xfId="0" applyFont="1" applyFill="1" applyBorder="1"/>
    <xf numFmtId="0" fontId="6" fillId="9" borderId="1" xfId="0" applyFont="1" applyFill="1" applyBorder="1"/>
    <xf numFmtId="0" fontId="6" fillId="10" borderId="1" xfId="0" applyFont="1" applyFill="1" applyBorder="1" applyAlignment="1">
      <alignment horizontal="center"/>
    </xf>
    <xf numFmtId="0" fontId="8" fillId="10" borderId="1" xfId="0" applyFont="1" applyFill="1" applyBorder="1"/>
    <xf numFmtId="0" fontId="1" fillId="6" borderId="0" xfId="0" applyFont="1" applyFill="1" applyBorder="1"/>
    <xf numFmtId="0" fontId="8" fillId="10" borderId="1" xfId="0" applyFont="1" applyFill="1" applyBorder="1" applyAlignment="1">
      <alignment horizontal="right"/>
    </xf>
    <xf numFmtId="0" fontId="7" fillId="10" borderId="1" xfId="0" applyFont="1" applyFill="1" applyBorder="1" applyAlignment="1">
      <alignment horizontal="right"/>
    </xf>
    <xf numFmtId="0" fontId="7" fillId="10" borderId="1" xfId="0" applyFont="1" applyFill="1" applyBorder="1"/>
    <xf numFmtId="0" fontId="7" fillId="10" borderId="4" xfId="0" applyFont="1" applyFill="1" applyBorder="1"/>
    <xf numFmtId="0" fontId="8" fillId="10" borderId="4" xfId="0" applyFont="1" applyFill="1" applyBorder="1"/>
    <xf numFmtId="0" fontId="6" fillId="11" borderId="1" xfId="0" applyFont="1" applyFill="1" applyBorder="1" applyAlignment="1">
      <alignment horizontal="center"/>
    </xf>
    <xf numFmtId="0" fontId="10" fillId="13" borderId="1" xfId="0" applyFont="1" applyFill="1" applyBorder="1"/>
    <xf numFmtId="0" fontId="10" fillId="13" borderId="5" xfId="0" applyFont="1" applyFill="1" applyBorder="1"/>
    <xf numFmtId="0" fontId="10" fillId="17" borderId="1" xfId="0" applyFont="1" applyFill="1" applyBorder="1" applyAlignment="1">
      <alignment horizontal="center"/>
    </xf>
    <xf numFmtId="0" fontId="10" fillId="19" borderId="1" xfId="0" applyFont="1" applyFill="1" applyBorder="1" applyAlignment="1">
      <alignment horizontal="center"/>
    </xf>
    <xf numFmtId="0" fontId="9" fillId="0" borderId="1" xfId="0" applyFont="1" applyBorder="1"/>
    <xf numFmtId="0" fontId="1" fillId="4" borderId="1" xfId="0" applyFont="1" applyFill="1" applyBorder="1" applyAlignment="1">
      <alignment wrapText="1"/>
    </xf>
    <xf numFmtId="0" fontId="5" fillId="5" borderId="1" xfId="0" applyFont="1" applyFill="1" applyBorder="1" applyAlignment="1">
      <alignment wrapText="1"/>
    </xf>
    <xf numFmtId="0" fontId="5" fillId="6" borderId="1" xfId="0" applyFont="1" applyFill="1" applyBorder="1" applyAlignment="1">
      <alignment wrapText="1"/>
    </xf>
    <xf numFmtId="0" fontId="7" fillId="0" borderId="0" xfId="0" applyFont="1" applyBorder="1" applyAlignment="1">
      <alignment horizontal="left"/>
    </xf>
    <xf numFmtId="0" fontId="10" fillId="19" borderId="1" xfId="0" applyFont="1" applyFill="1" applyBorder="1" applyAlignment="1">
      <alignment horizontal="center" wrapText="1"/>
    </xf>
    <xf numFmtId="0" fontId="9" fillId="0" borderId="0" xfId="0" applyFont="1" applyBorder="1"/>
    <xf numFmtId="0" fontId="0" fillId="2" borderId="0" xfId="0" applyFill="1" applyBorder="1" applyAlignment="1">
      <alignment horizontal="right"/>
    </xf>
    <xf numFmtId="0" fontId="1" fillId="5" borderId="1" xfId="0" applyFont="1" applyFill="1" applyBorder="1" applyAlignment="1">
      <alignment vertical="center" wrapText="1"/>
    </xf>
    <xf numFmtId="0" fontId="5" fillId="5" borderId="1" xfId="0" applyFont="1" applyFill="1" applyBorder="1" applyAlignment="1">
      <alignment vertical="center" wrapText="1"/>
    </xf>
    <xf numFmtId="0" fontId="1" fillId="5" borderId="1" xfId="0" applyFont="1" applyFill="1" applyBorder="1" applyAlignment="1">
      <alignment wrapText="1"/>
    </xf>
    <xf numFmtId="0" fontId="1" fillId="6" borderId="1" xfId="0" applyFont="1" applyFill="1" applyBorder="1" applyAlignment="1">
      <alignment wrapText="1"/>
    </xf>
    <xf numFmtId="0" fontId="17" fillId="2" borderId="0" xfId="0" applyFont="1" applyFill="1" applyBorder="1" applyAlignment="1">
      <alignment horizontal="center" wrapText="1"/>
    </xf>
    <xf numFmtId="0" fontId="17" fillId="0" borderId="0" xfId="0" applyFont="1" applyBorder="1" applyAlignment="1">
      <alignment horizontal="center" wrapText="1"/>
    </xf>
    <xf numFmtId="0" fontId="1" fillId="4" borderId="1" xfId="0" applyFont="1" applyFill="1" applyBorder="1" applyAlignment="1">
      <alignment vertical="center" wrapText="1"/>
    </xf>
    <xf numFmtId="4" fontId="7" fillId="10" borderId="1" xfId="0" applyNumberFormat="1" applyFont="1" applyFill="1" applyBorder="1"/>
    <xf numFmtId="0" fontId="7" fillId="10" borderId="1" xfId="0" applyFont="1" applyFill="1" applyBorder="1" applyAlignment="1">
      <alignment wrapText="1"/>
    </xf>
    <xf numFmtId="0" fontId="9" fillId="0" borderId="1" xfId="0" applyFont="1" applyBorder="1" applyAlignment="1">
      <alignment wrapText="1"/>
    </xf>
    <xf numFmtId="0" fontId="1" fillId="0" borderId="0" xfId="0" applyFont="1" applyBorder="1" applyAlignment="1">
      <alignment horizontal="center"/>
    </xf>
    <xf numFmtId="0" fontId="1" fillId="2" borderId="0" xfId="0" applyFont="1" applyFill="1" applyBorder="1" applyAlignment="1">
      <alignment horizontal="center"/>
    </xf>
    <xf numFmtId="0" fontId="1" fillId="7" borderId="0" xfId="0" applyFont="1" applyFill="1" applyBorder="1" applyAlignment="1">
      <alignment horizontal="center"/>
    </xf>
    <xf numFmtId="0" fontId="1" fillId="4" borderId="1" xfId="0" applyFont="1" applyFill="1" applyBorder="1" applyAlignment="1">
      <alignment vertical="center"/>
    </xf>
    <xf numFmtId="0" fontId="12" fillId="26" borderId="1" xfId="0" applyFont="1" applyFill="1" applyBorder="1" applyAlignment="1">
      <alignment wrapText="1"/>
    </xf>
    <xf numFmtId="0" fontId="1" fillId="5" borderId="1" xfId="0" applyFont="1" applyFill="1" applyBorder="1"/>
    <xf numFmtId="0" fontId="12" fillId="27" borderId="1" xfId="0" applyFont="1" applyFill="1" applyBorder="1" applyAlignment="1">
      <alignment wrapText="1"/>
    </xf>
    <xf numFmtId="0" fontId="1" fillId="27" borderId="1" xfId="0" applyFont="1" applyFill="1" applyBorder="1"/>
    <xf numFmtId="0" fontId="1" fillId="3" borderId="1" xfId="0" applyFont="1" applyFill="1" applyBorder="1" applyAlignment="1">
      <alignment wrapText="1"/>
    </xf>
    <xf numFmtId="0" fontId="1" fillId="29" borderId="1" xfId="0" applyFont="1" applyFill="1" applyBorder="1"/>
    <xf numFmtId="0" fontId="20" fillId="0" borderId="0" xfId="0" applyFont="1" applyBorder="1"/>
    <xf numFmtId="0" fontId="21" fillId="0" borderId="0" xfId="0" applyFont="1" applyBorder="1" applyAlignment="1">
      <alignment horizontal="center" wrapText="1"/>
    </xf>
    <xf numFmtId="0" fontId="22" fillId="13" borderId="1" xfId="0" applyFont="1" applyFill="1" applyBorder="1"/>
    <xf numFmtId="0" fontId="22" fillId="13" borderId="5" xfId="0" applyFont="1" applyFill="1" applyBorder="1"/>
    <xf numFmtId="0" fontId="22" fillId="19" borderId="1" xfId="0" applyFont="1" applyFill="1" applyBorder="1" applyAlignment="1">
      <alignment horizontal="center"/>
    </xf>
    <xf numFmtId="0" fontId="9" fillId="23" borderId="1" xfId="0" applyFont="1" applyFill="1" applyBorder="1"/>
    <xf numFmtId="0" fontId="9" fillId="25" borderId="1" xfId="0" applyFont="1" applyFill="1" applyBorder="1"/>
    <xf numFmtId="0" fontId="12" fillId="0" borderId="0" xfId="0" applyFont="1" applyBorder="1" applyAlignment="1">
      <alignment wrapText="1"/>
    </xf>
    <xf numFmtId="0" fontId="1" fillId="5" borderId="0" xfId="0" applyFont="1" applyFill="1" applyBorder="1" applyAlignment="1">
      <alignment wrapText="1"/>
    </xf>
    <xf numFmtId="0" fontId="1" fillId="2" borderId="0" xfId="0" applyFont="1" applyFill="1" applyBorder="1"/>
    <xf numFmtId="0" fontId="12" fillId="0" borderId="4" xfId="0" applyFont="1" applyBorder="1"/>
    <xf numFmtId="0" fontId="1" fillId="4" borderId="0" xfId="0" applyFont="1" applyFill="1" applyBorder="1"/>
    <xf numFmtId="0" fontId="1" fillId="8" borderId="0" xfId="0" applyFont="1" applyFill="1" applyBorder="1" applyAlignment="1">
      <alignment wrapText="1"/>
    </xf>
    <xf numFmtId="0" fontId="22" fillId="13" borderId="1" xfId="0" applyFont="1" applyFill="1" applyBorder="1" applyAlignment="1">
      <alignment wrapText="1"/>
    </xf>
    <xf numFmtId="0" fontId="22" fillId="13" borderId="5" xfId="0" applyFont="1" applyFill="1" applyBorder="1" applyAlignment="1">
      <alignment wrapText="1"/>
    </xf>
    <xf numFmtId="0" fontId="22" fillId="17" borderId="1" xfId="0" applyFont="1" applyFill="1" applyBorder="1" applyAlignment="1">
      <alignment horizontal="center" wrapText="1"/>
    </xf>
    <xf numFmtId="0" fontId="22" fillId="19" borderId="1" xfId="0" applyFont="1" applyFill="1" applyBorder="1" applyAlignment="1">
      <alignment horizontal="center" wrapText="1"/>
    </xf>
    <xf numFmtId="0" fontId="1" fillId="6" borderId="1" xfId="0" applyFont="1" applyFill="1" applyBorder="1"/>
    <xf numFmtId="0" fontId="1" fillId="2" borderId="1" xfId="0" applyFont="1" applyFill="1" applyBorder="1" applyAlignment="1">
      <alignment wrapText="1"/>
    </xf>
    <xf numFmtId="0" fontId="1" fillId="2" borderId="0" xfId="0" applyFont="1" applyFill="1" applyBorder="1" applyAlignment="1">
      <alignment wrapText="1"/>
    </xf>
    <xf numFmtId="0" fontId="9" fillId="23" borderId="1" xfId="0" applyFont="1" applyFill="1" applyBorder="1" applyAlignment="1">
      <alignment wrapText="1"/>
    </xf>
    <xf numFmtId="0" fontId="9" fillId="25" borderId="1" xfId="0" applyFont="1" applyFill="1" applyBorder="1" applyAlignment="1">
      <alignment wrapText="1"/>
    </xf>
    <xf numFmtId="0" fontId="5" fillId="2" borderId="0" xfId="0" applyFont="1" applyFill="1" applyBorder="1" applyAlignment="1">
      <alignment wrapText="1"/>
    </xf>
    <xf numFmtId="0" fontId="9" fillId="10" borderId="1" xfId="0" applyFont="1" applyFill="1" applyBorder="1"/>
    <xf numFmtId="0" fontId="12" fillId="0" borderId="0" xfId="0" applyFont="1" applyBorder="1"/>
    <xf numFmtId="0" fontId="8" fillId="10" borderId="4" xfId="0" applyFont="1" applyFill="1" applyBorder="1" applyAlignment="1">
      <alignment horizontal="right"/>
    </xf>
    <xf numFmtId="0" fontId="7" fillId="10" borderId="4" xfId="0" applyFont="1" applyFill="1" applyBorder="1" applyAlignment="1">
      <alignment horizontal="right"/>
    </xf>
    <xf numFmtId="0" fontId="2" fillId="0" borderId="0" xfId="0" applyFont="1" applyBorder="1"/>
    <xf numFmtId="0" fontId="1" fillId="0" borderId="11" xfId="0" applyFont="1" applyBorder="1"/>
    <xf numFmtId="0" fontId="1" fillId="5" borderId="11" xfId="0" applyFont="1" applyFill="1" applyBorder="1" applyAlignment="1">
      <alignment vertical="center" wrapText="1"/>
    </xf>
    <xf numFmtId="0" fontId="5" fillId="5" borderId="11" xfId="0" applyFont="1" applyFill="1" applyBorder="1" applyAlignment="1">
      <alignment vertical="center" wrapText="1"/>
    </xf>
    <xf numFmtId="0" fontId="1" fillId="6" borderId="11" xfId="0" applyFont="1" applyFill="1" applyBorder="1" applyAlignment="1">
      <alignment vertical="center" wrapText="1"/>
    </xf>
    <xf numFmtId="0" fontId="1" fillId="0" borderId="11" xfId="0" applyFont="1" applyBorder="1" applyAlignment="1">
      <alignment vertical="center"/>
    </xf>
    <xf numFmtId="0" fontId="1" fillId="0" borderId="0" xfId="0" applyFont="1" applyBorder="1" applyAlignment="1">
      <alignment horizontal="center" wrapText="1"/>
    </xf>
    <xf numFmtId="0" fontId="1" fillId="30" borderId="0" xfId="0" applyFont="1" applyFill="1" applyBorder="1"/>
    <xf numFmtId="0" fontId="0" fillId="31" borderId="0" xfId="0" applyFill="1" applyBorder="1"/>
    <xf numFmtId="0" fontId="5" fillId="32" borderId="11" xfId="0" applyFont="1" applyFill="1" applyBorder="1" applyAlignment="1">
      <alignment vertical="center" wrapText="1"/>
    </xf>
    <xf numFmtId="0" fontId="1" fillId="32" borderId="11" xfId="0" applyFont="1" applyFill="1" applyBorder="1" applyAlignment="1">
      <alignment vertical="center" wrapText="1"/>
    </xf>
    <xf numFmtId="0" fontId="15" fillId="3" borderId="11" xfId="0" applyFont="1" applyFill="1" applyBorder="1" applyAlignment="1">
      <alignment horizontal="center" vertical="center"/>
    </xf>
    <xf numFmtId="0" fontId="14" fillId="0" borderId="11" xfId="0" applyFont="1" applyBorder="1" applyAlignment="1">
      <alignment vertical="center"/>
    </xf>
    <xf numFmtId="0" fontId="15" fillId="7" borderId="11" xfId="0" applyFont="1" applyFill="1" applyBorder="1" applyAlignment="1">
      <alignment horizontal="center" vertical="center"/>
    </xf>
    <xf numFmtId="0" fontId="1" fillId="6" borderId="1" xfId="0" applyFont="1" applyFill="1" applyBorder="1" applyAlignment="1">
      <alignment vertical="center" wrapText="1"/>
    </xf>
    <xf numFmtId="0" fontId="1" fillId="4" borderId="11" xfId="0" applyFont="1" applyFill="1" applyBorder="1" applyAlignment="1">
      <alignment vertical="center" wrapText="1"/>
    </xf>
    <xf numFmtId="0" fontId="5" fillId="4" borderId="11" xfId="0" applyFont="1" applyFill="1" applyBorder="1" applyAlignment="1">
      <alignment vertical="center" wrapText="1"/>
    </xf>
    <xf numFmtId="0" fontId="1" fillId="7" borderId="11" xfId="0" applyFont="1" applyFill="1" applyBorder="1" applyAlignment="1">
      <alignment horizontal="center" vertical="center" wrapText="1"/>
    </xf>
    <xf numFmtId="0" fontId="1" fillId="0" borderId="11" xfId="0" applyFont="1" applyBorder="1" applyAlignment="1">
      <alignment vertical="center" wrapText="1"/>
    </xf>
    <xf numFmtId="0" fontId="1" fillId="4" borderId="11" xfId="0" applyFont="1" applyFill="1" applyBorder="1" applyAlignment="1">
      <alignment horizontal="center" wrapText="1"/>
    </xf>
    <xf numFmtId="0" fontId="12" fillId="27" borderId="11" xfId="0" applyFont="1" applyFill="1" applyBorder="1" applyAlignment="1">
      <alignment vertical="center" wrapText="1"/>
    </xf>
    <xf numFmtId="0" fontId="0" fillId="0" borderId="0" xfId="0" applyBorder="1" applyAlignment="1">
      <alignment vertical="center"/>
    </xf>
    <xf numFmtId="0" fontId="0" fillId="2" borderId="11" xfId="0" applyFill="1" applyBorder="1" applyAlignment="1">
      <alignment horizontal="right" vertical="center"/>
    </xf>
    <xf numFmtId="0" fontId="1" fillId="3" borderId="11" xfId="0" applyFont="1" applyFill="1" applyBorder="1" applyAlignment="1">
      <alignment vertical="center" wrapText="1"/>
    </xf>
    <xf numFmtId="0" fontId="1" fillId="5" borderId="11" xfId="0" applyFont="1" applyFill="1" applyBorder="1" applyAlignment="1">
      <alignment wrapText="1"/>
    </xf>
    <xf numFmtId="0" fontId="5" fillId="5" borderId="11" xfId="0" applyFont="1" applyFill="1" applyBorder="1" applyAlignment="1">
      <alignment wrapText="1"/>
    </xf>
    <xf numFmtId="0" fontId="1" fillId="6" borderId="11" xfId="0" applyFont="1" applyFill="1" applyBorder="1" applyAlignment="1">
      <alignment wrapText="1"/>
    </xf>
    <xf numFmtId="0" fontId="1" fillId="4" borderId="11" xfId="0" applyFont="1" applyFill="1" applyBorder="1" applyAlignment="1">
      <alignment wrapText="1"/>
    </xf>
    <xf numFmtId="0" fontId="5" fillId="4" borderId="11" xfId="0" applyFont="1" applyFill="1" applyBorder="1" applyAlignment="1">
      <alignment wrapText="1"/>
    </xf>
    <xf numFmtId="0" fontId="5" fillId="6" borderId="11" xfId="0" applyFont="1" applyFill="1" applyBorder="1" applyAlignment="1">
      <alignment wrapText="1"/>
    </xf>
    <xf numFmtId="0" fontId="1" fillId="3" borderId="11" xfId="0" applyFont="1" applyFill="1" applyBorder="1" applyAlignment="1">
      <alignment horizontal="center" wrapText="1"/>
    </xf>
    <xf numFmtId="0" fontId="1" fillId="0" borderId="11" xfId="0" applyFont="1" applyBorder="1" applyAlignment="1">
      <alignment horizontal="center" wrapText="1"/>
    </xf>
    <xf numFmtId="0" fontId="1" fillId="7" borderId="11" xfId="0" applyFont="1" applyFill="1" applyBorder="1" applyAlignment="1">
      <alignment horizontal="center" wrapText="1"/>
    </xf>
    <xf numFmtId="0" fontId="15" fillId="0" borderId="11" xfId="0" applyFont="1" applyBorder="1" applyAlignment="1">
      <alignment horizontal="center" vertical="center"/>
    </xf>
    <xf numFmtId="0" fontId="6" fillId="10" borderId="11" xfId="0" applyFont="1" applyFill="1" applyBorder="1" applyAlignment="1">
      <alignment horizontal="center"/>
    </xf>
    <xf numFmtId="0" fontId="6" fillId="11" borderId="4" xfId="0" applyFont="1" applyFill="1" applyBorder="1" applyAlignment="1">
      <alignment horizontal="center"/>
    </xf>
    <xf numFmtId="0" fontId="8" fillId="10" borderId="6" xfId="0" applyFont="1" applyFill="1" applyBorder="1"/>
    <xf numFmtId="0" fontId="7" fillId="10" borderId="11" xfId="0" applyFont="1" applyFill="1" applyBorder="1"/>
    <xf numFmtId="0" fontId="12" fillId="0" borderId="1" xfId="0" applyFont="1" applyBorder="1"/>
    <xf numFmtId="0" fontId="1" fillId="0" borderId="1" xfId="0" applyFont="1" applyBorder="1" applyAlignment="1">
      <alignment wrapText="1"/>
    </xf>
    <xf numFmtId="0" fontId="1" fillId="4" borderId="11" xfId="0" applyFont="1" applyFill="1" applyBorder="1" applyAlignment="1">
      <alignment vertical="center"/>
    </xf>
    <xf numFmtId="0" fontId="1" fillId="5" borderId="11" xfId="0" applyFont="1" applyFill="1" applyBorder="1" applyAlignment="1">
      <alignment vertical="center"/>
    </xf>
    <xf numFmtId="0" fontId="1" fillId="27" borderId="11" xfId="0" applyFont="1" applyFill="1" applyBorder="1" applyAlignment="1">
      <alignment vertical="center"/>
    </xf>
    <xf numFmtId="0" fontId="4" fillId="8" borderId="11" xfId="0" applyFont="1" applyFill="1" applyBorder="1" applyAlignment="1">
      <alignment vertical="center" wrapText="1"/>
    </xf>
    <xf numFmtId="0" fontId="1" fillId="30" borderId="11" xfId="0" applyFont="1" applyFill="1" applyBorder="1" applyAlignment="1">
      <alignment vertical="center" wrapText="1"/>
    </xf>
    <xf numFmtId="0" fontId="10" fillId="18" borderId="4" xfId="0" applyFont="1" applyFill="1" applyBorder="1" applyAlignment="1">
      <alignment horizontal="center" wrapText="1"/>
    </xf>
    <xf numFmtId="0" fontId="10" fillId="19" borderId="4" xfId="0" applyFont="1" applyFill="1" applyBorder="1" applyAlignment="1">
      <alignment horizontal="center" wrapText="1"/>
    </xf>
    <xf numFmtId="0" fontId="4" fillId="0" borderId="1" xfId="0" applyFont="1" applyBorder="1" applyAlignment="1">
      <alignment wrapText="1"/>
    </xf>
    <xf numFmtId="0" fontId="22" fillId="18" borderId="4" xfId="0" applyFont="1" applyFill="1" applyBorder="1" applyAlignment="1">
      <alignment horizontal="center" wrapText="1"/>
    </xf>
    <xf numFmtId="0" fontId="22" fillId="19" borderId="4" xfId="0" applyFont="1" applyFill="1" applyBorder="1" applyAlignment="1">
      <alignment horizontal="center" wrapText="1"/>
    </xf>
    <xf numFmtId="0" fontId="22" fillId="18" borderId="4" xfId="0" applyFont="1" applyFill="1" applyBorder="1" applyAlignment="1">
      <alignment horizontal="center"/>
    </xf>
    <xf numFmtId="0" fontId="22" fillId="19" borderId="4" xfId="0" applyFont="1" applyFill="1" applyBorder="1" applyAlignment="1">
      <alignment horizontal="center"/>
    </xf>
    <xf numFmtId="0" fontId="1" fillId="0" borderId="0" xfId="0" applyFont="1" applyBorder="1" applyAlignment="1">
      <alignment vertical="center" wrapText="1"/>
    </xf>
    <xf numFmtId="0" fontId="12" fillId="38" borderId="0" xfId="0" applyFont="1" applyFill="1" applyBorder="1"/>
    <xf numFmtId="0" fontId="12" fillId="40" borderId="0" xfId="0" applyFont="1" applyFill="1" applyBorder="1"/>
    <xf numFmtId="0" fontId="5" fillId="0" borderId="0" xfId="0" applyFont="1" applyBorder="1" applyAlignment="1">
      <alignment horizontal="left" vertical="center" wrapText="1"/>
    </xf>
    <xf numFmtId="0" fontId="2" fillId="0" borderId="0" xfId="0" applyFont="1" applyBorder="1" applyAlignment="1">
      <alignment horizontal="center" wrapText="1"/>
    </xf>
    <xf numFmtId="0" fontId="4" fillId="0" borderId="0" xfId="0" applyFont="1" applyBorder="1" applyAlignment="1">
      <alignment horizontal="center" vertical="center"/>
    </xf>
    <xf numFmtId="0" fontId="4" fillId="0" borderId="1" xfId="0" applyFont="1" applyBorder="1"/>
    <xf numFmtId="0" fontId="23" fillId="10" borderId="1" xfId="0" applyFont="1" applyFill="1" applyBorder="1"/>
    <xf numFmtId="0" fontId="23" fillId="12" borderId="1" xfId="0" applyFont="1" applyFill="1" applyBorder="1"/>
    <xf numFmtId="0" fontId="2" fillId="2" borderId="0" xfId="0" applyFont="1" applyFill="1" applyBorder="1" applyAlignment="1">
      <alignment horizontal="center" wrapText="1"/>
    </xf>
    <xf numFmtId="0" fontId="23" fillId="0" borderId="0" xfId="0" applyFont="1" applyBorder="1"/>
    <xf numFmtId="0" fontId="23" fillId="35" borderId="1" xfId="0" applyFont="1" applyFill="1" applyBorder="1"/>
    <xf numFmtId="0" fontId="4" fillId="0" borderId="0" xfId="0" applyFont="1" applyBorder="1" applyAlignment="1">
      <alignment wrapText="1"/>
    </xf>
    <xf numFmtId="0" fontId="23" fillId="10" borderId="11" xfId="0" applyFont="1" applyFill="1" applyBorder="1"/>
    <xf numFmtId="0" fontId="23" fillId="34" borderId="11" xfId="0" applyFont="1" applyFill="1" applyBorder="1"/>
    <xf numFmtId="0" fontId="6" fillId="10" borderId="3" xfId="0" applyFont="1" applyFill="1" applyBorder="1" applyAlignment="1">
      <alignment horizontal="center"/>
    </xf>
    <xf numFmtId="0" fontId="6" fillId="9" borderId="4" xfId="0" applyFont="1" applyFill="1" applyBorder="1"/>
    <xf numFmtId="0" fontId="8" fillId="10" borderId="3" xfId="0" applyFont="1" applyFill="1" applyBorder="1" applyAlignment="1">
      <alignment horizontal="center"/>
    </xf>
    <xf numFmtId="0" fontId="8" fillId="10" borderId="1" xfId="0" applyFont="1" applyFill="1" applyBorder="1" applyAlignment="1">
      <alignment horizontal="center"/>
    </xf>
    <xf numFmtId="0" fontId="8" fillId="10" borderId="1" xfId="0" applyFont="1" applyFill="1" applyBorder="1" applyAlignment="1">
      <alignment horizontal="center" wrapText="1"/>
    </xf>
    <xf numFmtId="0" fontId="1" fillId="4" borderId="11" xfId="0" applyFont="1" applyFill="1" applyBorder="1" applyAlignment="1">
      <alignment horizontal="center" vertical="center" wrapText="1"/>
    </xf>
    <xf numFmtId="0" fontId="6" fillId="9" borderId="11" xfId="0" applyFont="1" applyFill="1" applyBorder="1"/>
    <xf numFmtId="0" fontId="27" fillId="10" borderId="11" xfId="0" applyFont="1" applyFill="1" applyBorder="1"/>
    <xf numFmtId="0" fontId="27" fillId="10" borderId="11" xfId="0" applyFont="1" applyFill="1" applyBorder="1" applyAlignment="1">
      <alignment horizontal="right"/>
    </xf>
    <xf numFmtId="0" fontId="29" fillId="10" borderId="11" xfId="0" applyFont="1" applyFill="1" applyBorder="1"/>
    <xf numFmtId="0" fontId="27" fillId="34" borderId="11" xfId="0" applyFont="1" applyFill="1" applyBorder="1"/>
    <xf numFmtId="0" fontId="7" fillId="0" borderId="0" xfId="0" applyFont="1" applyBorder="1"/>
    <xf numFmtId="0" fontId="8" fillId="0" borderId="0" xfId="0" applyFont="1" applyBorder="1"/>
    <xf numFmtId="0" fontId="8" fillId="0" borderId="0" xfId="0" applyFont="1" applyBorder="1" applyAlignment="1">
      <alignment horizontal="right"/>
    </xf>
    <xf numFmtId="0" fontId="7" fillId="0" borderId="0" xfId="0" applyFont="1" applyBorder="1" applyAlignment="1">
      <alignment horizontal="right"/>
    </xf>
    <xf numFmtId="0" fontId="8" fillId="10" borderId="11" xfId="0" applyFont="1" applyFill="1" applyBorder="1"/>
    <xf numFmtId="0" fontId="8" fillId="10" borderId="11" xfId="0" applyFont="1" applyFill="1" applyBorder="1" applyAlignment="1">
      <alignment horizontal="right"/>
    </xf>
    <xf numFmtId="0" fontId="7" fillId="10" borderId="11" xfId="0" applyFont="1" applyFill="1" applyBorder="1" applyAlignment="1">
      <alignment horizontal="right"/>
    </xf>
    <xf numFmtId="0" fontId="6" fillId="43" borderId="11" xfId="0" applyFont="1" applyFill="1" applyBorder="1" applyAlignment="1">
      <alignment horizontal="center"/>
    </xf>
    <xf numFmtId="0" fontId="27" fillId="43" borderId="11" xfId="0" applyFont="1" applyFill="1" applyBorder="1"/>
    <xf numFmtId="0" fontId="7" fillId="43" borderId="11" xfId="0" applyFont="1" applyFill="1" applyBorder="1"/>
    <xf numFmtId="0" fontId="8" fillId="43" borderId="11" xfId="0" applyFont="1" applyFill="1" applyBorder="1"/>
    <xf numFmtId="0" fontId="8" fillId="43" borderId="11" xfId="0" applyFont="1" applyFill="1" applyBorder="1" applyAlignment="1">
      <alignment horizontal="right"/>
    </xf>
    <xf numFmtId="0" fontId="7" fillId="43" borderId="11" xfId="0" applyFont="1" applyFill="1" applyBorder="1" applyAlignment="1">
      <alignment horizontal="right"/>
    </xf>
    <xf numFmtId="0" fontId="8" fillId="34" borderId="11" xfId="0" applyFont="1" applyFill="1" applyBorder="1" applyAlignment="1">
      <alignment horizontal="right"/>
    </xf>
    <xf numFmtId="0" fontId="7" fillId="34" borderId="11" xfId="0" applyFont="1" applyFill="1" applyBorder="1" applyAlignment="1">
      <alignment horizontal="right"/>
    </xf>
    <xf numFmtId="0" fontId="7" fillId="34" borderId="11" xfId="0" applyFont="1" applyFill="1" applyBorder="1"/>
    <xf numFmtId="0" fontId="8" fillId="34" borderId="11" xfId="0" applyFont="1" applyFill="1" applyBorder="1"/>
    <xf numFmtId="0" fontId="6" fillId="44" borderId="11" xfId="0" applyFont="1" applyFill="1" applyBorder="1" applyAlignment="1">
      <alignment horizontal="center"/>
    </xf>
    <xf numFmtId="0" fontId="27" fillId="44" borderId="11" xfId="0" applyFont="1" applyFill="1" applyBorder="1"/>
    <xf numFmtId="0" fontId="8" fillId="44" borderId="11" xfId="0" applyFont="1" applyFill="1" applyBorder="1"/>
    <xf numFmtId="0" fontId="8" fillId="44" borderId="11" xfId="0" applyFont="1" applyFill="1" applyBorder="1" applyAlignment="1">
      <alignment horizontal="right"/>
    </xf>
    <xf numFmtId="0" fontId="7" fillId="44" borderId="11" xfId="0" applyFont="1" applyFill="1" applyBorder="1" applyAlignment="1">
      <alignment horizontal="right"/>
    </xf>
    <xf numFmtId="0" fontId="7" fillId="44" borderId="11" xfId="0" applyFont="1" applyFill="1" applyBorder="1"/>
    <xf numFmtId="0" fontId="1" fillId="44" borderId="11" xfId="0" applyFont="1" applyFill="1" applyBorder="1"/>
    <xf numFmtId="0" fontId="27" fillId="45" borderId="11" xfId="0" applyFont="1" applyFill="1" applyBorder="1"/>
    <xf numFmtId="0" fontId="8" fillId="45" borderId="11" xfId="0" applyFont="1" applyFill="1" applyBorder="1" applyAlignment="1">
      <alignment horizontal="right"/>
    </xf>
    <xf numFmtId="0" fontId="7" fillId="45" borderId="11" xfId="0" applyFont="1" applyFill="1" applyBorder="1" applyAlignment="1">
      <alignment horizontal="right"/>
    </xf>
    <xf numFmtId="0" fontId="7" fillId="45" borderId="11" xfId="0" applyFont="1" applyFill="1" applyBorder="1"/>
    <xf numFmtId="0" fontId="8" fillId="45" borderId="11" xfId="0" applyFont="1" applyFill="1" applyBorder="1"/>
    <xf numFmtId="0" fontId="0" fillId="45" borderId="11" xfId="0" applyFill="1" applyBorder="1"/>
    <xf numFmtId="0" fontId="27" fillId="10" borderId="1" xfId="0" applyFont="1" applyFill="1" applyBorder="1"/>
    <xf numFmtId="0" fontId="27" fillId="10" borderId="4" xfId="0" applyFont="1" applyFill="1" applyBorder="1"/>
    <xf numFmtId="4" fontId="27" fillId="10" borderId="1" xfId="0" applyNumberFormat="1" applyFont="1" applyFill="1" applyBorder="1"/>
    <xf numFmtId="0" fontId="16" fillId="47" borderId="0" xfId="0" applyFont="1" applyFill="1" applyBorder="1"/>
    <xf numFmtId="0" fontId="30" fillId="48" borderId="24" xfId="0" applyFont="1" applyFill="1" applyBorder="1" applyAlignment="1">
      <alignment horizontal="center" vertical="center" wrapText="1"/>
    </xf>
    <xf numFmtId="0" fontId="9" fillId="23" borderId="37" xfId="0" applyFont="1" applyFill="1" applyBorder="1"/>
    <xf numFmtId="0" fontId="9" fillId="23" borderId="40" xfId="0" applyFont="1" applyFill="1" applyBorder="1"/>
    <xf numFmtId="0" fontId="9" fillId="25" borderId="40" xfId="0" applyFont="1" applyFill="1" applyBorder="1"/>
    <xf numFmtId="0" fontId="9" fillId="25" borderId="21" xfId="0" applyFont="1" applyFill="1" applyBorder="1"/>
    <xf numFmtId="0" fontId="12" fillId="0" borderId="40" xfId="0" applyFont="1" applyBorder="1"/>
    <xf numFmtId="0" fontId="12" fillId="0" borderId="21" xfId="0" applyFont="1" applyBorder="1"/>
    <xf numFmtId="0" fontId="1" fillId="51" borderId="43" xfId="0" applyFont="1" applyFill="1" applyBorder="1" applyAlignment="1">
      <alignment horizontal="center" vertical="center" wrapText="1"/>
    </xf>
    <xf numFmtId="0" fontId="1" fillId="53" borderId="43" xfId="0" applyFont="1" applyFill="1" applyBorder="1" applyAlignment="1">
      <alignment horizontal="center" vertical="center" wrapText="1"/>
    </xf>
    <xf numFmtId="0" fontId="34" fillId="54" borderId="43" xfId="0" applyFont="1" applyFill="1" applyBorder="1" applyAlignment="1">
      <alignment horizontal="center"/>
    </xf>
    <xf numFmtId="0" fontId="35" fillId="0" borderId="43" xfId="0" applyFont="1" applyBorder="1"/>
    <xf numFmtId="0" fontId="36" fillId="0" borderId="43" xfId="0" applyFont="1" applyBorder="1"/>
    <xf numFmtId="0" fontId="5" fillId="6" borderId="11" xfId="0" applyFont="1" applyFill="1" applyBorder="1" applyAlignment="1">
      <alignment horizontal="center" wrapText="1"/>
    </xf>
    <xf numFmtId="0" fontId="1" fillId="0" borderId="0" xfId="0" applyFont="1" applyBorder="1" applyAlignment="1">
      <alignment wrapText="1"/>
    </xf>
    <xf numFmtId="0" fontId="1" fillId="0" borderId="0" xfId="0" applyFont="1" applyBorder="1"/>
    <xf numFmtId="0" fontId="24" fillId="56" borderId="45" xfId="1" applyFill="1"/>
    <xf numFmtId="0" fontId="34" fillId="56" borderId="43" xfId="0" applyFont="1" applyFill="1" applyBorder="1" applyAlignment="1">
      <alignment horizontal="center"/>
    </xf>
    <xf numFmtId="0" fontId="1" fillId="0" borderId="43" xfId="0" applyFont="1" applyBorder="1" applyAlignment="1">
      <alignment vertical="center"/>
    </xf>
    <xf numFmtId="0" fontId="0" fillId="2" borderId="43" xfId="0" applyFill="1" applyBorder="1" applyAlignment="1">
      <alignment horizontal="right" vertical="center"/>
    </xf>
    <xf numFmtId="0" fontId="5" fillId="57" borderId="0" xfId="0" applyFont="1" applyFill="1" applyBorder="1"/>
    <xf numFmtId="0" fontId="24" fillId="46" borderId="43" xfId="1" applyFill="1" applyBorder="1"/>
    <xf numFmtId="0" fontId="32" fillId="58" borderId="1" xfId="0" applyFont="1" applyFill="1" applyBorder="1" applyAlignment="1">
      <alignment wrapText="1"/>
    </xf>
    <xf numFmtId="0" fontId="32" fillId="0" borderId="1" xfId="0" applyFont="1" applyBorder="1" applyAlignment="1">
      <alignment wrapText="1"/>
    </xf>
    <xf numFmtId="0" fontId="1" fillId="6" borderId="46" xfId="0" applyFont="1" applyFill="1" applyBorder="1" applyAlignment="1">
      <alignment wrapText="1"/>
    </xf>
    <xf numFmtId="0" fontId="1" fillId="0" borderId="46" xfId="0" applyFont="1" applyBorder="1" applyAlignment="1">
      <alignment wrapText="1"/>
    </xf>
    <xf numFmtId="0" fontId="1" fillId="0" borderId="46" xfId="0" applyFont="1" applyBorder="1" applyAlignment="1">
      <alignment vertical="center"/>
    </xf>
    <xf numFmtId="0" fontId="1" fillId="59" borderId="46" xfId="0" applyFont="1" applyFill="1" applyBorder="1"/>
    <xf numFmtId="0" fontId="41" fillId="0" borderId="46" xfId="0" applyFont="1" applyBorder="1"/>
    <xf numFmtId="0" fontId="0" fillId="2" borderId="46" xfId="0" applyFill="1" applyBorder="1" applyAlignment="1">
      <alignment horizontal="right" vertical="center"/>
    </xf>
    <xf numFmtId="0" fontId="1" fillId="3" borderId="46" xfId="0" applyFont="1" applyFill="1" applyBorder="1" applyAlignment="1">
      <alignment vertical="center" wrapText="1"/>
    </xf>
    <xf numFmtId="0" fontId="1" fillId="0" borderId="46" xfId="0" applyFont="1" applyBorder="1" applyAlignment="1">
      <alignment vertical="center" wrapText="1"/>
    </xf>
    <xf numFmtId="0" fontId="42" fillId="0" borderId="46" xfId="0" applyFont="1" applyBorder="1"/>
    <xf numFmtId="0" fontId="43" fillId="0" borderId="46" xfId="0" applyFont="1" applyBorder="1"/>
    <xf numFmtId="0" fontId="43" fillId="0" borderId="46" xfId="0" applyFont="1" applyBorder="1" applyAlignment="1">
      <alignment vertical="center" wrapText="1"/>
    </xf>
    <xf numFmtId="0" fontId="42" fillId="0" borderId="46" xfId="0" applyFont="1" applyBorder="1" applyAlignment="1">
      <alignment vertical="center" wrapText="1"/>
    </xf>
    <xf numFmtId="0" fontId="31" fillId="0" borderId="46" xfId="0" applyFont="1" applyBorder="1" applyAlignment="1">
      <alignment horizontal="center" vertical="center" wrapText="1"/>
    </xf>
    <xf numFmtId="0" fontId="39" fillId="0" borderId="46" xfId="1" applyFont="1" applyBorder="1"/>
    <xf numFmtId="0" fontId="2" fillId="0" borderId="45" xfId="0" applyFont="1" applyAlignment="1">
      <alignment horizontal="center" wrapText="1"/>
    </xf>
    <xf numFmtId="0" fontId="22" fillId="17" borderId="1" xfId="0" applyFont="1" applyFill="1" applyBorder="1" applyAlignment="1">
      <alignment horizontal="center"/>
    </xf>
    <xf numFmtId="0" fontId="22" fillId="15" borderId="1" xfId="0" applyFont="1" applyFill="1" applyBorder="1" applyAlignment="1">
      <alignment horizontal="center"/>
    </xf>
    <xf numFmtId="0" fontId="33" fillId="56" borderId="46" xfId="1" applyFont="1" applyFill="1" applyBorder="1"/>
    <xf numFmtId="0" fontId="33" fillId="0" borderId="46" xfId="0" applyFont="1" applyBorder="1" applyAlignment="1">
      <alignment wrapText="1"/>
    </xf>
    <xf numFmtId="0" fontId="33" fillId="0" borderId="46" xfId="0" applyFont="1" applyBorder="1" applyAlignment="1">
      <alignment vertical="center"/>
    </xf>
    <xf numFmtId="0" fontId="33" fillId="0" borderId="46" xfId="0" applyFont="1" applyBorder="1"/>
    <xf numFmtId="0" fontId="1" fillId="4" borderId="46" xfId="0" applyFont="1" applyFill="1" applyBorder="1" applyAlignment="1">
      <alignment wrapText="1"/>
    </xf>
    <xf numFmtId="0" fontId="1" fillId="4" borderId="46" xfId="0" applyFont="1" applyFill="1" applyBorder="1" applyAlignment="1">
      <alignment vertical="center" wrapText="1"/>
    </xf>
    <xf numFmtId="0" fontId="1" fillId="3" borderId="46" xfId="0" applyFont="1" applyFill="1" applyBorder="1"/>
    <xf numFmtId="0" fontId="39" fillId="62" borderId="46" xfId="1" applyFont="1" applyFill="1" applyBorder="1"/>
    <xf numFmtId="0" fontId="1" fillId="7" borderId="46" xfId="0" applyFont="1" applyFill="1" applyBorder="1"/>
    <xf numFmtId="0" fontId="32" fillId="0" borderId="46" xfId="0" applyFont="1" applyBorder="1"/>
    <xf numFmtId="0" fontId="45" fillId="39" borderId="46" xfId="0" applyFont="1" applyFill="1" applyBorder="1"/>
    <xf numFmtId="0" fontId="44" fillId="36" borderId="46" xfId="0" applyFont="1" applyFill="1" applyBorder="1"/>
    <xf numFmtId="0" fontId="44" fillId="0" borderId="45" xfId="0" applyFont="1"/>
    <xf numFmtId="0" fontId="44" fillId="0" borderId="0" xfId="0" applyFont="1" applyBorder="1"/>
    <xf numFmtId="0" fontId="46" fillId="9" borderId="46" xfId="0" applyFont="1" applyFill="1" applyBorder="1"/>
    <xf numFmtId="0" fontId="46" fillId="39" borderId="46" xfId="0" applyFont="1" applyFill="1" applyBorder="1" applyAlignment="1">
      <alignment horizontal="center"/>
    </xf>
    <xf numFmtId="0" fontId="44" fillId="39" borderId="46" xfId="0" applyFont="1" applyFill="1" applyBorder="1"/>
    <xf numFmtId="0" fontId="44" fillId="39" borderId="46" xfId="0" applyFont="1" applyFill="1" applyBorder="1" applyAlignment="1">
      <alignment horizontal="right"/>
    </xf>
    <xf numFmtId="0" fontId="44" fillId="36" borderId="46" xfId="0" applyFont="1" applyFill="1" applyBorder="1" applyAlignment="1">
      <alignment horizontal="right"/>
    </xf>
    <xf numFmtId="0" fontId="46" fillId="11" borderId="46" xfId="0" applyFont="1" applyFill="1" applyBorder="1" applyAlignment="1">
      <alignment horizontal="center"/>
    </xf>
    <xf numFmtId="0" fontId="0" fillId="37" borderId="0" xfId="0" applyFill="1" applyBorder="1"/>
    <xf numFmtId="0" fontId="0" fillId="0" borderId="46" xfId="0" applyBorder="1" applyAlignment="1">
      <alignment horizontal="left"/>
    </xf>
    <xf numFmtId="0" fontId="1" fillId="7" borderId="46" xfId="0" applyFont="1" applyFill="1" applyBorder="1" applyAlignment="1">
      <alignment horizontal="left" wrapText="1"/>
    </xf>
    <xf numFmtId="3" fontId="1" fillId="2" borderId="46" xfId="0" applyNumberFormat="1" applyFont="1" applyFill="1" applyBorder="1" applyAlignment="1">
      <alignment horizontal="left" wrapText="1"/>
    </xf>
    <xf numFmtId="0" fontId="1" fillId="2" borderId="46" xfId="0" applyFont="1" applyFill="1" applyBorder="1" applyAlignment="1">
      <alignment horizontal="left" wrapText="1"/>
    </xf>
    <xf numFmtId="0" fontId="1" fillId="4" borderId="46" xfId="0" applyFont="1" applyFill="1" applyBorder="1" applyAlignment="1">
      <alignment horizontal="left" vertical="center" wrapText="1"/>
    </xf>
    <xf numFmtId="0" fontId="1" fillId="4" borderId="46" xfId="0" applyFont="1" applyFill="1" applyBorder="1" applyAlignment="1">
      <alignment horizontal="left" wrapText="1"/>
    </xf>
    <xf numFmtId="0" fontId="1" fillId="5" borderId="46" xfId="0" applyFont="1" applyFill="1" applyBorder="1" applyAlignment="1">
      <alignment horizontal="left" vertical="center" wrapText="1"/>
    </xf>
    <xf numFmtId="0" fontId="5" fillId="5" borderId="46" xfId="0" applyFont="1" applyFill="1" applyBorder="1" applyAlignment="1">
      <alignment horizontal="left" vertical="center" wrapText="1"/>
    </xf>
    <xf numFmtId="0" fontId="1" fillId="5" borderId="46" xfId="0" applyFont="1" applyFill="1" applyBorder="1" applyAlignment="1">
      <alignment horizontal="left" wrapText="1"/>
    </xf>
    <xf numFmtId="0" fontId="1" fillId="6" borderId="46" xfId="0" applyFont="1" applyFill="1" applyBorder="1" applyAlignment="1">
      <alignment horizontal="left" vertical="center" wrapText="1"/>
    </xf>
    <xf numFmtId="0" fontId="5" fillId="6" borderId="46" xfId="0" applyFont="1" applyFill="1" applyBorder="1" applyAlignment="1">
      <alignment horizontal="left" vertical="center" wrapText="1"/>
    </xf>
    <xf numFmtId="0" fontId="1" fillId="6" borderId="46" xfId="0" applyFont="1" applyFill="1" applyBorder="1" applyAlignment="1">
      <alignment horizontal="left" wrapText="1"/>
    </xf>
    <xf numFmtId="0" fontId="1" fillId="3" borderId="46" xfId="0" applyFont="1" applyFill="1" applyBorder="1" applyAlignment="1">
      <alignment horizontal="left" vertical="center"/>
    </xf>
    <xf numFmtId="0" fontId="1" fillId="0" borderId="46" xfId="0" applyFont="1" applyBorder="1" applyAlignment="1">
      <alignment horizontal="left" vertical="center"/>
    </xf>
    <xf numFmtId="0" fontId="1" fillId="31" borderId="46" xfId="0" applyFont="1" applyFill="1" applyBorder="1" applyAlignment="1">
      <alignment horizontal="left" vertical="center"/>
    </xf>
    <xf numFmtId="0" fontId="1" fillId="61" borderId="46" xfId="0" applyFont="1" applyFill="1" applyBorder="1" applyAlignment="1">
      <alignment horizontal="left" vertical="center"/>
    </xf>
    <xf numFmtId="3" fontId="1" fillId="0" borderId="46" xfId="0" applyNumberFormat="1" applyFont="1" applyBorder="1" applyAlignment="1">
      <alignment horizontal="left" vertical="center"/>
    </xf>
    <xf numFmtId="0" fontId="38" fillId="8" borderId="46" xfId="0" applyFont="1" applyFill="1" applyBorder="1" applyAlignment="1">
      <alignment horizontal="left" vertical="center"/>
    </xf>
    <xf numFmtId="0" fontId="38" fillId="0" borderId="46" xfId="0" applyFont="1" applyBorder="1" applyAlignment="1">
      <alignment horizontal="left" vertical="center"/>
    </xf>
    <xf numFmtId="0" fontId="33" fillId="0" borderId="46" xfId="0" applyFont="1" applyBorder="1" applyAlignment="1">
      <alignment horizontal="left"/>
    </xf>
    <xf numFmtId="0" fontId="5" fillId="0" borderId="0" xfId="0" applyFont="1" applyBorder="1" applyAlignment="1">
      <alignment vertical="center" wrapText="1"/>
    </xf>
    <xf numFmtId="0" fontId="15" fillId="0" borderId="0" xfId="0" applyFont="1" applyBorder="1" applyAlignment="1">
      <alignment vertical="center" wrapText="1"/>
    </xf>
    <xf numFmtId="0" fontId="47" fillId="48" borderId="46" xfId="0" applyFont="1" applyFill="1" applyBorder="1" applyAlignment="1">
      <alignment horizontal="center" vertical="center" wrapText="1"/>
    </xf>
    <xf numFmtId="0" fontId="38" fillId="0" borderId="46" xfId="0" applyFont="1" applyBorder="1" applyAlignment="1">
      <alignment horizontal="center" vertical="center"/>
    </xf>
    <xf numFmtId="0" fontId="48" fillId="19" borderId="1" xfId="0" applyFont="1" applyFill="1" applyBorder="1" applyAlignment="1">
      <alignment horizontal="center" vertical="center"/>
    </xf>
    <xf numFmtId="0" fontId="33" fillId="0" borderId="45" xfId="0" applyFont="1" applyAlignment="1">
      <alignment horizontal="center" vertical="center"/>
    </xf>
    <xf numFmtId="164" fontId="1" fillId="0" borderId="46" xfId="0" applyNumberFormat="1" applyFont="1" applyBorder="1" applyAlignment="1">
      <alignment horizontal="left" vertical="center"/>
    </xf>
    <xf numFmtId="164" fontId="0" fillId="0" borderId="46" xfId="0" applyNumberFormat="1" applyBorder="1" applyAlignment="1">
      <alignment horizontal="left"/>
    </xf>
    <xf numFmtId="0" fontId="1" fillId="5" borderId="46" xfId="0" applyFont="1" applyFill="1" applyBorder="1" applyAlignment="1">
      <alignment wrapText="1"/>
    </xf>
    <xf numFmtId="0" fontId="5" fillId="5" borderId="46" xfId="0" applyFont="1" applyFill="1" applyBorder="1" applyAlignment="1">
      <alignment wrapText="1"/>
    </xf>
    <xf numFmtId="0" fontId="5" fillId="6" borderId="46" xfId="0" applyFont="1" applyFill="1" applyBorder="1" applyAlignment="1">
      <alignment wrapText="1"/>
    </xf>
    <xf numFmtId="0" fontId="1" fillId="3" borderId="46" xfId="0" applyFont="1" applyFill="1" applyBorder="1" applyAlignment="1">
      <alignment wrapText="1"/>
    </xf>
    <xf numFmtId="0" fontId="1" fillId="7" borderId="46" xfId="0" applyFont="1" applyFill="1" applyBorder="1" applyAlignment="1">
      <alignment wrapText="1"/>
    </xf>
    <xf numFmtId="0" fontId="9" fillId="23" borderId="46" xfId="0" applyFont="1" applyFill="1" applyBorder="1" applyAlignment="1">
      <alignment horizontal="center" vertical="center"/>
    </xf>
    <xf numFmtId="0" fontId="9" fillId="25" borderId="46" xfId="0" applyFont="1" applyFill="1" applyBorder="1" applyAlignment="1">
      <alignment horizontal="center" vertical="center"/>
    </xf>
    <xf numFmtId="0" fontId="49" fillId="48" borderId="11" xfId="0" applyFont="1" applyFill="1" applyBorder="1" applyAlignment="1">
      <alignment horizontal="center" vertical="center" wrapText="1"/>
    </xf>
    <xf numFmtId="0" fontId="22" fillId="13" borderId="1" xfId="0" applyFont="1" applyFill="1" applyBorder="1" applyAlignment="1">
      <alignment horizontal="center"/>
    </xf>
    <xf numFmtId="0" fontId="22" fillId="13" borderId="5" xfId="0" applyFont="1" applyFill="1" applyBorder="1" applyAlignment="1">
      <alignment horizontal="center"/>
    </xf>
    <xf numFmtId="0" fontId="1" fillId="0" borderId="46" xfId="0" applyFont="1" applyBorder="1"/>
    <xf numFmtId="0" fontId="24" fillId="0" borderId="45" xfId="1"/>
    <xf numFmtId="0" fontId="49" fillId="48" borderId="46" xfId="0" applyFont="1" applyFill="1" applyBorder="1" applyAlignment="1">
      <alignment horizontal="center" vertical="center" wrapText="1"/>
    </xf>
    <xf numFmtId="0" fontId="52" fillId="0" borderId="1" xfId="0" applyFont="1" applyBorder="1" applyAlignment="1">
      <alignment wrapText="1"/>
    </xf>
    <xf numFmtId="0" fontId="12" fillId="0" borderId="6" xfId="0" applyFont="1" applyBorder="1" applyAlignment="1">
      <alignment wrapText="1"/>
    </xf>
    <xf numFmtId="0" fontId="12" fillId="0" borderId="4" xfId="0" applyFont="1" applyBorder="1" applyAlignment="1">
      <alignment wrapText="1"/>
    </xf>
    <xf numFmtId="0" fontId="26" fillId="31" borderId="45" xfId="0" applyFont="1" applyFill="1" applyAlignment="1">
      <alignment horizontal="center" vertical="center" wrapText="1"/>
    </xf>
    <xf numFmtId="4" fontId="8" fillId="10" borderId="1" xfId="0" applyNumberFormat="1" applyFont="1" applyFill="1" applyBorder="1"/>
    <xf numFmtId="0" fontId="23" fillId="12" borderId="46" xfId="0" applyFont="1" applyFill="1" applyBorder="1"/>
    <xf numFmtId="0" fontId="12" fillId="26" borderId="11" xfId="0" applyFont="1" applyFill="1" applyBorder="1" applyAlignment="1">
      <alignment vertical="center" wrapText="1"/>
    </xf>
    <xf numFmtId="0" fontId="12" fillId="0" borderId="45" xfId="0" applyFont="1"/>
    <xf numFmtId="0" fontId="12" fillId="0" borderId="1" xfId="0" applyFont="1" applyBorder="1" applyAlignment="1">
      <alignment wrapText="1"/>
    </xf>
    <xf numFmtId="0" fontId="35" fillId="59" borderId="1" xfId="0" applyFont="1" applyFill="1" applyBorder="1"/>
    <xf numFmtId="0" fontId="35" fillId="0" borderId="1" xfId="0" applyFont="1" applyBorder="1"/>
    <xf numFmtId="0" fontId="48" fillId="19" borderId="1" xfId="0" applyFont="1" applyFill="1" applyBorder="1" applyAlignment="1">
      <alignment horizontal="center"/>
    </xf>
    <xf numFmtId="0" fontId="24" fillId="0" borderId="46" xfId="1" applyBorder="1"/>
    <xf numFmtId="0" fontId="1" fillId="4" borderId="46" xfId="0" applyFont="1" applyFill="1" applyBorder="1" applyAlignment="1">
      <alignment horizontal="center" vertical="center" wrapText="1"/>
    </xf>
    <xf numFmtId="0" fontId="12" fillId="27" borderId="46" xfId="0" applyFont="1" applyFill="1" applyBorder="1" applyAlignment="1">
      <alignment vertical="center" wrapText="1"/>
    </xf>
    <xf numFmtId="0" fontId="1" fillId="3" borderId="46" xfId="0" applyFont="1" applyFill="1" applyBorder="1" applyAlignment="1">
      <alignment horizontal="center"/>
    </xf>
    <xf numFmtId="0" fontId="19" fillId="60" borderId="46" xfId="0" applyFont="1" applyFill="1" applyBorder="1" applyAlignment="1">
      <alignment horizontal="center"/>
    </xf>
    <xf numFmtId="0" fontId="1" fillId="0" borderId="46" xfId="0" applyFont="1" applyBorder="1" applyAlignment="1">
      <alignment horizontal="center"/>
    </xf>
    <xf numFmtId="0" fontId="1" fillId="28" borderId="46" xfId="0" applyFont="1" applyFill="1" applyBorder="1" applyAlignment="1">
      <alignment horizontal="center"/>
    </xf>
    <xf numFmtId="0" fontId="51" fillId="0" borderId="46" xfId="0" applyFont="1" applyBorder="1" applyAlignment="1">
      <alignment horizontal="center"/>
    </xf>
    <xf numFmtId="0" fontId="32" fillId="56" borderId="46" xfId="0" applyFont="1" applyFill="1" applyBorder="1" applyAlignment="1">
      <alignment horizontal="center"/>
    </xf>
    <xf numFmtId="0" fontId="43" fillId="2" borderId="46" xfId="0" applyFont="1" applyFill="1" applyBorder="1" applyAlignment="1">
      <alignment horizontal="center"/>
    </xf>
    <xf numFmtId="0" fontId="32" fillId="60" borderId="46" xfId="0" applyFont="1" applyFill="1" applyBorder="1" applyAlignment="1">
      <alignment horizontal="center"/>
    </xf>
    <xf numFmtId="0" fontId="12" fillId="27" borderId="46" xfId="0" applyFont="1" applyFill="1" applyBorder="1" applyAlignment="1">
      <alignment horizontal="center" vertical="center" wrapText="1"/>
    </xf>
    <xf numFmtId="0" fontId="50" fillId="0" borderId="46" xfId="1" applyFont="1" applyBorder="1" applyAlignment="1">
      <alignment horizontal="center"/>
    </xf>
    <xf numFmtId="14" fontId="1" fillId="0" borderId="46" xfId="0" applyNumberFormat="1" applyFont="1" applyBorder="1" applyAlignment="1">
      <alignment horizontal="center" wrapText="1"/>
    </xf>
    <xf numFmtId="14" fontId="1" fillId="2" borderId="46" xfId="0" applyNumberFormat="1" applyFont="1" applyFill="1" applyBorder="1" applyAlignment="1">
      <alignment horizontal="center"/>
    </xf>
    <xf numFmtId="0" fontId="50" fillId="0" borderId="46" xfId="0" applyFont="1" applyBorder="1" applyAlignment="1">
      <alignment horizontal="center"/>
    </xf>
    <xf numFmtId="0" fontId="41" fillId="0" borderId="46" xfId="0" applyFont="1" applyBorder="1" applyAlignment="1">
      <alignment horizontal="center"/>
    </xf>
    <xf numFmtId="14" fontId="0" fillId="0" borderId="46" xfId="0" applyNumberFormat="1" applyBorder="1" applyAlignment="1">
      <alignment horizontal="center"/>
    </xf>
    <xf numFmtId="0" fontId="30" fillId="66" borderId="61" xfId="0" applyFont="1" applyFill="1" applyBorder="1" applyAlignment="1">
      <alignment horizontal="center" vertical="center" wrapText="1"/>
    </xf>
    <xf numFmtId="0" fontId="0" fillId="0" borderId="45" xfId="0" applyAlignment="1">
      <alignment horizontal="center" vertical="center" wrapText="1"/>
    </xf>
    <xf numFmtId="0" fontId="26" fillId="0" borderId="45" xfId="0" applyFont="1" applyAlignment="1">
      <alignment horizontal="center" vertical="center" wrapText="1"/>
    </xf>
    <xf numFmtId="0" fontId="0" fillId="36" borderId="45" xfId="0" applyFill="1" applyAlignment="1">
      <alignment horizontal="center" vertical="center" wrapText="1"/>
    </xf>
    <xf numFmtId="0" fontId="9" fillId="0" borderId="4" xfId="0" applyFont="1" applyBorder="1"/>
    <xf numFmtId="0" fontId="9" fillId="0" borderId="46" xfId="0" applyFont="1" applyBorder="1"/>
    <xf numFmtId="0" fontId="9" fillId="25" borderId="4" xfId="0" applyFont="1" applyFill="1" applyBorder="1"/>
    <xf numFmtId="0" fontId="4" fillId="0" borderId="46" xfId="0" applyFont="1" applyBorder="1"/>
    <xf numFmtId="0" fontId="22" fillId="15" borderId="46" xfId="0" applyFont="1" applyFill="1" applyBorder="1" applyAlignment="1">
      <alignment horizontal="center"/>
    </xf>
    <xf numFmtId="0" fontId="22" fillId="17" borderId="46" xfId="0" applyFont="1" applyFill="1" applyBorder="1" applyAlignment="1">
      <alignment horizontal="center"/>
    </xf>
    <xf numFmtId="0" fontId="22" fillId="19" borderId="46" xfId="0" applyFont="1" applyFill="1" applyBorder="1" applyAlignment="1">
      <alignment horizontal="center"/>
    </xf>
    <xf numFmtId="0" fontId="22" fillId="21" borderId="46" xfId="0" applyFont="1" applyFill="1" applyBorder="1" applyAlignment="1">
      <alignment horizontal="center"/>
    </xf>
    <xf numFmtId="0" fontId="22" fillId="22" borderId="46" xfId="0" applyFont="1" applyFill="1" applyBorder="1" applyAlignment="1">
      <alignment horizontal="center"/>
    </xf>
    <xf numFmtId="0" fontId="22" fillId="13" borderId="6" xfId="0" applyFont="1" applyFill="1" applyBorder="1"/>
    <xf numFmtId="0" fontId="22" fillId="13" borderId="56" xfId="0" applyFont="1" applyFill="1" applyBorder="1"/>
    <xf numFmtId="0" fontId="1" fillId="65" borderId="46" xfId="0" applyFont="1" applyFill="1" applyBorder="1" applyAlignment="1">
      <alignment horizontal="center"/>
    </xf>
    <xf numFmtId="0" fontId="0" fillId="65" borderId="46" xfId="0" applyFill="1" applyBorder="1"/>
    <xf numFmtId="0" fontId="22" fillId="20" borderId="46" xfId="0" applyFont="1" applyFill="1" applyBorder="1" applyAlignment="1">
      <alignment horizontal="center"/>
    </xf>
    <xf numFmtId="0" fontId="0" fillId="42" borderId="46" xfId="0" applyFill="1" applyBorder="1"/>
    <xf numFmtId="0" fontId="1" fillId="30" borderId="46" xfId="0" applyFont="1" applyFill="1" applyBorder="1" applyAlignment="1">
      <alignment vertical="center" wrapText="1"/>
    </xf>
    <xf numFmtId="0" fontId="1" fillId="30" borderId="46" xfId="0" applyFont="1" applyFill="1" applyBorder="1" applyAlignment="1">
      <alignment vertical="center"/>
    </xf>
    <xf numFmtId="0" fontId="35" fillId="0" borderId="46" xfId="0" applyFont="1" applyBorder="1" applyAlignment="1">
      <alignment horizontal="center" vertical="center" wrapText="1"/>
    </xf>
    <xf numFmtId="0" fontId="31" fillId="0" borderId="46" xfId="1" quotePrefix="1" applyFont="1" applyBorder="1" applyAlignment="1">
      <alignment horizontal="center" vertical="center" wrapText="1"/>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2" borderId="4" xfId="0" applyFont="1" applyFill="1" applyBorder="1" applyAlignment="1">
      <alignment vertical="center"/>
    </xf>
    <xf numFmtId="0" fontId="4" fillId="8" borderId="4" xfId="0" applyFont="1" applyFill="1" applyBorder="1" applyAlignment="1">
      <alignment vertical="center" wrapText="1"/>
    </xf>
    <xf numFmtId="0" fontId="1" fillId="7" borderId="4" xfId="0" applyFont="1" applyFill="1" applyBorder="1" applyAlignment="1">
      <alignment vertical="center"/>
    </xf>
    <xf numFmtId="0" fontId="11" fillId="0" borderId="46" xfId="0" applyFont="1" applyBorder="1" applyAlignment="1">
      <alignment vertical="center"/>
    </xf>
    <xf numFmtId="0" fontId="41" fillId="0" borderId="46" xfId="1" applyFont="1" applyBorder="1"/>
    <xf numFmtId="0" fontId="9" fillId="25" borderId="41" xfId="0" applyFont="1" applyFill="1" applyBorder="1"/>
    <xf numFmtId="0" fontId="9" fillId="25" borderId="42" xfId="0" applyFont="1" applyFill="1" applyBorder="1"/>
    <xf numFmtId="0" fontId="5" fillId="37" borderId="45" xfId="0" applyFont="1" applyFill="1" applyAlignment="1">
      <alignment horizontal="center" vertical="center" wrapText="1"/>
    </xf>
    <xf numFmtId="0" fontId="0" fillId="37" borderId="45" xfId="0" applyFill="1" applyAlignment="1">
      <alignment horizontal="center" vertical="center" wrapText="1"/>
    </xf>
    <xf numFmtId="0" fontId="5" fillId="37" borderId="45" xfId="0" applyFont="1" applyFill="1" applyAlignment="1">
      <alignment horizontal="center" vertical="center"/>
    </xf>
    <xf numFmtId="0" fontId="22" fillId="15" borderId="46" xfId="0" applyFont="1" applyFill="1" applyBorder="1" applyAlignment="1">
      <alignment horizontal="center" vertical="center" wrapText="1"/>
    </xf>
    <xf numFmtId="0" fontId="22" fillId="17" borderId="46" xfId="0" applyFont="1" applyFill="1" applyBorder="1" applyAlignment="1">
      <alignment horizontal="center" vertical="center" wrapText="1"/>
    </xf>
    <xf numFmtId="0" fontId="22" fillId="19" borderId="46" xfId="0" applyFont="1" applyFill="1" applyBorder="1" applyAlignment="1">
      <alignment horizontal="center" vertical="center" wrapText="1"/>
    </xf>
    <xf numFmtId="0" fontId="22" fillId="20" borderId="46" xfId="0" applyFont="1" applyFill="1" applyBorder="1" applyAlignment="1">
      <alignment horizontal="center" vertical="center" wrapText="1"/>
    </xf>
    <xf numFmtId="0" fontId="22" fillId="21" borderId="46" xfId="0" applyFont="1" applyFill="1" applyBorder="1" applyAlignment="1">
      <alignment horizontal="center" vertical="center" wrapText="1"/>
    </xf>
    <xf numFmtId="0" fontId="22" fillId="22" borderId="46" xfId="0" applyFont="1" applyFill="1" applyBorder="1" applyAlignment="1">
      <alignment horizontal="center" vertical="center" wrapText="1"/>
    </xf>
    <xf numFmtId="0" fontId="26" fillId="37" borderId="45" xfId="0" applyFont="1" applyFill="1" applyAlignment="1">
      <alignment horizontal="center" vertical="center" wrapText="1"/>
    </xf>
    <xf numFmtId="0" fontId="22" fillId="17" borderId="47" xfId="0" applyFont="1" applyFill="1" applyBorder="1" applyAlignment="1">
      <alignment horizontal="center" vertical="center" wrapText="1"/>
    </xf>
    <xf numFmtId="0" fontId="22" fillId="19" borderId="47" xfId="0" applyFont="1" applyFill="1" applyBorder="1" applyAlignment="1">
      <alignment horizontal="center" vertical="center" wrapText="1"/>
    </xf>
    <xf numFmtId="0" fontId="22" fillId="20" borderId="47" xfId="0" applyFont="1" applyFill="1" applyBorder="1" applyAlignment="1">
      <alignment horizontal="center" vertical="center" wrapText="1"/>
    </xf>
    <xf numFmtId="0" fontId="22" fillId="21" borderId="47" xfId="0" applyFont="1" applyFill="1" applyBorder="1" applyAlignment="1">
      <alignment horizontal="center" vertical="center" wrapText="1"/>
    </xf>
    <xf numFmtId="0" fontId="22" fillId="22" borderId="47" xfId="0" applyFont="1" applyFill="1" applyBorder="1" applyAlignment="1">
      <alignment horizontal="center" vertical="center" wrapText="1"/>
    </xf>
    <xf numFmtId="0" fontId="12" fillId="37" borderId="45" xfId="0" applyFont="1" applyFill="1" applyAlignment="1">
      <alignment horizontal="center" vertical="center"/>
    </xf>
    <xf numFmtId="0" fontId="26" fillId="37" borderId="45" xfId="0" applyFont="1" applyFill="1" applyAlignment="1">
      <alignment horizontal="center" vertical="center"/>
    </xf>
    <xf numFmtId="0" fontId="5" fillId="37" borderId="46" xfId="0" applyFont="1" applyFill="1" applyBorder="1"/>
    <xf numFmtId="0" fontId="22" fillId="70" borderId="45" xfId="0" applyFont="1" applyFill="1" applyAlignment="1">
      <alignment horizontal="center"/>
    </xf>
    <xf numFmtId="0" fontId="22" fillId="71" borderId="45" xfId="0" applyFont="1" applyFill="1" applyAlignment="1">
      <alignment horizontal="center"/>
    </xf>
    <xf numFmtId="0" fontId="12" fillId="14" borderId="6" xfId="0" applyFont="1" applyFill="1" applyBorder="1"/>
    <xf numFmtId="0" fontId="12" fillId="14" borderId="2" xfId="0" applyFont="1" applyFill="1" applyBorder="1"/>
    <xf numFmtId="0" fontId="12" fillId="37" borderId="45" xfId="0" applyFont="1" applyFill="1"/>
    <xf numFmtId="0" fontId="0" fillId="37" borderId="45" xfId="0" applyFill="1"/>
    <xf numFmtId="0" fontId="22" fillId="18" borderId="1" xfId="0" applyFont="1" applyFill="1" applyBorder="1" applyAlignment="1">
      <alignment horizontal="center"/>
    </xf>
    <xf numFmtId="0" fontId="22" fillId="21" borderId="1" xfId="0" applyFont="1" applyFill="1" applyBorder="1" applyAlignment="1">
      <alignment horizontal="center"/>
    </xf>
    <xf numFmtId="0" fontId="22" fillId="16" borderId="1" xfId="0" applyFont="1" applyFill="1" applyBorder="1" applyAlignment="1">
      <alignment horizontal="center"/>
    </xf>
    <xf numFmtId="0" fontId="4" fillId="14" borderId="1" xfId="0" applyFont="1" applyFill="1" applyBorder="1"/>
    <xf numFmtId="0" fontId="22" fillId="22" borderId="1" xfId="0" applyFont="1" applyFill="1" applyBorder="1" applyAlignment="1">
      <alignment horizontal="center"/>
    </xf>
    <xf numFmtId="0" fontId="22" fillId="20" borderId="1" xfId="0" applyFont="1" applyFill="1" applyBorder="1" applyAlignment="1">
      <alignment horizontal="center"/>
    </xf>
    <xf numFmtId="0" fontId="10" fillId="16" borderId="1" xfId="0" applyFont="1" applyFill="1" applyBorder="1" applyAlignment="1">
      <alignment horizontal="center" wrapText="1"/>
    </xf>
    <xf numFmtId="0" fontId="10" fillId="22" borderId="1" xfId="0" applyFont="1" applyFill="1" applyBorder="1" applyAlignment="1">
      <alignment horizontal="center"/>
    </xf>
    <xf numFmtId="0" fontId="10" fillId="20" borderId="1" xfId="0" applyFont="1" applyFill="1" applyBorder="1" applyAlignment="1">
      <alignment horizontal="center"/>
    </xf>
    <xf numFmtId="0" fontId="10" fillId="21" borderId="1" xfId="0" applyFont="1" applyFill="1" applyBorder="1" applyAlignment="1">
      <alignment horizontal="center"/>
    </xf>
    <xf numFmtId="0" fontId="22" fillId="21" borderId="1" xfId="0" applyFont="1" applyFill="1" applyBorder="1" applyAlignment="1">
      <alignment horizontal="center" wrapText="1"/>
    </xf>
    <xf numFmtId="0" fontId="22" fillId="20" borderId="1" xfId="0" applyFont="1" applyFill="1" applyBorder="1" applyAlignment="1">
      <alignment horizontal="center" wrapText="1"/>
    </xf>
    <xf numFmtId="0" fontId="22" fillId="22" borderId="1" xfId="0" applyFont="1" applyFill="1" applyBorder="1" applyAlignment="1">
      <alignment horizontal="center" wrapText="1"/>
    </xf>
    <xf numFmtId="0" fontId="12" fillId="14" borderId="1" xfId="0" applyFont="1" applyFill="1" applyBorder="1"/>
    <xf numFmtId="0" fontId="7" fillId="12" borderId="1" xfId="0" applyFont="1" applyFill="1" applyBorder="1"/>
    <xf numFmtId="0" fontId="8" fillId="12" borderId="1" xfId="0" applyFont="1" applyFill="1" applyBorder="1"/>
    <xf numFmtId="0" fontId="12" fillId="0" borderId="6" xfId="0" applyFont="1" applyBorder="1"/>
    <xf numFmtId="0" fontId="12" fillId="0" borderId="5" xfId="0" applyFont="1" applyBorder="1"/>
    <xf numFmtId="165" fontId="1" fillId="0" borderId="46" xfId="0" applyNumberFormat="1" applyFont="1" applyBorder="1" applyAlignment="1">
      <alignment horizontal="center" wrapText="1"/>
    </xf>
    <xf numFmtId="165" fontId="1" fillId="2" borderId="46" xfId="0" applyNumberFormat="1" applyFont="1" applyFill="1" applyBorder="1" applyAlignment="1">
      <alignment horizontal="center"/>
    </xf>
    <xf numFmtId="165" fontId="0" fillId="0" borderId="46" xfId="0" applyNumberFormat="1" applyBorder="1" applyAlignment="1">
      <alignment horizontal="center"/>
    </xf>
    <xf numFmtId="165" fontId="0" fillId="2" borderId="11" xfId="0" applyNumberFormat="1" applyFill="1" applyBorder="1" applyAlignment="1">
      <alignment vertical="center"/>
    </xf>
    <xf numFmtId="165" fontId="1" fillId="0" borderId="11" xfId="0" applyNumberFormat="1" applyFont="1" applyBorder="1" applyAlignment="1">
      <alignment horizontal="right" vertical="center"/>
    </xf>
    <xf numFmtId="165" fontId="0" fillId="2" borderId="11" xfId="0" applyNumberFormat="1" applyFill="1" applyBorder="1" applyAlignment="1">
      <alignment horizontal="right" vertical="center"/>
    </xf>
    <xf numFmtId="165" fontId="1" fillId="0" borderId="11" xfId="0" applyNumberFormat="1" applyFont="1" applyBorder="1" applyAlignment="1">
      <alignment vertical="center"/>
    </xf>
    <xf numFmtId="166" fontId="31" fillId="2" borderId="46" xfId="0" applyNumberFormat="1" applyFont="1" applyFill="1" applyBorder="1" applyAlignment="1">
      <alignment horizontal="center" vertical="center" wrapText="1"/>
    </xf>
    <xf numFmtId="166" fontId="35" fillId="2" borderId="46" xfId="0" applyNumberFormat="1" applyFont="1" applyFill="1" applyBorder="1" applyAlignment="1">
      <alignment horizontal="center" vertical="center" wrapText="1"/>
    </xf>
    <xf numFmtId="166" fontId="35" fillId="0" borderId="46" xfId="0" applyNumberFormat="1" applyFont="1" applyBorder="1" applyAlignment="1">
      <alignment horizontal="center" vertical="center" wrapText="1"/>
    </xf>
    <xf numFmtId="165" fontId="1" fillId="2" borderId="1" xfId="0" applyNumberFormat="1" applyFont="1" applyFill="1" applyBorder="1" applyAlignment="1">
      <alignment wrapText="1"/>
    </xf>
    <xf numFmtId="165" fontId="7" fillId="10" borderId="1" xfId="0" applyNumberFormat="1" applyFont="1" applyFill="1" applyBorder="1"/>
    <xf numFmtId="0" fontId="10" fillId="15" borderId="5" xfId="0" applyFont="1" applyFill="1" applyBorder="1" applyAlignment="1">
      <alignment horizontal="center"/>
    </xf>
    <xf numFmtId="0" fontId="24" fillId="0" borderId="45" xfId="1" applyAlignment="1">
      <alignment horizontal="center"/>
    </xf>
    <xf numFmtId="165" fontId="35" fillId="55" borderId="43" xfId="0" applyNumberFormat="1" applyFont="1" applyFill="1" applyBorder="1"/>
    <xf numFmtId="0" fontId="46" fillId="13" borderId="1" xfId="0" applyFont="1" applyFill="1" applyBorder="1"/>
    <xf numFmtId="0" fontId="46" fillId="13" borderId="5" xfId="0" applyFont="1" applyFill="1" applyBorder="1"/>
    <xf numFmtId="0" fontId="46" fillId="17" borderId="1" xfId="0" applyFont="1" applyFill="1" applyBorder="1" applyAlignment="1">
      <alignment horizontal="center"/>
    </xf>
    <xf numFmtId="0" fontId="46" fillId="19" borderId="1" xfId="0" applyFont="1" applyFill="1" applyBorder="1" applyAlignment="1">
      <alignment horizontal="center"/>
    </xf>
    <xf numFmtId="0" fontId="46" fillId="20" borderId="1" xfId="0" applyFont="1" applyFill="1" applyBorder="1" applyAlignment="1">
      <alignment horizontal="center"/>
    </xf>
    <xf numFmtId="0" fontId="46" fillId="21" borderId="1" xfId="0" applyFont="1" applyFill="1" applyBorder="1" applyAlignment="1">
      <alignment horizontal="center"/>
    </xf>
    <xf numFmtId="0" fontId="46" fillId="22" borderId="1" xfId="0" applyFont="1" applyFill="1" applyBorder="1" applyAlignment="1">
      <alignment horizontal="center"/>
    </xf>
    <xf numFmtId="0" fontId="46" fillId="18" borderId="4" xfId="0" applyFont="1" applyFill="1" applyBorder="1" applyAlignment="1">
      <alignment horizontal="center"/>
    </xf>
    <xf numFmtId="0" fontId="59" fillId="19" borderId="4" xfId="0" applyFont="1" applyFill="1" applyBorder="1" applyAlignment="1">
      <alignment horizontal="center"/>
    </xf>
    <xf numFmtId="0" fontId="1" fillId="41" borderId="46" xfId="0" applyFont="1" applyFill="1" applyBorder="1" applyAlignment="1">
      <alignment horizontal="center" vertical="center" wrapText="1"/>
    </xf>
    <xf numFmtId="0" fontId="5" fillId="41" borderId="46" xfId="0" applyFont="1" applyFill="1" applyBorder="1" applyAlignment="1">
      <alignment vertical="center" wrapText="1"/>
    </xf>
    <xf numFmtId="0" fontId="12" fillId="33" borderId="46" xfId="0" applyFont="1" applyFill="1" applyBorder="1" applyAlignment="1">
      <alignment horizontal="center" vertical="center" wrapText="1"/>
    </xf>
    <xf numFmtId="0" fontId="0" fillId="33" borderId="46" xfId="0" applyFill="1" applyBorder="1" applyAlignment="1">
      <alignment horizontal="center" vertical="center"/>
    </xf>
    <xf numFmtId="0" fontId="39" fillId="56" borderId="46" xfId="1" applyFont="1" applyFill="1" applyBorder="1"/>
    <xf numFmtId="4" fontId="7" fillId="10" borderId="62" xfId="0" applyNumberFormat="1" applyFont="1" applyFill="1" applyBorder="1"/>
    <xf numFmtId="0" fontId="61" fillId="48" borderId="11" xfId="0" applyFont="1" applyFill="1" applyBorder="1" applyAlignment="1">
      <alignment horizontal="center" vertical="center" wrapText="1"/>
    </xf>
    <xf numFmtId="0" fontId="15" fillId="3" borderId="11" xfId="0" applyFont="1" applyFill="1" applyBorder="1" applyAlignment="1">
      <alignment horizontal="center"/>
    </xf>
    <xf numFmtId="0" fontId="14" fillId="2" borderId="11" xfId="0" applyFont="1" applyFill="1" applyBorder="1" applyAlignment="1">
      <alignment horizontal="center"/>
    </xf>
    <xf numFmtId="0" fontId="32" fillId="60" borderId="11" xfId="0" applyFont="1" applyFill="1" applyBorder="1" applyAlignment="1">
      <alignment horizontal="center"/>
    </xf>
    <xf numFmtId="0" fontId="5" fillId="5" borderId="11" xfId="0" applyFont="1" applyFill="1" applyBorder="1" applyAlignment="1">
      <alignment horizontal="center" wrapText="1"/>
    </xf>
    <xf numFmtId="0" fontId="1" fillId="6" borderId="11" xfId="0" applyFont="1" applyFill="1" applyBorder="1" applyAlignment="1">
      <alignment horizontal="center" wrapText="1"/>
    </xf>
    <xf numFmtId="0" fontId="39" fillId="6" borderId="11" xfId="0" applyFont="1" applyFill="1" applyBorder="1" applyAlignment="1">
      <alignment horizontal="center" wrapText="1"/>
    </xf>
    <xf numFmtId="0" fontId="39" fillId="56" borderId="45" xfId="1" applyFont="1" applyFill="1" applyAlignment="1">
      <alignment horizontal="center"/>
    </xf>
    <xf numFmtId="0" fontId="1" fillId="0" borderId="11" xfId="0" applyFont="1" applyBorder="1" applyAlignment="1">
      <alignment horizontal="center"/>
    </xf>
    <xf numFmtId="0" fontId="43" fillId="0" borderId="11" xfId="0" applyFont="1" applyBorder="1" applyAlignment="1">
      <alignment horizontal="center"/>
    </xf>
    <xf numFmtId="0" fontId="11" fillId="0" borderId="11" xfId="0" applyFont="1" applyBorder="1" applyAlignment="1">
      <alignment horizontal="center"/>
    </xf>
    <xf numFmtId="4" fontId="27" fillId="43" borderId="11" xfId="0" applyNumberFormat="1" applyFont="1" applyFill="1" applyBorder="1"/>
    <xf numFmtId="0" fontId="26" fillId="37" borderId="45" xfId="0" applyFont="1" applyFill="1" applyAlignment="1">
      <alignment vertical="center" wrapText="1"/>
    </xf>
    <xf numFmtId="0" fontId="50" fillId="49" borderId="45" xfId="0" applyFont="1" applyFill="1" applyAlignment="1">
      <alignment horizontal="center" vertical="center" wrapText="1"/>
    </xf>
    <xf numFmtId="0" fontId="50" fillId="37" borderId="45" xfId="0" applyFont="1" applyFill="1" applyAlignment="1">
      <alignment horizontal="center" vertical="center" wrapText="1"/>
    </xf>
    <xf numFmtId="0" fontId="41" fillId="37" borderId="45" xfId="0" applyFont="1" applyFill="1" applyAlignment="1">
      <alignment horizontal="center" vertical="center" wrapText="1"/>
    </xf>
    <xf numFmtId="0" fontId="10" fillId="11" borderId="4" xfId="0" applyFont="1" applyFill="1" applyBorder="1" applyAlignment="1">
      <alignment horizontal="center"/>
    </xf>
    <xf numFmtId="0" fontId="12" fillId="0" borderId="62" xfId="0" applyFont="1" applyBorder="1"/>
    <xf numFmtId="0" fontId="32" fillId="31" borderId="11" xfId="0" applyFont="1" applyFill="1" applyBorder="1" applyAlignment="1">
      <alignment horizontal="center" wrapText="1"/>
    </xf>
    <xf numFmtId="165" fontId="32" fillId="0" borderId="46" xfId="0" applyNumberFormat="1" applyFont="1" applyBorder="1" applyAlignment="1">
      <alignment horizontal="center" vertical="center" wrapText="1"/>
    </xf>
    <xf numFmtId="165" fontId="39" fillId="0" borderId="46" xfId="0" applyNumberFormat="1" applyFont="1" applyBorder="1" applyAlignment="1">
      <alignment horizontal="center" vertical="center" wrapText="1"/>
    </xf>
    <xf numFmtId="0" fontId="1" fillId="56" borderId="11" xfId="0" applyFont="1" applyFill="1" applyBorder="1" applyAlignment="1">
      <alignment horizontal="center" wrapText="1"/>
    </xf>
    <xf numFmtId="0" fontId="32" fillId="60" borderId="11" xfId="0" applyFont="1" applyFill="1" applyBorder="1" applyAlignment="1">
      <alignment horizontal="center" wrapText="1"/>
    </xf>
    <xf numFmtId="0" fontId="32" fillId="2" borderId="46" xfId="0" applyFont="1" applyFill="1" applyBorder="1" applyAlignment="1">
      <alignment horizontal="center" vertical="center" wrapText="1"/>
    </xf>
    <xf numFmtId="0" fontId="32" fillId="0" borderId="46" xfId="0" applyFont="1" applyBorder="1" applyAlignment="1">
      <alignment horizontal="center" vertical="center" wrapText="1"/>
    </xf>
    <xf numFmtId="0" fontId="39" fillId="0" borderId="46" xfId="0" applyFont="1" applyBorder="1" applyAlignment="1">
      <alignment horizontal="center" vertical="center" wrapText="1"/>
    </xf>
    <xf numFmtId="0" fontId="1" fillId="57" borderId="11" xfId="0" applyFont="1" applyFill="1" applyBorder="1"/>
    <xf numFmtId="0" fontId="57" fillId="0" borderId="46" xfId="0" applyFont="1" applyBorder="1" applyAlignment="1">
      <alignment horizontal="center" vertical="center" wrapText="1"/>
    </xf>
    <xf numFmtId="0" fontId="32" fillId="58" borderId="11" xfId="0" applyFont="1" applyFill="1" applyBorder="1"/>
    <xf numFmtId="4" fontId="27" fillId="44" borderId="11" xfId="0" applyNumberFormat="1" applyFont="1" applyFill="1" applyBorder="1"/>
    <xf numFmtId="0" fontId="7" fillId="44" borderId="62" xfId="0" applyFont="1" applyFill="1" applyBorder="1"/>
    <xf numFmtId="0" fontId="0" fillId="0" borderId="0" xfId="0" applyBorder="1" applyAlignment="1">
      <alignment horizontal="center"/>
    </xf>
    <xf numFmtId="0" fontId="6" fillId="43" borderId="1" xfId="0" applyFont="1" applyFill="1" applyBorder="1" applyAlignment="1">
      <alignment horizontal="center"/>
    </xf>
    <xf numFmtId="0" fontId="23" fillId="43" borderId="1" xfId="0" applyFont="1" applyFill="1" applyBorder="1"/>
    <xf numFmtId="0" fontId="22" fillId="22" borderId="4" xfId="0" applyFont="1" applyFill="1" applyBorder="1" applyAlignment="1">
      <alignment horizontal="center"/>
    </xf>
    <xf numFmtId="0" fontId="6" fillId="9" borderId="6" xfId="0" applyFont="1" applyFill="1" applyBorder="1"/>
    <xf numFmtId="0" fontId="6" fillId="43" borderId="5" xfId="0" applyFont="1" applyFill="1" applyBorder="1" applyAlignment="1">
      <alignment horizontal="center"/>
    </xf>
    <xf numFmtId="0" fontId="62" fillId="43" borderId="1" xfId="0" applyFont="1" applyFill="1" applyBorder="1"/>
    <xf numFmtId="0" fontId="62" fillId="43" borderId="1" xfId="0" applyFont="1" applyFill="1" applyBorder="1" applyAlignment="1">
      <alignment horizontal="right"/>
    </xf>
    <xf numFmtId="0" fontId="11" fillId="43" borderId="1" xfId="0" applyFont="1" applyFill="1" applyBorder="1" applyAlignment="1">
      <alignment horizontal="right"/>
    </xf>
    <xf numFmtId="0" fontId="11" fillId="43" borderId="1" xfId="0" applyFont="1" applyFill="1" applyBorder="1"/>
    <xf numFmtId="0" fontId="22" fillId="13" borderId="54" xfId="0" applyFont="1" applyFill="1" applyBorder="1"/>
    <xf numFmtId="0" fontId="12" fillId="14" borderId="17" xfId="0" applyFont="1" applyFill="1" applyBorder="1"/>
    <xf numFmtId="0" fontId="6" fillId="11" borderId="46" xfId="0" applyFont="1" applyFill="1" applyBorder="1" applyAlignment="1">
      <alignment horizontal="center"/>
    </xf>
    <xf numFmtId="0" fontId="23" fillId="35" borderId="46" xfId="0" applyFont="1" applyFill="1" applyBorder="1"/>
    <xf numFmtId="4" fontId="8" fillId="10" borderId="1" xfId="0" applyNumberFormat="1" applyFont="1" applyFill="1" applyBorder="1" applyAlignment="1">
      <alignment horizontal="center"/>
    </xf>
    <xf numFmtId="0" fontId="43" fillId="0" borderId="1" xfId="0" applyFont="1" applyBorder="1"/>
    <xf numFmtId="0" fontId="10" fillId="22" borderId="4" xfId="0" applyFont="1" applyFill="1" applyBorder="1" applyAlignment="1">
      <alignment horizontal="center" wrapText="1"/>
    </xf>
    <xf numFmtId="0" fontId="10" fillId="19" borderId="71" xfId="0" applyFont="1" applyFill="1" applyBorder="1" applyAlignment="1">
      <alignment horizontal="center" wrapText="1"/>
    </xf>
    <xf numFmtId="0" fontId="10" fillId="20" borderId="4" xfId="0" applyFont="1" applyFill="1" applyBorder="1" applyAlignment="1">
      <alignment horizontal="center" wrapText="1"/>
    </xf>
    <xf numFmtId="0" fontId="10" fillId="21" borderId="4" xfId="0" applyFont="1" applyFill="1" applyBorder="1" applyAlignment="1">
      <alignment horizontal="center" wrapText="1"/>
    </xf>
    <xf numFmtId="0" fontId="10" fillId="13" borderId="54" xfId="0" applyFont="1" applyFill="1" applyBorder="1"/>
    <xf numFmtId="0" fontId="11" fillId="14" borderId="17" xfId="0" applyFont="1" applyFill="1" applyBorder="1" applyAlignment="1">
      <alignment horizontal="left"/>
    </xf>
    <xf numFmtId="0" fontId="32" fillId="58" borderId="11" xfId="0" applyFont="1" applyFill="1" applyBorder="1" applyAlignment="1">
      <alignment vertical="center" wrapText="1"/>
    </xf>
    <xf numFmtId="0" fontId="5" fillId="0" borderId="46" xfId="0" applyFont="1" applyBorder="1"/>
    <xf numFmtId="0" fontId="1" fillId="76" borderId="0" xfId="0" applyFont="1" applyFill="1" applyBorder="1"/>
    <xf numFmtId="0" fontId="6" fillId="10" borderId="6" xfId="0" applyFont="1" applyFill="1" applyBorder="1" applyAlignment="1">
      <alignment horizontal="center"/>
    </xf>
    <xf numFmtId="0" fontId="7" fillId="10" borderId="6" xfId="0" applyFont="1" applyFill="1" applyBorder="1"/>
    <xf numFmtId="0" fontId="8" fillId="10" borderId="6" xfId="0" applyFont="1" applyFill="1" applyBorder="1" applyAlignment="1">
      <alignment horizontal="center"/>
    </xf>
    <xf numFmtId="0" fontId="8" fillId="10" borderId="71" xfId="0" applyFont="1" applyFill="1" applyBorder="1"/>
    <xf numFmtId="0" fontId="7" fillId="10" borderId="55" xfId="0" applyFont="1" applyFill="1" applyBorder="1"/>
    <xf numFmtId="0" fontId="8" fillId="10" borderId="54" xfId="0" applyFont="1" applyFill="1" applyBorder="1"/>
    <xf numFmtId="0" fontId="27" fillId="10" borderId="6" xfId="0" applyFont="1" applyFill="1" applyBorder="1"/>
    <xf numFmtId="0" fontId="27" fillId="10" borderId="71" xfId="0" applyFont="1" applyFill="1" applyBorder="1"/>
    <xf numFmtId="0" fontId="27" fillId="10" borderId="55" xfId="0" applyFont="1" applyFill="1" applyBorder="1"/>
    <xf numFmtId="0" fontId="0" fillId="73" borderId="46" xfId="0" applyFill="1" applyBorder="1"/>
    <xf numFmtId="0" fontId="12" fillId="49" borderId="46" xfId="0" applyFont="1" applyFill="1" applyBorder="1"/>
    <xf numFmtId="0" fontId="12" fillId="50" borderId="46" xfId="0" applyFont="1" applyFill="1" applyBorder="1"/>
    <xf numFmtId="0" fontId="12" fillId="73" borderId="46" xfId="0" applyFont="1" applyFill="1" applyBorder="1"/>
    <xf numFmtId="0" fontId="6" fillId="43" borderId="6" xfId="0" applyFont="1" applyFill="1" applyBorder="1" applyAlignment="1">
      <alignment horizontal="center"/>
    </xf>
    <xf numFmtId="0" fontId="62" fillId="43" borderId="6" xfId="0" applyFont="1" applyFill="1" applyBorder="1"/>
    <xf numFmtId="0" fontId="0" fillId="78" borderId="46" xfId="0" applyFill="1" applyBorder="1" applyAlignment="1">
      <alignment horizontal="center" vertical="center" wrapText="1"/>
    </xf>
    <xf numFmtId="0" fontId="1" fillId="81" borderId="46" xfId="0" applyFont="1" applyFill="1" applyBorder="1" applyAlignment="1">
      <alignment horizontal="center" vertical="center" wrapText="1"/>
    </xf>
    <xf numFmtId="0" fontId="31" fillId="81" borderId="46" xfId="0" applyFont="1" applyFill="1" applyBorder="1" applyAlignment="1">
      <alignment horizontal="center" vertical="center" wrapText="1"/>
    </xf>
    <xf numFmtId="0" fontId="0" fillId="81" borderId="46" xfId="0" applyFill="1" applyBorder="1" applyAlignment="1">
      <alignment horizontal="center" vertical="center" wrapText="1"/>
    </xf>
    <xf numFmtId="0" fontId="0" fillId="81" borderId="46" xfId="0" applyFill="1" applyBorder="1"/>
    <xf numFmtId="0" fontId="9" fillId="10" borderId="6" xfId="0" applyFont="1" applyFill="1" applyBorder="1"/>
    <xf numFmtId="0" fontId="1" fillId="82" borderId="46" xfId="0" applyFont="1" applyFill="1" applyBorder="1" applyAlignment="1">
      <alignment horizontal="center" vertical="center" wrapText="1"/>
    </xf>
    <xf numFmtId="0" fontId="0" fillId="82" borderId="46" xfId="0" applyFill="1" applyBorder="1" applyAlignment="1">
      <alignment horizontal="center" vertical="center" wrapText="1"/>
    </xf>
    <xf numFmtId="0" fontId="0" fillId="82" borderId="46" xfId="0" applyFill="1" applyBorder="1"/>
    <xf numFmtId="0" fontId="40" fillId="31" borderId="0" xfId="0" applyFont="1" applyFill="1" applyBorder="1"/>
    <xf numFmtId="0" fontId="39" fillId="31" borderId="0" xfId="0" applyFont="1" applyFill="1" applyBorder="1"/>
    <xf numFmtId="0" fontId="1" fillId="31" borderId="46" xfId="0" applyFont="1" applyFill="1" applyBorder="1" applyAlignment="1">
      <alignment horizontal="center" vertical="center" wrapText="1"/>
    </xf>
    <xf numFmtId="0" fontId="1" fillId="75" borderId="46" xfId="0" applyFont="1" applyFill="1" applyBorder="1" applyAlignment="1">
      <alignment horizontal="center" vertical="center" wrapText="1"/>
    </xf>
    <xf numFmtId="0" fontId="5" fillId="31" borderId="46" xfId="0" applyFont="1" applyFill="1" applyBorder="1" applyAlignment="1">
      <alignment vertical="center" wrapText="1"/>
    </xf>
    <xf numFmtId="0" fontId="1" fillId="31" borderId="46" xfId="0" applyFont="1" applyFill="1" applyBorder="1" applyAlignment="1">
      <alignment horizontal="center"/>
    </xf>
    <xf numFmtId="0" fontId="1" fillId="76" borderId="46" xfId="0" applyFont="1" applyFill="1" applyBorder="1"/>
    <xf numFmtId="0" fontId="0" fillId="49" borderId="11" xfId="0" applyFill="1" applyBorder="1" applyAlignment="1">
      <alignment horizontal="center" vertical="center" wrapText="1"/>
    </xf>
    <xf numFmtId="0" fontId="0" fillId="49" borderId="46" xfId="0" applyFill="1" applyBorder="1" applyAlignment="1">
      <alignment horizontal="center" vertical="center" wrapText="1"/>
    </xf>
    <xf numFmtId="0" fontId="0" fillId="48" borderId="46" xfId="0" applyFill="1" applyBorder="1" applyAlignment="1">
      <alignment horizontal="center" vertical="center" wrapText="1"/>
    </xf>
    <xf numFmtId="0" fontId="0" fillId="63" borderId="46" xfId="0" applyFill="1" applyBorder="1" applyAlignment="1">
      <alignment horizontal="center" vertical="center" wrapText="1"/>
    </xf>
    <xf numFmtId="0" fontId="5" fillId="49" borderId="24" xfId="0" applyFont="1" applyFill="1" applyBorder="1" applyAlignment="1">
      <alignment horizontal="center" vertical="center" wrapText="1"/>
    </xf>
    <xf numFmtId="0" fontId="0" fillId="48" borderId="46" xfId="0" applyFill="1" applyBorder="1"/>
    <xf numFmtId="0" fontId="30" fillId="48" borderId="11" xfId="0" applyFont="1" applyFill="1" applyBorder="1" applyAlignment="1">
      <alignment horizontal="center" vertical="center"/>
    </xf>
    <xf numFmtId="0" fontId="0" fillId="83" borderId="46" xfId="0" applyFill="1" applyBorder="1" applyAlignment="1">
      <alignment horizontal="center" vertical="center" wrapText="1"/>
    </xf>
    <xf numFmtId="0" fontId="0" fillId="83" borderId="46" xfId="0" applyFill="1" applyBorder="1"/>
    <xf numFmtId="0" fontId="0" fillId="0" borderId="46" xfId="0" applyBorder="1" applyAlignment="1">
      <alignment horizontal="center"/>
    </xf>
    <xf numFmtId="0" fontId="12" fillId="37" borderId="0" xfId="0" applyFont="1" applyFill="1" applyBorder="1"/>
    <xf numFmtId="0" fontId="0" fillId="50" borderId="46" xfId="0" applyFill="1" applyBorder="1" applyAlignment="1">
      <alignment wrapText="1"/>
    </xf>
    <xf numFmtId="0" fontId="0" fillId="0" borderId="46" xfId="0" applyBorder="1" applyAlignment="1">
      <alignment wrapText="1"/>
    </xf>
    <xf numFmtId="0" fontId="12" fillId="31" borderId="0" xfId="0" applyFont="1" applyFill="1" applyBorder="1"/>
    <xf numFmtId="0" fontId="48" fillId="19" borderId="4" xfId="0" applyFont="1" applyFill="1" applyBorder="1" applyAlignment="1">
      <alignment horizontal="center" wrapText="1"/>
    </xf>
    <xf numFmtId="0" fontId="0" fillId="64" borderId="47" xfId="0" applyFill="1" applyBorder="1"/>
    <xf numFmtId="0" fontId="0" fillId="68" borderId="47" xfId="0" applyFill="1" applyBorder="1"/>
    <xf numFmtId="0" fontId="0" fillId="78" borderId="46" xfId="0" applyFill="1" applyBorder="1" applyAlignment="1">
      <alignment wrapText="1"/>
    </xf>
    <xf numFmtId="0" fontId="0" fillId="49" borderId="58" xfId="0" applyFill="1" applyBorder="1" applyAlignment="1">
      <alignment horizontal="center" vertical="center" wrapText="1"/>
    </xf>
    <xf numFmtId="0" fontId="0" fillId="49" borderId="59" xfId="0" applyFill="1" applyBorder="1" applyAlignment="1">
      <alignment horizontal="center" vertical="center" wrapText="1"/>
    </xf>
    <xf numFmtId="0" fontId="5" fillId="50" borderId="4" xfId="0" applyFont="1" applyFill="1" applyBorder="1" applyAlignment="1">
      <alignment horizontal="center" vertical="center" wrapText="1"/>
    </xf>
    <xf numFmtId="0" fontId="5" fillId="50" borderId="72" xfId="0" applyFont="1" applyFill="1" applyBorder="1" applyAlignment="1">
      <alignment horizontal="center" vertical="center" wrapText="1"/>
    </xf>
    <xf numFmtId="0" fontId="0" fillId="49" borderId="73" xfId="0" applyFill="1" applyBorder="1" applyAlignment="1">
      <alignment horizontal="center" vertical="center" wrapText="1"/>
    </xf>
    <xf numFmtId="0" fontId="0" fillId="49" borderId="45" xfId="0" applyFill="1"/>
    <xf numFmtId="0" fontId="0" fillId="68" borderId="6" xfId="0" applyFill="1" applyBorder="1" applyAlignment="1">
      <alignment horizontal="center" vertical="center" wrapText="1"/>
    </xf>
    <xf numFmtId="0" fontId="30" fillId="66" borderId="74" xfId="0" applyFont="1" applyFill="1" applyBorder="1" applyAlignment="1">
      <alignment horizontal="center" vertical="center" wrapText="1"/>
    </xf>
    <xf numFmtId="0" fontId="0" fillId="68" borderId="16" xfId="0" applyFill="1" applyBorder="1"/>
    <xf numFmtId="0" fontId="0" fillId="31" borderId="45" xfId="0" applyFill="1"/>
    <xf numFmtId="0" fontId="12" fillId="0" borderId="46" xfId="0" applyFont="1" applyBorder="1" applyAlignment="1">
      <alignment wrapText="1"/>
    </xf>
    <xf numFmtId="0" fontId="0" fillId="0" borderId="36" xfId="0" applyBorder="1"/>
    <xf numFmtId="0" fontId="0" fillId="0" borderId="28" xfId="0" applyBorder="1"/>
    <xf numFmtId="0" fontId="8" fillId="12" borderId="46" xfId="0" applyFont="1" applyFill="1" applyBorder="1" applyAlignment="1">
      <alignment horizontal="center"/>
    </xf>
    <xf numFmtId="0" fontId="5" fillId="49" borderId="11" xfId="0" applyFont="1" applyFill="1" applyBorder="1" applyAlignment="1">
      <alignment horizontal="center" vertical="center" wrapText="1"/>
    </xf>
    <xf numFmtId="0" fontId="30" fillId="48" borderId="11" xfId="0" applyFont="1" applyFill="1" applyBorder="1" applyAlignment="1">
      <alignment horizontal="center" vertical="center" wrapText="1"/>
    </xf>
    <xf numFmtId="0" fontId="7" fillId="9" borderId="3" xfId="0" applyFont="1" applyFill="1" applyBorder="1" applyAlignment="1">
      <alignment horizontal="left"/>
    </xf>
    <xf numFmtId="0" fontId="23" fillId="9" borderId="3" xfId="0" applyFont="1" applyFill="1" applyBorder="1" applyAlignment="1">
      <alignment horizontal="left"/>
    </xf>
    <xf numFmtId="0" fontId="1" fillId="0" borderId="46" xfId="0" applyFont="1" applyBorder="1" applyAlignment="1">
      <alignment horizontal="center" vertical="center" wrapText="1"/>
    </xf>
    <xf numFmtId="0" fontId="0" fillId="79" borderId="46" xfId="0" applyFill="1" applyBorder="1" applyAlignment="1">
      <alignment horizontal="center"/>
    </xf>
    <xf numFmtId="0" fontId="0" fillId="79" borderId="46" xfId="0" applyFill="1" applyBorder="1"/>
    <xf numFmtId="0" fontId="30" fillId="48" borderId="46" xfId="0" applyFont="1" applyFill="1" applyBorder="1" applyAlignment="1">
      <alignment horizontal="center" vertical="center" wrapText="1"/>
    </xf>
    <xf numFmtId="0" fontId="30" fillId="48" borderId="46" xfId="0" applyFont="1" applyFill="1" applyBorder="1" applyAlignment="1">
      <alignment horizontal="center" vertical="center"/>
    </xf>
    <xf numFmtId="0" fontId="5" fillId="49" borderId="46" xfId="0" applyFont="1" applyFill="1" applyBorder="1" applyAlignment="1">
      <alignment horizontal="center" vertical="center" wrapText="1"/>
    </xf>
    <xf numFmtId="0" fontId="0" fillId="72" borderId="46" xfId="0" applyFill="1" applyBorder="1"/>
    <xf numFmtId="0" fontId="46" fillId="15" borderId="5" xfId="0" applyFont="1" applyFill="1" applyBorder="1" applyAlignment="1">
      <alignment horizontal="center"/>
    </xf>
    <xf numFmtId="0" fontId="12" fillId="26" borderId="46" xfId="0" applyFont="1" applyFill="1" applyBorder="1" applyAlignment="1">
      <alignment vertical="center" wrapText="1"/>
    </xf>
    <xf numFmtId="0" fontId="12" fillId="26" borderId="46" xfId="0" applyFont="1" applyFill="1" applyBorder="1" applyAlignment="1">
      <alignment horizontal="center" vertical="center" wrapText="1"/>
    </xf>
    <xf numFmtId="0" fontId="0" fillId="50" borderId="46" xfId="0" applyFill="1" applyBorder="1"/>
    <xf numFmtId="0" fontId="30" fillId="66" borderId="60" xfId="0" applyFont="1" applyFill="1" applyBorder="1" applyAlignment="1">
      <alignment horizontal="center" vertical="center" wrapText="1"/>
    </xf>
    <xf numFmtId="0" fontId="0" fillId="0" borderId="46" xfId="0" applyBorder="1" applyAlignment="1">
      <alignment horizontal="center" vertical="center" wrapText="1"/>
    </xf>
    <xf numFmtId="0" fontId="10" fillId="17" borderId="5" xfId="0" applyFont="1" applyFill="1" applyBorder="1" applyAlignment="1">
      <alignment horizontal="center" wrapText="1"/>
    </xf>
    <xf numFmtId="0" fontId="10" fillId="15" borderId="5" xfId="0" applyFont="1" applyFill="1" applyBorder="1" applyAlignment="1">
      <alignment horizontal="center" wrapText="1"/>
    </xf>
    <xf numFmtId="0" fontId="0" fillId="0" borderId="46" xfId="0" applyBorder="1"/>
    <xf numFmtId="0" fontId="0" fillId="68" borderId="46" xfId="0" applyFill="1" applyBorder="1" applyAlignment="1">
      <alignment horizontal="center" vertical="center"/>
    </xf>
    <xf numFmtId="0" fontId="0" fillId="63" borderId="46" xfId="0" applyFill="1" applyBorder="1"/>
    <xf numFmtId="0" fontId="0" fillId="63" borderId="46" xfId="0" applyFill="1" applyBorder="1" applyAlignment="1">
      <alignment horizontal="center" vertical="center"/>
    </xf>
    <xf numFmtId="0" fontId="12" fillId="36" borderId="46" xfId="0" applyFont="1" applyFill="1" applyBorder="1" applyAlignment="1">
      <alignment horizontal="center" vertical="center" wrapText="1"/>
    </xf>
    <xf numFmtId="0" fontId="12" fillId="0" borderId="46" xfId="0" applyFont="1" applyBorder="1" applyAlignment="1">
      <alignment horizontal="center" vertical="center" wrapText="1"/>
    </xf>
    <xf numFmtId="0" fontId="22" fillId="18" borderId="46" xfId="0" applyFont="1" applyFill="1" applyBorder="1" applyAlignment="1">
      <alignment horizontal="center"/>
    </xf>
    <xf numFmtId="0" fontId="22" fillId="16" borderId="46" xfId="0" applyFont="1" applyFill="1" applyBorder="1" applyAlignment="1">
      <alignment horizontal="center"/>
    </xf>
    <xf numFmtId="0" fontId="0" fillId="68" borderId="46" xfId="0" applyFill="1" applyBorder="1"/>
    <xf numFmtId="0" fontId="0" fillId="80" borderId="46" xfId="0" applyFill="1" applyBorder="1" applyAlignment="1">
      <alignment horizontal="center" vertical="center" wrapText="1"/>
    </xf>
    <xf numFmtId="0" fontId="0" fillId="68" borderId="62" xfId="0" applyFill="1" applyBorder="1" applyAlignment="1">
      <alignment horizontal="center" vertical="center" wrapText="1"/>
    </xf>
    <xf numFmtId="0" fontId="12" fillId="0" borderId="46" xfId="0" applyFont="1" applyBorder="1"/>
    <xf numFmtId="0" fontId="7" fillId="12" borderId="46" xfId="0" applyFont="1" applyFill="1" applyBorder="1" applyAlignment="1">
      <alignment horizontal="center" wrapText="1"/>
    </xf>
    <xf numFmtId="0" fontId="22" fillId="15" borderId="5" xfId="0" applyFont="1" applyFill="1" applyBorder="1" applyAlignment="1">
      <alignment horizontal="center"/>
    </xf>
    <xf numFmtId="0" fontId="22" fillId="17" borderId="5" xfId="0" applyFont="1" applyFill="1" applyBorder="1" applyAlignment="1">
      <alignment horizontal="center"/>
    </xf>
    <xf numFmtId="0" fontId="12" fillId="14" borderId="3" xfId="0" applyFont="1" applyFill="1" applyBorder="1"/>
    <xf numFmtId="0" fontId="5" fillId="48" borderId="46" xfId="0" applyFont="1" applyFill="1" applyBorder="1" applyAlignment="1">
      <alignment horizontal="center" vertical="center" wrapText="1"/>
    </xf>
    <xf numFmtId="0" fontId="5" fillId="49" borderId="46" xfId="0" applyFont="1" applyFill="1" applyBorder="1" applyAlignment="1">
      <alignment horizontal="center" vertical="center"/>
    </xf>
    <xf numFmtId="0" fontId="5" fillId="68" borderId="46" xfId="0" applyFont="1" applyFill="1" applyBorder="1" applyAlignment="1">
      <alignment horizontal="center" vertical="center" wrapText="1"/>
    </xf>
    <xf numFmtId="0" fontId="5" fillId="82" borderId="46" xfId="0" applyFont="1" applyFill="1" applyBorder="1" applyAlignment="1">
      <alignment horizontal="center" vertical="center" wrapText="1"/>
    </xf>
    <xf numFmtId="0" fontId="0" fillId="49" borderId="46" xfId="0" applyFill="1" applyBorder="1"/>
    <xf numFmtId="0" fontId="5" fillId="68" borderId="46" xfId="0" applyFont="1" applyFill="1" applyBorder="1" applyAlignment="1">
      <alignment horizontal="center" vertical="center"/>
    </xf>
    <xf numFmtId="0" fontId="5" fillId="81" borderId="46" xfId="0" applyFont="1" applyFill="1" applyBorder="1" applyAlignment="1">
      <alignment horizontal="center" vertical="center" wrapText="1"/>
    </xf>
    <xf numFmtId="0" fontId="7" fillId="9" borderId="17" xfId="0" applyFont="1" applyFill="1" applyBorder="1" applyAlignment="1">
      <alignment horizontal="left"/>
    </xf>
    <xf numFmtId="0" fontId="0" fillId="31" borderId="46" xfId="0" applyFill="1" applyBorder="1" applyAlignment="1">
      <alignment horizontal="center" vertical="center"/>
    </xf>
    <xf numFmtId="0" fontId="0" fillId="50" borderId="46" xfId="0" applyFill="1" applyBorder="1" applyAlignment="1">
      <alignment horizontal="center" vertical="center" wrapText="1"/>
    </xf>
    <xf numFmtId="0" fontId="0" fillId="73" borderId="46" xfId="0" applyFill="1" applyBorder="1" applyAlignment="1">
      <alignment horizontal="center" vertical="center"/>
    </xf>
    <xf numFmtId="0" fontId="22" fillId="15" borderId="5" xfId="0" applyFont="1" applyFill="1" applyBorder="1" applyAlignment="1">
      <alignment horizontal="center" wrapText="1"/>
    </xf>
    <xf numFmtId="0" fontId="0" fillId="0" borderId="46" xfId="0" applyBorder="1" applyAlignment="1">
      <alignment horizontal="center" vertical="center"/>
    </xf>
    <xf numFmtId="0" fontId="0" fillId="31" borderId="46" xfId="0" applyFill="1" applyBorder="1"/>
    <xf numFmtId="0" fontId="1" fillId="5" borderId="11" xfId="0" applyFont="1" applyFill="1" applyBorder="1" applyAlignment="1">
      <alignment horizontal="center" wrapText="1"/>
    </xf>
    <xf numFmtId="0" fontId="12" fillId="0" borderId="46" xfId="0" applyFont="1" applyBorder="1" applyAlignment="1">
      <alignment vertical="center" wrapText="1"/>
    </xf>
    <xf numFmtId="0" fontId="12" fillId="31" borderId="46" xfId="0" applyFont="1" applyFill="1" applyBorder="1" applyAlignment="1">
      <alignment vertical="center" wrapText="1"/>
    </xf>
    <xf numFmtId="0" fontId="43" fillId="0" borderId="46" xfId="0" applyFont="1" applyBorder="1" applyAlignment="1">
      <alignment horizontal="center" vertical="center" wrapText="1"/>
    </xf>
    <xf numFmtId="0" fontId="12" fillId="0" borderId="46" xfId="0" applyFont="1" applyBorder="1" applyAlignment="1">
      <alignment horizontal="center"/>
    </xf>
    <xf numFmtId="0" fontId="12" fillId="0" borderId="46" xfId="0" applyFont="1" applyBorder="1" applyAlignment="1">
      <alignment horizontal="center" vertical="center"/>
    </xf>
    <xf numFmtId="0" fontId="0" fillId="68" borderId="46" xfId="0" applyFill="1" applyBorder="1" applyAlignment="1">
      <alignment horizontal="center" vertical="center" wrapText="1"/>
    </xf>
    <xf numFmtId="0" fontId="0" fillId="49" borderId="55" xfId="0" applyFill="1" applyBorder="1" applyAlignment="1">
      <alignment horizontal="center" vertical="center" wrapText="1"/>
    </xf>
    <xf numFmtId="0" fontId="0" fillId="64" borderId="46" xfId="0" applyFill="1" applyBorder="1"/>
    <xf numFmtId="0" fontId="1" fillId="68" borderId="46" xfId="0" applyFont="1" applyFill="1" applyBorder="1" applyAlignment="1">
      <alignment horizontal="center" vertical="center" wrapText="1"/>
    </xf>
    <xf numFmtId="0" fontId="31" fillId="68" borderId="46" xfId="0" applyFont="1" applyFill="1" applyBorder="1" applyAlignment="1">
      <alignment horizontal="center" vertical="center" wrapText="1"/>
    </xf>
    <xf numFmtId="0" fontId="22" fillId="18" borderId="46" xfId="0" applyFont="1" applyFill="1" applyBorder="1" applyAlignment="1">
      <alignment horizontal="center" vertical="center" wrapText="1"/>
    </xf>
    <xf numFmtId="0" fontId="22" fillId="16" borderId="46" xfId="0" applyFont="1" applyFill="1" applyBorder="1" applyAlignment="1">
      <alignment horizontal="center" vertical="center" wrapText="1"/>
    </xf>
    <xf numFmtId="0" fontId="0" fillId="78" borderId="46" xfId="0" applyFill="1" applyBorder="1"/>
    <xf numFmtId="0" fontId="12" fillId="37" borderId="46" xfId="0" applyFont="1" applyFill="1" applyBorder="1" applyAlignment="1">
      <alignment horizontal="center" vertical="center" wrapText="1"/>
    </xf>
    <xf numFmtId="0" fontId="5" fillId="49" borderId="46" xfId="0" applyFont="1" applyFill="1" applyBorder="1" applyAlignment="1">
      <alignment horizontal="left" vertical="center"/>
    </xf>
    <xf numFmtId="0" fontId="0" fillId="80" borderId="46" xfId="0" applyFill="1" applyBorder="1"/>
    <xf numFmtId="0" fontId="1" fillId="0" borderId="45" xfId="0" applyFont="1" applyAlignment="1">
      <alignment wrapText="1"/>
    </xf>
    <xf numFmtId="0" fontId="1" fillId="4" borderId="62" xfId="0" applyFont="1" applyFill="1" applyBorder="1" applyAlignment="1">
      <alignment vertical="center" wrapText="1"/>
    </xf>
    <xf numFmtId="0" fontId="1" fillId="5" borderId="62" xfId="0" applyFont="1" applyFill="1" applyBorder="1" applyAlignment="1">
      <alignment wrapText="1"/>
    </xf>
    <xf numFmtId="0" fontId="1" fillId="6" borderId="62" xfId="0" applyFont="1" applyFill="1" applyBorder="1" applyAlignment="1">
      <alignment wrapText="1"/>
    </xf>
    <xf numFmtId="0" fontId="1" fillId="2" borderId="62" xfId="0" applyFont="1" applyFill="1" applyBorder="1" applyAlignment="1">
      <alignment wrapText="1"/>
    </xf>
    <xf numFmtId="0" fontId="0" fillId="0" borderId="45" xfId="0"/>
    <xf numFmtId="0" fontId="63" fillId="0" borderId="0" xfId="0" applyFont="1" applyBorder="1"/>
    <xf numFmtId="0" fontId="64" fillId="0" borderId="0" xfId="0" applyFont="1" applyBorder="1"/>
    <xf numFmtId="0" fontId="65" fillId="0" borderId="0" xfId="0" applyFont="1" applyBorder="1"/>
    <xf numFmtId="0" fontId="67" fillId="85" borderId="75" xfId="0" applyFont="1" applyFill="1" applyBorder="1" applyAlignment="1">
      <alignment horizontal="center" wrapText="1"/>
    </xf>
    <xf numFmtId="0" fontId="67" fillId="86" borderId="75" xfId="0" applyFont="1" applyFill="1" applyBorder="1"/>
    <xf numFmtId="0" fontId="64" fillId="0" borderId="75" xfId="0" applyFont="1" applyBorder="1"/>
    <xf numFmtId="0" fontId="68" fillId="91" borderId="75" xfId="0" applyFont="1" applyFill="1" applyBorder="1"/>
    <xf numFmtId="14" fontId="0" fillId="0" borderId="46" xfId="0" quotePrefix="1" applyNumberFormat="1" applyBorder="1" applyAlignment="1">
      <alignment horizontal="center"/>
    </xf>
    <xf numFmtId="0" fontId="1" fillId="2" borderId="1" xfId="0" quotePrefix="1" applyFont="1" applyFill="1" applyBorder="1" applyAlignment="1">
      <alignment wrapText="1"/>
    </xf>
    <xf numFmtId="0" fontId="15" fillId="3" borderId="16" xfId="0" applyFont="1" applyFill="1" applyBorder="1" applyAlignment="1">
      <alignment horizontal="center"/>
    </xf>
    <xf numFmtId="0" fontId="32" fillId="60" borderId="16" xfId="0" applyFont="1" applyFill="1" applyBorder="1" applyAlignment="1">
      <alignment horizontal="center"/>
    </xf>
    <xf numFmtId="0" fontId="0" fillId="65" borderId="16" xfId="0" applyFill="1" applyBorder="1" applyAlignment="1">
      <alignment horizontal="center"/>
    </xf>
    <xf numFmtId="0" fontId="14" fillId="2" borderId="16" xfId="0" applyFont="1" applyFill="1" applyBorder="1" applyAlignment="1">
      <alignment horizontal="center"/>
    </xf>
    <xf numFmtId="0" fontId="24" fillId="0" borderId="46" xfId="1" applyBorder="1" applyAlignment="1">
      <alignment horizontal="center" vertical="center"/>
    </xf>
    <xf numFmtId="0" fontId="2" fillId="0" borderId="45" xfId="0" applyFont="1"/>
    <xf numFmtId="165" fontId="42" fillId="0" borderId="46" xfId="0" applyNumberFormat="1" applyFont="1" applyBorder="1" applyAlignment="1">
      <alignment vertical="center" wrapText="1"/>
    </xf>
    <xf numFmtId="165" fontId="42" fillId="0" borderId="46" xfId="0" applyNumberFormat="1" applyFont="1" applyBorder="1"/>
    <xf numFmtId="165" fontId="0" fillId="0" borderId="46" xfId="0" applyNumberFormat="1" applyBorder="1"/>
    <xf numFmtId="0" fontId="0" fillId="0" borderId="45" xfId="0" applyAlignment="1">
      <alignment horizontal="center"/>
    </xf>
    <xf numFmtId="0" fontId="11" fillId="0" borderId="46" xfId="1" applyFont="1" applyBorder="1" applyAlignment="1">
      <alignment horizontal="center"/>
    </xf>
    <xf numFmtId="165" fontId="11" fillId="0" borderId="46" xfId="0" applyNumberFormat="1" applyFont="1" applyBorder="1" applyAlignment="1">
      <alignment horizontal="center"/>
    </xf>
    <xf numFmtId="0" fontId="5" fillId="5" borderId="46" xfId="0" applyFont="1" applyFill="1" applyBorder="1" applyAlignment="1">
      <alignment horizontal="center" wrapText="1"/>
    </xf>
    <xf numFmtId="0" fontId="1" fillId="4" borderId="46" xfId="0" applyFont="1" applyFill="1" applyBorder="1" applyAlignment="1">
      <alignment horizontal="center" wrapText="1"/>
    </xf>
    <xf numFmtId="0" fontId="1" fillId="6" borderId="46" xfId="0" applyFont="1" applyFill="1" applyBorder="1" applyAlignment="1">
      <alignment horizontal="center" wrapText="1"/>
    </xf>
    <xf numFmtId="0" fontId="32" fillId="60" borderId="45" xfId="0" applyFont="1" applyFill="1" applyAlignment="1">
      <alignment horizontal="center"/>
    </xf>
    <xf numFmtId="0" fontId="1" fillId="0" borderId="45" xfId="0" applyFont="1" applyAlignment="1">
      <alignment horizontal="center" wrapText="1"/>
    </xf>
    <xf numFmtId="0" fontId="7" fillId="10" borderId="62" xfId="0" applyFont="1" applyFill="1" applyBorder="1"/>
    <xf numFmtId="0" fontId="8" fillId="10" borderId="62" xfId="0" applyFont="1" applyFill="1" applyBorder="1"/>
    <xf numFmtId="0" fontId="7" fillId="10" borderId="62" xfId="0" applyFont="1" applyFill="1" applyBorder="1" applyAlignment="1">
      <alignment horizontal="right"/>
    </xf>
    <xf numFmtId="0" fontId="0" fillId="64" borderId="45" xfId="0" applyFill="1"/>
    <xf numFmtId="0" fontId="0" fillId="50" borderId="45" xfId="0" applyFill="1"/>
    <xf numFmtId="0" fontId="0" fillId="35" borderId="46" xfId="0" applyFill="1" applyBorder="1" applyAlignment="1">
      <alignment horizontal="center" vertical="center" wrapText="1"/>
    </xf>
    <xf numFmtId="0" fontId="8" fillId="12" borderId="46" xfId="0" applyFont="1" applyFill="1" applyBorder="1" applyAlignment="1">
      <alignment horizontal="center" vertical="center"/>
    </xf>
    <xf numFmtId="0" fontId="23" fillId="10" borderId="4" xfId="0" applyFont="1" applyFill="1" applyBorder="1"/>
    <xf numFmtId="0" fontId="7" fillId="43" borderId="3" xfId="0" applyFont="1" applyFill="1" applyBorder="1"/>
    <xf numFmtId="0" fontId="7" fillId="43" borderId="17" xfId="0" applyFont="1" applyFill="1" applyBorder="1"/>
    <xf numFmtId="0" fontId="8" fillId="10" borderId="46" xfId="0" applyFont="1" applyFill="1" applyBorder="1"/>
    <xf numFmtId="0" fontId="7" fillId="10" borderId="46" xfId="0" applyFont="1" applyFill="1" applyBorder="1"/>
    <xf numFmtId="0" fontId="7" fillId="10" borderId="46" xfId="0" applyFont="1" applyFill="1" applyBorder="1" applyAlignment="1">
      <alignment horizontal="right"/>
    </xf>
    <xf numFmtId="0" fontId="5" fillId="5" borderId="62" xfId="0" applyFont="1" applyFill="1" applyBorder="1" applyAlignment="1">
      <alignment vertical="center" wrapText="1"/>
    </xf>
    <xf numFmtId="0" fontId="1" fillId="6" borderId="62" xfId="0" applyFont="1" applyFill="1" applyBorder="1" applyAlignment="1">
      <alignment vertical="center" wrapText="1"/>
    </xf>
    <xf numFmtId="0" fontId="0" fillId="0" borderId="47" xfId="0" applyBorder="1"/>
    <xf numFmtId="0" fontId="23" fillId="43" borderId="4" xfId="0" applyFont="1" applyFill="1" applyBorder="1"/>
    <xf numFmtId="0" fontId="1" fillId="43" borderId="4" xfId="0" applyFont="1" applyFill="1" applyBorder="1"/>
    <xf numFmtId="0" fontId="1" fillId="74" borderId="4" xfId="0" applyFont="1" applyFill="1" applyBorder="1" applyAlignment="1">
      <alignment vertical="center" wrapText="1"/>
    </xf>
    <xf numFmtId="0" fontId="62" fillId="43" borderId="4" xfId="0" applyFont="1" applyFill="1" applyBorder="1"/>
    <xf numFmtId="0" fontId="11" fillId="43" borderId="4" xfId="0" applyFont="1" applyFill="1" applyBorder="1"/>
    <xf numFmtId="0" fontId="62" fillId="43" borderId="71" xfId="0" applyFont="1" applyFill="1" applyBorder="1"/>
    <xf numFmtId="0" fontId="0" fillId="49" borderId="16" xfId="0" applyFill="1" applyBorder="1"/>
    <xf numFmtId="0" fontId="0" fillId="50" borderId="16" xfId="0" applyFill="1" applyBorder="1"/>
    <xf numFmtId="0" fontId="23" fillId="43" borderId="46" xfId="0" applyFont="1" applyFill="1" applyBorder="1"/>
    <xf numFmtId="0" fontId="1" fillId="43" borderId="46" xfId="0" applyFont="1" applyFill="1" applyBorder="1"/>
    <xf numFmtId="0" fontId="1" fillId="74" borderId="46" xfId="0" applyFont="1" applyFill="1" applyBorder="1" applyAlignment="1">
      <alignment vertical="center" wrapText="1"/>
    </xf>
    <xf numFmtId="0" fontId="62" fillId="43" borderId="46" xfId="0" applyFont="1" applyFill="1" applyBorder="1"/>
    <xf numFmtId="0" fontId="11" fillId="43" borderId="46" xfId="0" applyFont="1" applyFill="1" applyBorder="1"/>
    <xf numFmtId="0" fontId="23" fillId="34" borderId="16" xfId="0" applyFont="1" applyFill="1" applyBorder="1"/>
    <xf numFmtId="0" fontId="8" fillId="10" borderId="17" xfId="0" applyFont="1" applyFill="1" applyBorder="1" applyAlignment="1">
      <alignment horizontal="center"/>
    </xf>
    <xf numFmtId="0" fontId="8" fillId="10" borderId="4" xfId="0" applyFont="1" applyFill="1" applyBorder="1" applyAlignment="1">
      <alignment horizontal="center"/>
    </xf>
    <xf numFmtId="0" fontId="8" fillId="10" borderId="4" xfId="0" applyFont="1" applyFill="1" applyBorder="1" applyAlignment="1">
      <alignment horizontal="center" wrapText="1"/>
    </xf>
    <xf numFmtId="0" fontId="8" fillId="10" borderId="71" xfId="0" applyFont="1" applyFill="1" applyBorder="1" applyAlignment="1">
      <alignment horizontal="center"/>
    </xf>
    <xf numFmtId="0" fontId="0" fillId="80" borderId="16" xfId="0" applyFill="1" applyBorder="1"/>
    <xf numFmtId="0" fontId="23" fillId="34" borderId="46" xfId="0" applyFont="1" applyFill="1" applyBorder="1"/>
    <xf numFmtId="0" fontId="8" fillId="10" borderId="46" xfId="0" applyFont="1" applyFill="1" applyBorder="1" applyAlignment="1">
      <alignment horizontal="center"/>
    </xf>
    <xf numFmtId="0" fontId="8" fillId="10" borderId="46" xfId="0" applyFont="1" applyFill="1" applyBorder="1" applyAlignment="1">
      <alignment horizontal="center" wrapText="1"/>
    </xf>
    <xf numFmtId="0" fontId="4" fillId="0" borderId="45" xfId="0" applyFont="1" applyAlignment="1">
      <alignment wrapText="1"/>
    </xf>
    <xf numFmtId="0" fontId="39" fillId="57" borderId="46" xfId="1" applyFont="1" applyFill="1" applyBorder="1"/>
    <xf numFmtId="0" fontId="44" fillId="36" borderId="45" xfId="0" applyFont="1" applyFill="1"/>
    <xf numFmtId="0" fontId="34" fillId="92" borderId="43" xfId="0" applyFont="1" applyFill="1" applyBorder="1" applyAlignment="1">
      <alignment horizontal="center"/>
    </xf>
    <xf numFmtId="0" fontId="8" fillId="10" borderId="62" xfId="0" applyFont="1" applyFill="1" applyBorder="1" applyAlignment="1">
      <alignment horizontal="right"/>
    </xf>
    <xf numFmtId="0" fontId="0" fillId="49" borderId="47" xfId="0" applyFill="1" applyBorder="1"/>
    <xf numFmtId="0" fontId="5" fillId="94" borderId="62" xfId="0" applyFont="1" applyFill="1" applyBorder="1"/>
    <xf numFmtId="0" fontId="5" fillId="94" borderId="6" xfId="0" applyFont="1" applyFill="1" applyBorder="1"/>
    <xf numFmtId="0" fontId="0" fillId="50" borderId="47" xfId="0" applyFill="1" applyBorder="1"/>
    <xf numFmtId="0" fontId="5" fillId="96" borderId="62" xfId="0" applyFont="1" applyFill="1" applyBorder="1"/>
    <xf numFmtId="0" fontId="7" fillId="43" borderId="49" xfId="0" applyFont="1" applyFill="1" applyBorder="1"/>
    <xf numFmtId="0" fontId="5" fillId="48" borderId="49" xfId="0" applyFont="1" applyFill="1" applyBorder="1" applyAlignment="1">
      <alignment horizontal="center" vertical="center" wrapText="1"/>
    </xf>
    <xf numFmtId="0" fontId="30" fillId="48" borderId="16" xfId="0" applyFont="1" applyFill="1" applyBorder="1" applyAlignment="1">
      <alignment horizontal="center" vertical="center" wrapText="1"/>
    </xf>
    <xf numFmtId="0" fontId="0" fillId="78" borderId="47" xfId="0" applyFill="1" applyBorder="1"/>
    <xf numFmtId="0" fontId="49" fillId="48" borderId="16" xfId="0" applyFont="1" applyFill="1" applyBorder="1" applyAlignment="1">
      <alignment horizontal="center" vertical="center" wrapText="1"/>
    </xf>
    <xf numFmtId="0" fontId="1" fillId="49" borderId="55" xfId="0" applyFont="1" applyFill="1" applyBorder="1" applyAlignment="1">
      <alignment horizontal="left" vertical="center" wrapText="1"/>
    </xf>
    <xf numFmtId="0" fontId="5" fillId="94" borderId="62" xfId="0" applyFont="1" applyFill="1" applyBorder="1" applyAlignment="1">
      <alignment horizontal="left" vertical="center" wrapText="1"/>
    </xf>
    <xf numFmtId="0" fontId="6" fillId="10" borderId="4" xfId="0" applyFont="1" applyFill="1" applyBorder="1" applyAlignment="1">
      <alignment horizontal="center"/>
    </xf>
    <xf numFmtId="0" fontId="8" fillId="10" borderId="3" xfId="0" applyFont="1" applyFill="1" applyBorder="1"/>
    <xf numFmtId="0" fontId="23" fillId="10" borderId="5" xfId="0" applyFont="1" applyFill="1" applyBorder="1"/>
    <xf numFmtId="0" fontId="22" fillId="19" borderId="16" xfId="0" applyFont="1" applyFill="1" applyBorder="1" applyAlignment="1">
      <alignment horizontal="center" vertical="center" wrapText="1"/>
    </xf>
    <xf numFmtId="0" fontId="0" fillId="63" borderId="47" xfId="0" applyFill="1" applyBorder="1"/>
    <xf numFmtId="0" fontId="5" fillId="99" borderId="6" xfId="0" applyFont="1" applyFill="1" applyBorder="1"/>
    <xf numFmtId="0" fontId="0" fillId="68" borderId="49" xfId="0" applyFill="1" applyBorder="1"/>
    <xf numFmtId="0" fontId="5" fillId="100" borderId="62" xfId="0" applyFont="1" applyFill="1" applyBorder="1"/>
    <xf numFmtId="0" fontId="0" fillId="68" borderId="48" xfId="0" applyFill="1" applyBorder="1"/>
    <xf numFmtId="0" fontId="1" fillId="49" borderId="55" xfId="0" applyFont="1" applyFill="1" applyBorder="1" applyAlignment="1">
      <alignment horizontal="center" vertical="center" wrapText="1"/>
    </xf>
    <xf numFmtId="0" fontId="5" fillId="94" borderId="62" xfId="0" applyFont="1" applyFill="1" applyBorder="1" applyAlignment="1">
      <alignment horizontal="center" vertical="center" wrapText="1"/>
    </xf>
    <xf numFmtId="0" fontId="23" fillId="10" borderId="6" xfId="0" applyFont="1" applyFill="1" applyBorder="1"/>
    <xf numFmtId="0" fontId="69" fillId="97" borderId="62" xfId="0" applyFont="1" applyFill="1" applyBorder="1"/>
    <xf numFmtId="0" fontId="5" fillId="96" borderId="6" xfId="0" applyFont="1" applyFill="1" applyBorder="1"/>
    <xf numFmtId="0" fontId="6" fillId="9" borderId="71" xfId="0" applyFont="1" applyFill="1" applyBorder="1"/>
    <xf numFmtId="0" fontId="6" fillId="10" borderId="47" xfId="0" applyFont="1" applyFill="1" applyBorder="1" applyAlignment="1">
      <alignment horizontal="center"/>
    </xf>
    <xf numFmtId="0" fontId="6" fillId="10" borderId="9" xfId="0" applyFont="1" applyFill="1" applyBorder="1" applyAlignment="1">
      <alignment horizontal="center"/>
    </xf>
    <xf numFmtId="0" fontId="6" fillId="10" borderId="5" xfId="0" applyFont="1" applyFill="1" applyBorder="1" applyAlignment="1">
      <alignment horizontal="center"/>
    </xf>
    <xf numFmtId="0" fontId="6" fillId="10" borderId="54" xfId="0" applyFont="1" applyFill="1" applyBorder="1" applyAlignment="1">
      <alignment horizontal="center"/>
    </xf>
    <xf numFmtId="0" fontId="0" fillId="80" borderId="47" xfId="0" applyFill="1" applyBorder="1"/>
    <xf numFmtId="0" fontId="5" fillId="103" borderId="62" xfId="0" applyFont="1" applyFill="1" applyBorder="1"/>
    <xf numFmtId="0" fontId="30" fillId="66" borderId="4" xfId="0" applyFont="1" applyFill="1" applyBorder="1" applyAlignment="1">
      <alignment horizontal="center" vertical="center" wrapText="1"/>
    </xf>
    <xf numFmtId="0" fontId="46" fillId="39" borderId="55" xfId="0" applyFont="1" applyFill="1" applyBorder="1" applyAlignment="1">
      <alignment horizontal="center"/>
    </xf>
    <xf numFmtId="0" fontId="45" fillId="39" borderId="55" xfId="0" applyFont="1" applyFill="1" applyBorder="1"/>
    <xf numFmtId="0" fontId="44" fillId="39" borderId="49" xfId="0" applyFont="1" applyFill="1" applyBorder="1"/>
    <xf numFmtId="0" fontId="46" fillId="39" borderId="16" xfId="0" applyFont="1" applyFill="1" applyBorder="1" applyAlignment="1">
      <alignment horizontal="center"/>
    </xf>
    <xf numFmtId="0" fontId="45" fillId="39" borderId="47" xfId="0" applyFont="1" applyFill="1" applyBorder="1"/>
    <xf numFmtId="0" fontId="46" fillId="11" borderId="16" xfId="0" applyFont="1" applyFill="1" applyBorder="1" applyAlignment="1">
      <alignment horizontal="center"/>
    </xf>
    <xf numFmtId="0" fontId="0" fillId="80" borderId="49" xfId="0" applyFill="1" applyBorder="1"/>
    <xf numFmtId="0" fontId="6" fillId="10" borderId="55" xfId="0" applyFont="1" applyFill="1" applyBorder="1" applyAlignment="1">
      <alignment horizontal="center"/>
    </xf>
    <xf numFmtId="0" fontId="5" fillId="0" borderId="6" xfId="0" applyFont="1" applyBorder="1"/>
    <xf numFmtId="0" fontId="0" fillId="73" borderId="47" xfId="0" applyFill="1" applyBorder="1"/>
    <xf numFmtId="0" fontId="5" fillId="104" borderId="62" xfId="0" applyFont="1" applyFill="1" applyBorder="1"/>
    <xf numFmtId="0" fontId="6" fillId="10" borderId="16" xfId="0" applyFont="1" applyFill="1" applyBorder="1" applyAlignment="1">
      <alignment horizontal="center"/>
    </xf>
    <xf numFmtId="0" fontId="27" fillId="10" borderId="49" xfId="0" applyFont="1" applyFill="1" applyBorder="1"/>
    <xf numFmtId="0" fontId="6" fillId="10" borderId="16" xfId="0" applyFont="1" applyFill="1" applyBorder="1" applyAlignment="1">
      <alignment horizontal="left"/>
    </xf>
    <xf numFmtId="0" fontId="9" fillId="0" borderId="55" xfId="0" applyFont="1" applyBorder="1"/>
    <xf numFmtId="0" fontId="12" fillId="0" borderId="16" xfId="0" applyFont="1" applyBorder="1"/>
    <xf numFmtId="0" fontId="12" fillId="0" borderId="47" xfId="0" applyFont="1" applyBorder="1"/>
    <xf numFmtId="0" fontId="27" fillId="43" borderId="49" xfId="0" applyFont="1" applyFill="1" applyBorder="1"/>
    <xf numFmtId="0" fontId="6" fillId="43" borderId="16" xfId="0" applyFont="1" applyFill="1" applyBorder="1" applyAlignment="1">
      <alignment horizontal="center"/>
    </xf>
    <xf numFmtId="0" fontId="7" fillId="12" borderId="55" xfId="0" applyFont="1" applyFill="1" applyBorder="1" applyAlignment="1">
      <alignment horizontal="center"/>
    </xf>
    <xf numFmtId="0" fontId="23" fillId="35" borderId="16" xfId="0" applyFont="1" applyFill="1" applyBorder="1"/>
    <xf numFmtId="0" fontId="6" fillId="9" borderId="55" xfId="0" applyFont="1" applyFill="1" applyBorder="1"/>
    <xf numFmtId="0" fontId="6" fillId="44" borderId="47" xfId="0" applyFont="1" applyFill="1" applyBorder="1" applyAlignment="1">
      <alignment horizontal="center"/>
    </xf>
    <xf numFmtId="0" fontId="6" fillId="44" borderId="50" xfId="0" applyFont="1" applyFill="1" applyBorder="1" applyAlignment="1">
      <alignment horizontal="center"/>
    </xf>
    <xf numFmtId="0" fontId="5" fillId="106" borderId="6" xfId="0" applyFont="1" applyFill="1" applyBorder="1"/>
    <xf numFmtId="0" fontId="5" fillId="100" borderId="6" xfId="0" applyFont="1" applyFill="1" applyBorder="1"/>
    <xf numFmtId="0" fontId="0" fillId="81" borderId="47" xfId="0" applyFill="1" applyBorder="1"/>
    <xf numFmtId="0" fontId="5" fillId="107" borderId="62" xfId="0" applyFont="1" applyFill="1" applyBorder="1"/>
    <xf numFmtId="0" fontId="27" fillId="44" borderId="49" xfId="0" applyFont="1" applyFill="1" applyBorder="1"/>
    <xf numFmtId="0" fontId="27" fillId="45" borderId="49" xfId="0" applyFont="1" applyFill="1" applyBorder="1"/>
    <xf numFmtId="0" fontId="0" fillId="48" borderId="47" xfId="0" applyFill="1" applyBorder="1"/>
    <xf numFmtId="0" fontId="7" fillId="10" borderId="3" xfId="0" applyFont="1" applyFill="1" applyBorder="1"/>
    <xf numFmtId="0" fontId="6" fillId="10" borderId="7" xfId="0" applyFont="1" applyFill="1" applyBorder="1" applyAlignment="1">
      <alignment horizontal="center"/>
    </xf>
    <xf numFmtId="0" fontId="31" fillId="63" borderId="14" xfId="0" applyFont="1" applyFill="1" applyBorder="1" applyAlignment="1">
      <alignment horizontal="center" vertical="center" wrapText="1"/>
    </xf>
    <xf numFmtId="0" fontId="31" fillId="82" borderId="47" xfId="0" applyFont="1" applyFill="1" applyBorder="1" applyAlignment="1">
      <alignment horizontal="center" vertical="center" wrapText="1"/>
    </xf>
    <xf numFmtId="0" fontId="0" fillId="49" borderId="49" xfId="0" applyFill="1" applyBorder="1" applyAlignment="1">
      <alignment horizontal="center" vertical="center" wrapText="1"/>
    </xf>
    <xf numFmtId="0" fontId="7" fillId="12" borderId="6" xfId="0" applyFont="1" applyFill="1" applyBorder="1"/>
    <xf numFmtId="0" fontId="23" fillId="77" borderId="46" xfId="0" applyFont="1" applyFill="1" applyBorder="1" applyAlignment="1">
      <alignment horizontal="center" vertical="center" wrapText="1"/>
    </xf>
    <xf numFmtId="0" fontId="23" fillId="31" borderId="46" xfId="0" applyFont="1" applyFill="1" applyBorder="1" applyAlignment="1">
      <alignment horizontal="center" vertical="center" wrapText="1"/>
    </xf>
    <xf numFmtId="0" fontId="23" fillId="75" borderId="46" xfId="0" applyFont="1" applyFill="1" applyBorder="1" applyAlignment="1">
      <alignment horizontal="center" vertical="center" wrapText="1"/>
    </xf>
    <xf numFmtId="0" fontId="69" fillId="31" borderId="46" xfId="0" applyFont="1" applyFill="1" applyBorder="1" applyAlignment="1">
      <alignment horizontal="center" vertical="center"/>
    </xf>
    <xf numFmtId="0" fontId="69" fillId="93" borderId="4" xfId="0" applyFont="1" applyFill="1" applyBorder="1" applyAlignment="1">
      <alignment horizontal="center" vertical="center" wrapText="1"/>
    </xf>
    <xf numFmtId="0" fontId="69" fillId="93" borderId="62" xfId="0" applyFont="1" applyFill="1" applyBorder="1" applyAlignment="1">
      <alignment horizontal="center" vertical="center" wrapText="1"/>
    </xf>
    <xf numFmtId="0" fontId="70" fillId="97" borderId="71" xfId="0" applyFont="1" applyFill="1" applyBorder="1"/>
    <xf numFmtId="0" fontId="70" fillId="97" borderId="17" xfId="0" applyFont="1" applyFill="1" applyBorder="1"/>
    <xf numFmtId="0" fontId="70" fillId="97" borderId="6" xfId="0" applyFont="1" applyFill="1" applyBorder="1"/>
    <xf numFmtId="0" fontId="70" fillId="97" borderId="62" xfId="0" applyFont="1" applyFill="1" applyBorder="1"/>
    <xf numFmtId="0" fontId="69" fillId="49" borderId="11" xfId="0" applyFont="1" applyFill="1" applyBorder="1" applyAlignment="1">
      <alignment horizontal="center" vertical="center" wrapText="1"/>
    </xf>
    <xf numFmtId="0" fontId="69" fillId="64" borderId="46" xfId="0" applyFont="1" applyFill="1" applyBorder="1" applyAlignment="1">
      <alignment horizontal="center" vertical="center" wrapText="1"/>
    </xf>
    <xf numFmtId="0" fontId="69" fillId="68" borderId="46" xfId="0" applyFont="1" applyFill="1" applyBorder="1" applyAlignment="1">
      <alignment horizontal="center" vertical="center" wrapText="1"/>
    </xf>
    <xf numFmtId="0" fontId="69" fillId="68" borderId="46" xfId="0" applyFont="1" applyFill="1" applyBorder="1" applyAlignment="1">
      <alignment horizontal="center" vertical="center"/>
    </xf>
    <xf numFmtId="0" fontId="23" fillId="0" borderId="11" xfId="0" applyFont="1" applyBorder="1" applyAlignment="1">
      <alignment vertical="center" wrapText="1"/>
    </xf>
    <xf numFmtId="0" fontId="23" fillId="36" borderId="11" xfId="0" applyFont="1" applyFill="1" applyBorder="1" applyAlignment="1">
      <alignment vertical="center" wrapText="1"/>
    </xf>
    <xf numFmtId="0" fontId="69" fillId="0" borderId="62" xfId="0" applyFont="1" applyBorder="1" applyAlignment="1">
      <alignment wrapText="1"/>
    </xf>
    <xf numFmtId="0" fontId="69" fillId="98" borderId="62" xfId="0" applyFont="1" applyFill="1" applyBorder="1" applyAlignment="1">
      <alignment horizontal="center" vertical="center" wrapText="1"/>
    </xf>
    <xf numFmtId="0" fontId="69" fillId="48" borderId="47" xfId="0" applyFont="1" applyFill="1" applyBorder="1"/>
    <xf numFmtId="0" fontId="69" fillId="78" borderId="46" xfId="0" applyFont="1" applyFill="1" applyBorder="1"/>
    <xf numFmtId="0" fontId="69" fillId="97" borderId="4" xfId="0" applyFont="1" applyFill="1" applyBorder="1"/>
    <xf numFmtId="0" fontId="69" fillId="49" borderId="46" xfId="0" applyFont="1" applyFill="1" applyBorder="1" applyAlignment="1">
      <alignment horizontal="center" vertical="center" wrapText="1"/>
    </xf>
    <xf numFmtId="0" fontId="69" fillId="63" borderId="46" xfId="0" applyFont="1" applyFill="1" applyBorder="1" applyAlignment="1">
      <alignment horizontal="center" vertical="center" wrapText="1"/>
    </xf>
    <xf numFmtId="0" fontId="69" fillId="83" borderId="46" xfId="0" applyFont="1" applyFill="1" applyBorder="1" applyAlignment="1">
      <alignment horizontal="center" vertical="center" wrapText="1"/>
    </xf>
    <xf numFmtId="0" fontId="23" fillId="0" borderId="46" xfId="0" applyFont="1" applyBorder="1" applyAlignment="1">
      <alignment horizontal="center" vertical="center" wrapText="1"/>
    </xf>
    <xf numFmtId="0" fontId="71" fillId="97" borderId="71" xfId="0" applyFont="1" applyFill="1" applyBorder="1"/>
    <xf numFmtId="0" fontId="71" fillId="97" borderId="4" xfId="0" applyFont="1" applyFill="1" applyBorder="1"/>
    <xf numFmtId="0" fontId="71" fillId="97" borderId="6" xfId="0" applyFont="1" applyFill="1" applyBorder="1"/>
    <xf numFmtId="0" fontId="71" fillId="97" borderId="62" xfId="0" applyFont="1" applyFill="1" applyBorder="1"/>
    <xf numFmtId="0" fontId="69" fillId="101" borderId="62" xfId="0" applyFont="1" applyFill="1" applyBorder="1" applyAlignment="1">
      <alignment horizontal="center" vertical="center" wrapText="1"/>
    </xf>
    <xf numFmtId="0" fontId="69" fillId="35" borderId="47" xfId="0" applyFont="1" applyFill="1" applyBorder="1" applyAlignment="1">
      <alignment horizontal="left"/>
    </xf>
    <xf numFmtId="0" fontId="69" fillId="79" borderId="46" xfId="0" applyFont="1" applyFill="1" applyBorder="1" applyAlignment="1">
      <alignment horizontal="center" vertical="center" wrapText="1"/>
    </xf>
    <xf numFmtId="0" fontId="69" fillId="72" borderId="46" xfId="0" applyFont="1" applyFill="1" applyBorder="1" applyAlignment="1">
      <alignment horizontal="center" vertical="center" wrapText="1"/>
    </xf>
    <xf numFmtId="0" fontId="69" fillId="63" borderId="46" xfId="0" applyFont="1" applyFill="1" applyBorder="1" applyAlignment="1">
      <alignment horizontal="center"/>
    </xf>
    <xf numFmtId="0" fontId="45" fillId="0" borderId="46" xfId="0" applyFont="1" applyBorder="1" applyAlignment="1">
      <alignment horizontal="center" vertical="center" wrapText="1"/>
    </xf>
    <xf numFmtId="0" fontId="69" fillId="0" borderId="62" xfId="0" applyFont="1" applyBorder="1"/>
    <xf numFmtId="0" fontId="23" fillId="0" borderId="1" xfId="0" applyFont="1" applyBorder="1" applyAlignment="1">
      <alignment wrapText="1"/>
    </xf>
    <xf numFmtId="0" fontId="72" fillId="0" borderId="1" xfId="0" applyFont="1" applyBorder="1"/>
    <xf numFmtId="0" fontId="69" fillId="50" borderId="46" xfId="0" applyFont="1" applyFill="1" applyBorder="1" applyAlignment="1">
      <alignment horizontal="center" vertical="center" wrapText="1"/>
    </xf>
    <xf numFmtId="0" fontId="23" fillId="36" borderId="46" xfId="0" applyFont="1" applyFill="1" applyBorder="1" applyAlignment="1">
      <alignment horizontal="center" vertical="center" wrapText="1"/>
    </xf>
    <xf numFmtId="0" fontId="69" fillId="0" borderId="46" xfId="0" applyFont="1" applyBorder="1" applyAlignment="1">
      <alignment horizontal="center" vertical="center" wrapText="1"/>
    </xf>
    <xf numFmtId="0" fontId="23" fillId="0" borderId="46" xfId="0" applyFont="1" applyBorder="1"/>
    <xf numFmtId="0" fontId="69" fillId="35" borderId="46" xfId="0" applyFont="1" applyFill="1" applyBorder="1"/>
    <xf numFmtId="0" fontId="69" fillId="49" borderId="58" xfId="0" applyFont="1" applyFill="1" applyBorder="1" applyAlignment="1">
      <alignment horizontal="center" vertical="center" wrapText="1"/>
    </xf>
    <xf numFmtId="0" fontId="69" fillId="50" borderId="4" xfId="0" applyFont="1" applyFill="1" applyBorder="1" applyAlignment="1">
      <alignment horizontal="center" vertical="center" wrapText="1"/>
    </xf>
    <xf numFmtId="0" fontId="69" fillId="80" borderId="46" xfId="0" applyFont="1" applyFill="1" applyBorder="1" applyAlignment="1">
      <alignment horizontal="center" vertical="center" wrapText="1"/>
    </xf>
    <xf numFmtId="0" fontId="23" fillId="69" borderId="46" xfId="0" applyFont="1" applyFill="1" applyBorder="1" applyAlignment="1">
      <alignment horizontal="center" vertical="center" wrapText="1"/>
    </xf>
    <xf numFmtId="0" fontId="23" fillId="0" borderId="1" xfId="0" applyFont="1" applyBorder="1"/>
    <xf numFmtId="0" fontId="45" fillId="36" borderId="46" xfId="0" applyFont="1" applyFill="1" applyBorder="1"/>
    <xf numFmtId="0" fontId="45" fillId="36" borderId="16" xfId="0" applyFont="1" applyFill="1" applyBorder="1"/>
    <xf numFmtId="0" fontId="69" fillId="97" borderId="71" xfId="0" applyFont="1" applyFill="1" applyBorder="1"/>
    <xf numFmtId="0" fontId="69" fillId="101" borderId="4" xfId="0" applyFont="1" applyFill="1" applyBorder="1" applyAlignment="1">
      <alignment horizontal="center" vertical="center"/>
    </xf>
    <xf numFmtId="0" fontId="69" fillId="101" borderId="62" xfId="0" applyFont="1" applyFill="1" applyBorder="1" applyAlignment="1">
      <alignment horizontal="center" vertical="center"/>
    </xf>
    <xf numFmtId="0" fontId="23" fillId="0" borderId="11" xfId="0" applyFont="1" applyBorder="1" applyAlignment="1">
      <alignment horizontal="center" vertical="center" wrapText="1"/>
    </xf>
    <xf numFmtId="0" fontId="69" fillId="0" borderId="4" xfId="0" applyFont="1" applyBorder="1" applyAlignment="1">
      <alignment horizontal="center" vertical="center" wrapText="1"/>
    </xf>
    <xf numFmtId="0" fontId="23" fillId="0" borderId="47" xfId="0" applyFont="1" applyBorder="1" applyAlignment="1">
      <alignment horizontal="center" vertical="center"/>
    </xf>
    <xf numFmtId="0" fontId="23" fillId="0" borderId="46" xfId="0" applyFont="1" applyBorder="1" applyAlignment="1">
      <alignment horizontal="center" vertical="center"/>
    </xf>
    <xf numFmtId="0" fontId="69" fillId="50" borderId="46" xfId="0" applyFont="1" applyFill="1" applyBorder="1" applyAlignment="1">
      <alignment horizontal="center"/>
    </xf>
    <xf numFmtId="0" fontId="69" fillId="31" borderId="46" xfId="0" applyFont="1" applyFill="1" applyBorder="1" applyAlignment="1">
      <alignment horizontal="center"/>
    </xf>
    <xf numFmtId="0" fontId="74" fillId="97" borderId="71" xfId="0" applyFont="1" applyFill="1" applyBorder="1"/>
    <xf numFmtId="0" fontId="74" fillId="97" borderId="4" xfId="0" applyFont="1" applyFill="1" applyBorder="1"/>
    <xf numFmtId="0" fontId="74" fillId="97" borderId="6" xfId="0" applyFont="1" applyFill="1" applyBorder="1"/>
    <xf numFmtId="0" fontId="74" fillId="97" borderId="62" xfId="0" applyFont="1" applyFill="1" applyBorder="1"/>
    <xf numFmtId="0" fontId="70" fillId="101" borderId="4" xfId="0" applyFont="1" applyFill="1" applyBorder="1" applyAlignment="1">
      <alignment horizontal="center" vertical="center"/>
    </xf>
    <xf numFmtId="0" fontId="70" fillId="101" borderId="62" xfId="0" applyFont="1" applyFill="1" applyBorder="1" applyAlignment="1">
      <alignment horizontal="center" vertical="center"/>
    </xf>
    <xf numFmtId="0" fontId="69" fillId="31" borderId="16" xfId="0" applyFont="1" applyFill="1" applyBorder="1" applyAlignment="1">
      <alignment horizontal="center" vertical="center" wrapText="1"/>
    </xf>
    <xf numFmtId="0" fontId="23" fillId="38" borderId="46" xfId="0" applyFont="1" applyFill="1" applyBorder="1" applyAlignment="1">
      <alignment horizontal="center" vertical="center" wrapText="1"/>
    </xf>
    <xf numFmtId="0" fontId="23" fillId="37" borderId="46" xfId="0" applyFont="1" applyFill="1" applyBorder="1" applyAlignment="1">
      <alignment horizontal="center" vertical="center" wrapText="1"/>
    </xf>
    <xf numFmtId="0" fontId="70" fillId="101" borderId="4" xfId="0" applyFont="1" applyFill="1" applyBorder="1" applyAlignment="1">
      <alignment horizontal="center" wrapText="1"/>
    </xf>
    <xf numFmtId="0" fontId="70" fillId="101" borderId="62" xfId="0" applyFont="1" applyFill="1" applyBorder="1" applyAlignment="1">
      <alignment horizontal="center" wrapText="1"/>
    </xf>
    <xf numFmtId="0" fontId="71" fillId="10" borderId="1" xfId="0" applyFont="1" applyFill="1" applyBorder="1"/>
    <xf numFmtId="0" fontId="72" fillId="10" borderId="1" xfId="0" applyFont="1" applyFill="1" applyBorder="1"/>
    <xf numFmtId="0" fontId="69" fillId="68" borderId="62" xfId="0" applyFont="1" applyFill="1" applyBorder="1" applyAlignment="1">
      <alignment horizontal="center" vertical="center" wrapText="1"/>
    </xf>
    <xf numFmtId="0" fontId="23" fillId="0" borderId="47" xfId="0" applyFont="1" applyBorder="1" applyAlignment="1">
      <alignment horizontal="center" vertical="center" wrapText="1"/>
    </xf>
    <xf numFmtId="0" fontId="70" fillId="0" borderId="62" xfId="0" applyFont="1" applyBorder="1"/>
    <xf numFmtId="0" fontId="23" fillId="0" borderId="16" xfId="0" applyFont="1" applyBorder="1"/>
    <xf numFmtId="0" fontId="23" fillId="0" borderId="47" xfId="0" applyFont="1" applyBorder="1"/>
    <xf numFmtId="0" fontId="23" fillId="43" borderId="55" xfId="0" applyFont="1" applyFill="1" applyBorder="1"/>
    <xf numFmtId="0" fontId="23" fillId="43" borderId="11" xfId="0" applyFont="1" applyFill="1" applyBorder="1"/>
    <xf numFmtId="0" fontId="23" fillId="43" borderId="47" xfId="0" applyFont="1" applyFill="1" applyBorder="1"/>
    <xf numFmtId="0" fontId="69" fillId="63" borderId="46" xfId="0" applyFont="1" applyFill="1" applyBorder="1" applyAlignment="1">
      <alignment horizontal="center" vertical="center"/>
    </xf>
    <xf numFmtId="0" fontId="70" fillId="101" borderId="62" xfId="0" applyFont="1" applyFill="1" applyBorder="1" applyAlignment="1">
      <alignment horizontal="center"/>
    </xf>
    <xf numFmtId="0" fontId="23" fillId="49" borderId="1" xfId="0" applyFont="1" applyFill="1" applyBorder="1" applyAlignment="1">
      <alignment horizontal="center" vertical="center" wrapText="1"/>
    </xf>
    <xf numFmtId="0" fontId="23" fillId="0" borderId="55" xfId="0" applyFont="1" applyBorder="1" applyAlignment="1">
      <alignment horizontal="center" vertical="center" wrapText="1"/>
    </xf>
    <xf numFmtId="0" fontId="23" fillId="44" borderId="16" xfId="0" applyFont="1" applyFill="1" applyBorder="1"/>
    <xf numFmtId="0" fontId="74" fillId="105" borderId="71" xfId="0" applyFont="1" applyFill="1" applyBorder="1"/>
    <xf numFmtId="0" fontId="74" fillId="105" borderId="4" xfId="0" applyFont="1" applyFill="1" applyBorder="1"/>
    <xf numFmtId="0" fontId="74" fillId="105" borderId="6" xfId="0" applyFont="1" applyFill="1" applyBorder="1"/>
    <xf numFmtId="0" fontId="74" fillId="105" borderId="62" xfId="0" applyFont="1" applyFill="1" applyBorder="1"/>
    <xf numFmtId="0" fontId="69" fillId="78" borderId="46" xfId="0" applyFont="1" applyFill="1" applyBorder="1" applyAlignment="1">
      <alignment horizontal="center" vertical="center" wrapText="1"/>
    </xf>
    <xf numFmtId="0" fontId="69" fillId="81" borderId="46" xfId="0" applyFont="1" applyFill="1" applyBorder="1" applyAlignment="1">
      <alignment horizontal="center" vertical="center" wrapText="1"/>
    </xf>
    <xf numFmtId="0" fontId="69" fillId="48" borderId="46" xfId="0" applyFont="1" applyFill="1" applyBorder="1" applyAlignment="1">
      <alignment horizontal="center" vertical="center" wrapText="1"/>
    </xf>
    <xf numFmtId="0" fontId="69" fillId="82" borderId="46" xfId="0" applyFont="1" applyFill="1" applyBorder="1" applyAlignment="1">
      <alignment horizontal="center" vertical="center" wrapText="1"/>
    </xf>
    <xf numFmtId="0" fontId="73" fillId="102" borderId="62" xfId="0" applyFont="1" applyFill="1" applyBorder="1"/>
    <xf numFmtId="0" fontId="70" fillId="101" borderId="4" xfId="0" applyFont="1" applyFill="1" applyBorder="1"/>
    <xf numFmtId="0" fontId="70" fillId="101" borderId="62" xfId="0" applyFont="1" applyFill="1" applyBorder="1"/>
    <xf numFmtId="0" fontId="70" fillId="97" borderId="4" xfId="0" applyFont="1" applyFill="1" applyBorder="1"/>
    <xf numFmtId="0" fontId="70" fillId="97" borderId="10" xfId="0" applyFont="1" applyFill="1" applyBorder="1"/>
    <xf numFmtId="0" fontId="69" fillId="94" borderId="4" xfId="0" applyFont="1" applyFill="1" applyBorder="1" applyAlignment="1">
      <alignment horizontal="center" vertical="center" wrapText="1"/>
    </xf>
    <xf numFmtId="0" fontId="69" fillId="94" borderId="62" xfId="0" applyFont="1" applyFill="1" applyBorder="1" applyAlignment="1">
      <alignment horizontal="center" vertical="center" wrapText="1"/>
    </xf>
    <xf numFmtId="0" fontId="5" fillId="49" borderId="48" xfId="0" applyFont="1" applyFill="1" applyBorder="1" applyAlignment="1">
      <alignment horizontal="center" vertical="center" wrapText="1"/>
    </xf>
    <xf numFmtId="0" fontId="5" fillId="49" borderId="16" xfId="0" applyFont="1" applyFill="1" applyBorder="1" applyAlignment="1">
      <alignment horizontal="center" vertical="center" wrapText="1"/>
    </xf>
    <xf numFmtId="0" fontId="0" fillId="0" borderId="16" xfId="0" applyBorder="1" applyAlignment="1">
      <alignment horizontal="center" vertical="center" wrapText="1"/>
    </xf>
    <xf numFmtId="0" fontId="0" fillId="36" borderId="46" xfId="0" applyFill="1" applyBorder="1"/>
    <xf numFmtId="0" fontId="5" fillId="83" borderId="46" xfId="0" applyFont="1" applyFill="1" applyBorder="1" applyAlignment="1">
      <alignment horizontal="center" vertical="center" wrapText="1"/>
    </xf>
    <xf numFmtId="0" fontId="1" fillId="83" borderId="46" xfId="0" applyFont="1" applyFill="1" applyBorder="1" applyAlignment="1">
      <alignment horizontal="center" vertical="center" wrapText="1"/>
    </xf>
    <xf numFmtId="0" fontId="0" fillId="80" borderId="36" xfId="0" applyFill="1" applyBorder="1"/>
    <xf numFmtId="0" fontId="0" fillId="31" borderId="16" xfId="0" applyFill="1" applyBorder="1" applyAlignment="1">
      <alignment horizontal="center" vertical="center"/>
    </xf>
    <xf numFmtId="0" fontId="0" fillId="64" borderId="46" xfId="0" applyFill="1" applyBorder="1" applyAlignment="1">
      <alignment horizontal="center" vertical="center" wrapText="1"/>
    </xf>
    <xf numFmtId="0" fontId="0" fillId="36" borderId="11" xfId="0" applyFill="1" applyBorder="1" applyAlignment="1">
      <alignment horizontal="center" vertical="center" wrapText="1"/>
    </xf>
    <xf numFmtId="0" fontId="5" fillId="36" borderId="11" xfId="0" applyFont="1" applyFill="1" applyBorder="1" applyAlignment="1">
      <alignment horizontal="center" vertical="center" wrapText="1"/>
    </xf>
    <xf numFmtId="0" fontId="12" fillId="36" borderId="11" xfId="0" applyFont="1" applyFill="1" applyBorder="1" applyAlignment="1">
      <alignment horizontal="center" vertical="center" wrapText="1"/>
    </xf>
    <xf numFmtId="0" fontId="12" fillId="0" borderId="7" xfId="0" applyFont="1" applyBorder="1" applyAlignment="1">
      <alignment wrapText="1"/>
    </xf>
    <xf numFmtId="0" fontId="44" fillId="36" borderId="16" xfId="0" applyFont="1" applyFill="1" applyBorder="1"/>
    <xf numFmtId="0" fontId="45" fillId="36" borderId="46" xfId="0" applyFont="1" applyFill="1" applyBorder="1" applyAlignment="1">
      <alignment horizontal="center" vertical="center" wrapText="1"/>
    </xf>
    <xf numFmtId="0" fontId="45" fillId="31" borderId="46" xfId="0" applyFont="1" applyFill="1" applyBorder="1" applyAlignment="1">
      <alignment horizontal="center" wrapText="1"/>
    </xf>
    <xf numFmtId="0" fontId="45" fillId="36" borderId="46" xfId="0" applyFont="1" applyFill="1" applyBorder="1" applyAlignment="1">
      <alignment horizontal="center"/>
    </xf>
    <xf numFmtId="0" fontId="5" fillId="83" borderId="6" xfId="0" applyFont="1" applyFill="1" applyBorder="1"/>
    <xf numFmtId="0" fontId="0" fillId="83" borderId="47" xfId="0" applyFill="1" applyBorder="1"/>
    <xf numFmtId="0" fontId="0" fillId="83" borderId="16" xfId="0" applyFill="1" applyBorder="1"/>
    <xf numFmtId="0" fontId="0" fillId="36" borderId="46" xfId="0" applyFill="1" applyBorder="1" applyAlignment="1">
      <alignment horizontal="center" vertical="center" wrapText="1"/>
    </xf>
    <xf numFmtId="0" fontId="69" fillId="36" borderId="46" xfId="0" applyFont="1" applyFill="1" applyBorder="1" applyAlignment="1">
      <alignment horizontal="center" vertical="center" wrapText="1"/>
    </xf>
    <xf numFmtId="0" fontId="44" fillId="36" borderId="36" xfId="0" applyFont="1" applyFill="1" applyBorder="1"/>
    <xf numFmtId="0" fontId="44" fillId="36" borderId="16" xfId="0" applyFont="1" applyFill="1" applyBorder="1" applyAlignment="1">
      <alignment horizontal="right"/>
    </xf>
    <xf numFmtId="0" fontId="44" fillId="39" borderId="16" xfId="0" applyFont="1" applyFill="1" applyBorder="1"/>
    <xf numFmtId="0" fontId="69" fillId="97" borderId="46" xfId="0" applyFont="1" applyFill="1" applyBorder="1"/>
    <xf numFmtId="0" fontId="44" fillId="10" borderId="46" xfId="0" applyFont="1" applyFill="1" applyBorder="1"/>
    <xf numFmtId="4" fontId="44" fillId="10" borderId="46" xfId="0" applyNumberFormat="1" applyFont="1" applyFill="1" applyBorder="1"/>
    <xf numFmtId="0" fontId="5" fillId="83" borderId="46" xfId="0" applyFont="1" applyFill="1" applyBorder="1"/>
    <xf numFmtId="0" fontId="69" fillId="83" borderId="46" xfId="0" applyFont="1" applyFill="1" applyBorder="1" applyAlignment="1">
      <alignment horizontal="center" vertical="center"/>
    </xf>
    <xf numFmtId="0" fontId="12" fillId="0" borderId="46" xfId="0" applyFont="1" applyBorder="1" applyAlignment="1">
      <alignment horizontal="center" wrapText="1"/>
    </xf>
    <xf numFmtId="0" fontId="23" fillId="36" borderId="47" xfId="0" applyFont="1" applyFill="1" applyBorder="1" applyAlignment="1">
      <alignment horizontal="center" vertical="center"/>
    </xf>
    <xf numFmtId="0" fontId="0" fillId="83" borderId="49" xfId="0" applyFill="1" applyBorder="1"/>
    <xf numFmtId="0" fontId="69" fillId="103" borderId="4" xfId="0" applyFont="1" applyFill="1" applyBorder="1" applyAlignment="1">
      <alignment horizontal="center" vertical="center"/>
    </xf>
    <xf numFmtId="0" fontId="69" fillId="36" borderId="46" xfId="0" applyFont="1" applyFill="1" applyBorder="1" applyAlignment="1">
      <alignment horizontal="center"/>
    </xf>
    <xf numFmtId="0" fontId="12" fillId="37" borderId="1" xfId="0" applyFont="1" applyFill="1" applyBorder="1"/>
    <xf numFmtId="0" fontId="4" fillId="37" borderId="1" xfId="0" applyFont="1" applyFill="1" applyBorder="1"/>
    <xf numFmtId="0" fontId="23" fillId="37" borderId="1" xfId="0" applyFont="1" applyFill="1" applyBorder="1"/>
    <xf numFmtId="0" fontId="12" fillId="37" borderId="62" xfId="0" applyFont="1" applyFill="1" applyBorder="1"/>
    <xf numFmtId="0" fontId="54" fillId="37" borderId="62" xfId="0" applyFont="1" applyFill="1" applyBorder="1"/>
    <xf numFmtId="0" fontId="55" fillId="37" borderId="1" xfId="0" applyFont="1" applyFill="1" applyBorder="1"/>
    <xf numFmtId="0" fontId="69" fillId="73" borderId="46" xfId="0" applyFont="1" applyFill="1" applyBorder="1" applyAlignment="1">
      <alignment horizontal="center" vertical="center" wrapText="1"/>
    </xf>
    <xf numFmtId="0" fontId="23" fillId="108" borderId="46" xfId="0" applyFont="1" applyFill="1" applyBorder="1" applyAlignment="1">
      <alignment horizontal="center" vertical="center" wrapText="1"/>
    </xf>
    <xf numFmtId="0" fontId="23" fillId="12" borderId="46" xfId="0" applyFont="1" applyFill="1" applyBorder="1" applyAlignment="1">
      <alignment horizontal="center" vertical="center"/>
    </xf>
    <xf numFmtId="0" fontId="23" fillId="35" borderId="16" xfId="0" applyFont="1" applyFill="1" applyBorder="1" applyAlignment="1">
      <alignment horizontal="center" vertical="center"/>
    </xf>
    <xf numFmtId="0" fontId="69" fillId="49" borderId="16" xfId="0" applyFont="1" applyFill="1" applyBorder="1" applyAlignment="1">
      <alignment horizontal="center" vertical="center" wrapText="1"/>
    </xf>
    <xf numFmtId="0" fontId="0" fillId="49" borderId="16" xfId="0" applyFill="1" applyBorder="1" applyAlignment="1">
      <alignment horizontal="center" vertical="center" wrapText="1"/>
    </xf>
    <xf numFmtId="0" fontId="5" fillId="49" borderId="98" xfId="0" applyFont="1" applyFill="1" applyBorder="1" applyAlignment="1">
      <alignment horizontal="center" vertical="center" wrapText="1"/>
    </xf>
    <xf numFmtId="0" fontId="1" fillId="3" borderId="4" xfId="0" applyFont="1" applyFill="1" applyBorder="1" applyAlignment="1">
      <alignment wrapText="1"/>
    </xf>
    <xf numFmtId="0" fontId="4" fillId="56" borderId="4" xfId="0" applyFont="1" applyFill="1" applyBorder="1"/>
    <xf numFmtId="0" fontId="1" fillId="0" borderId="4" xfId="0" applyFont="1" applyBorder="1" applyAlignment="1">
      <alignment wrapText="1"/>
    </xf>
    <xf numFmtId="0" fontId="23" fillId="56" borderId="4" xfId="0" applyFont="1" applyFill="1" applyBorder="1"/>
    <xf numFmtId="0" fontId="32" fillId="58" borderId="4" xfId="0" applyFont="1" applyFill="1" applyBorder="1"/>
    <xf numFmtId="0" fontId="1" fillId="57" borderId="4" xfId="0" applyFont="1" applyFill="1" applyBorder="1"/>
    <xf numFmtId="0" fontId="1" fillId="29" borderId="4" xfId="0" applyFont="1" applyFill="1" applyBorder="1"/>
    <xf numFmtId="0" fontId="43" fillId="2" borderId="55" xfId="0" applyFont="1" applyFill="1" applyBorder="1" applyAlignment="1">
      <alignment horizontal="center"/>
    </xf>
    <xf numFmtId="0" fontId="56" fillId="0" borderId="55" xfId="0" applyFont="1" applyBorder="1" applyAlignment="1">
      <alignment horizontal="center"/>
    </xf>
    <xf numFmtId="0" fontId="24" fillId="0" borderId="55" xfId="1" applyBorder="1" applyAlignment="1">
      <alignment horizontal="center" vertical="center" wrapText="1"/>
    </xf>
    <xf numFmtId="0" fontId="0" fillId="83" borderId="46" xfId="0" applyFill="1" applyBorder="1" applyAlignment="1">
      <alignment horizontal="center" vertical="center"/>
    </xf>
    <xf numFmtId="0" fontId="0" fillId="109" borderId="46" xfId="0" applyFill="1" applyBorder="1"/>
    <xf numFmtId="0" fontId="0" fillId="109" borderId="46" xfId="0" applyFill="1" applyBorder="1" applyAlignment="1">
      <alignment horizontal="center" vertical="center"/>
    </xf>
    <xf numFmtId="0" fontId="69" fillId="109" borderId="46" xfId="0" applyFont="1" applyFill="1" applyBorder="1" applyAlignment="1">
      <alignment horizontal="center" vertical="center"/>
    </xf>
    <xf numFmtId="0" fontId="5" fillId="83" borderId="62" xfId="0" applyFont="1" applyFill="1" applyBorder="1"/>
    <xf numFmtId="0" fontId="23" fillId="49" borderId="4" xfId="0" applyFont="1" applyFill="1" applyBorder="1" applyAlignment="1">
      <alignment horizontal="center" vertical="center" wrapText="1"/>
    </xf>
    <xf numFmtId="0" fontId="0" fillId="49" borderId="76" xfId="0" applyFill="1" applyBorder="1" applyAlignment="1">
      <alignment horizontal="center" vertical="center" wrapText="1"/>
    </xf>
    <xf numFmtId="0" fontId="23" fillId="83" borderId="46" xfId="0" applyFont="1" applyFill="1" applyBorder="1" applyAlignment="1">
      <alignment horizontal="center" vertical="center" wrapText="1"/>
    </xf>
    <xf numFmtId="0" fontId="71" fillId="97" borderId="46" xfId="0" applyFont="1" applyFill="1" applyBorder="1" applyAlignment="1">
      <alignment horizontal="left" vertical="top"/>
    </xf>
    <xf numFmtId="0" fontId="7" fillId="36" borderId="46" xfId="0" applyFont="1" applyFill="1" applyBorder="1" applyAlignment="1">
      <alignment horizontal="center" vertical="center" wrapText="1"/>
    </xf>
    <xf numFmtId="0" fontId="8" fillId="36" borderId="46" xfId="0" applyFont="1" applyFill="1" applyBorder="1" applyAlignment="1">
      <alignment horizontal="center" vertical="center" wrapText="1"/>
    </xf>
    <xf numFmtId="0" fontId="1" fillId="36" borderId="46" xfId="0" applyFont="1" applyFill="1" applyBorder="1" applyAlignment="1">
      <alignment horizontal="center" vertical="center" wrapText="1"/>
    </xf>
    <xf numFmtId="0" fontId="23" fillId="36" borderId="55" xfId="0" applyFont="1" applyFill="1" applyBorder="1" applyAlignment="1">
      <alignment horizontal="center" vertical="center" wrapText="1"/>
    </xf>
    <xf numFmtId="0" fontId="30" fillId="48" borderId="16" xfId="0" applyFont="1" applyFill="1" applyBorder="1" applyAlignment="1">
      <alignment horizontal="center" vertical="center"/>
    </xf>
    <xf numFmtId="0" fontId="5" fillId="63" borderId="47" xfId="0" applyFont="1" applyFill="1" applyBorder="1" applyAlignment="1">
      <alignment horizontal="center" vertical="center" wrapText="1"/>
    </xf>
    <xf numFmtId="0" fontId="1" fillId="63" borderId="47" xfId="0" applyFont="1" applyFill="1" applyBorder="1" applyAlignment="1">
      <alignment horizontal="center" vertical="center" wrapText="1"/>
    </xf>
    <xf numFmtId="0" fontId="69" fillId="63" borderId="47" xfId="0" applyFont="1" applyFill="1" applyBorder="1" applyAlignment="1">
      <alignment horizontal="center" vertical="center" wrapText="1"/>
    </xf>
    <xf numFmtId="0" fontId="0" fillId="63" borderId="47" xfId="0" applyFill="1" applyBorder="1" applyAlignment="1">
      <alignment horizontal="center" vertical="center" wrapText="1"/>
    </xf>
    <xf numFmtId="0" fontId="5" fillId="100" borderId="46" xfId="0" applyFont="1" applyFill="1" applyBorder="1" applyAlignment="1">
      <alignment horizontal="center" vertical="center" wrapText="1"/>
    </xf>
    <xf numFmtId="0" fontId="69" fillId="94" borderId="46" xfId="0" applyFont="1" applyFill="1" applyBorder="1" applyAlignment="1">
      <alignment horizontal="center" vertical="center" wrapText="1"/>
    </xf>
    <xf numFmtId="0" fontId="5" fillId="50" borderId="46" xfId="0" applyFont="1" applyFill="1" applyBorder="1" applyAlignment="1">
      <alignment horizontal="left" vertical="center"/>
    </xf>
    <xf numFmtId="0" fontId="1" fillId="50" borderId="46" xfId="0" applyFont="1" applyFill="1" applyBorder="1" applyAlignment="1">
      <alignment horizontal="left" vertical="center" wrapText="1"/>
    </xf>
    <xf numFmtId="0" fontId="5" fillId="50" borderId="46" xfId="0" applyFont="1" applyFill="1" applyBorder="1" applyAlignment="1">
      <alignment horizontal="left" vertical="center" wrapText="1"/>
    </xf>
    <xf numFmtId="0" fontId="5" fillId="50" borderId="62" xfId="0" applyFont="1" applyFill="1" applyBorder="1"/>
    <xf numFmtId="0" fontId="71" fillId="97" borderId="4" xfId="0" applyFont="1" applyFill="1" applyBorder="1" applyAlignment="1">
      <alignment wrapText="1"/>
    </xf>
    <xf numFmtId="0" fontId="71" fillId="97" borderId="62" xfId="0" applyFont="1" applyFill="1" applyBorder="1" applyAlignment="1">
      <alignment wrapText="1"/>
    </xf>
    <xf numFmtId="0" fontId="5" fillId="68" borderId="62" xfId="0" applyFont="1" applyFill="1" applyBorder="1"/>
    <xf numFmtId="0" fontId="0" fillId="68" borderId="0" xfId="0" applyFill="1" applyBorder="1"/>
    <xf numFmtId="0" fontId="5" fillId="68" borderId="46" xfId="0" applyFont="1" applyFill="1" applyBorder="1" applyAlignment="1">
      <alignment horizontal="left" vertical="center" wrapText="1"/>
    </xf>
    <xf numFmtId="0" fontId="5" fillId="68" borderId="46" xfId="0" applyFont="1" applyFill="1" applyBorder="1" applyAlignment="1">
      <alignment horizontal="left" vertical="center"/>
    </xf>
    <xf numFmtId="0" fontId="1" fillId="68" borderId="46" xfId="0" applyFont="1" applyFill="1" applyBorder="1" applyAlignment="1">
      <alignment horizontal="left" vertical="center" wrapText="1"/>
    </xf>
    <xf numFmtId="0" fontId="0" fillId="36" borderId="46" xfId="0" applyFill="1" applyBorder="1" applyAlignment="1">
      <alignment wrapText="1"/>
    </xf>
    <xf numFmtId="0" fontId="1" fillId="0" borderId="16" xfId="0" applyFont="1" applyBorder="1" applyAlignment="1">
      <alignment horizontal="center"/>
    </xf>
    <xf numFmtId="0" fontId="11" fillId="0" borderId="16" xfId="1" applyFont="1" applyBorder="1" applyAlignment="1">
      <alignment horizontal="center"/>
    </xf>
    <xf numFmtId="165" fontId="11" fillId="0" borderId="16" xfId="0" applyNumberFormat="1" applyFont="1" applyBorder="1" applyAlignment="1">
      <alignment horizontal="center"/>
    </xf>
    <xf numFmtId="0" fontId="0" fillId="0" borderId="16" xfId="0" applyBorder="1" applyAlignment="1">
      <alignment horizontal="center"/>
    </xf>
    <xf numFmtId="0" fontId="1" fillId="0" borderId="45" xfId="0" applyFont="1" applyAlignment="1">
      <alignment horizontal="center"/>
    </xf>
    <xf numFmtId="165" fontId="11" fillId="0" borderId="45" xfId="1" applyNumberFormat="1" applyFont="1" applyAlignment="1">
      <alignment horizontal="center"/>
    </xf>
    <xf numFmtId="165" fontId="11" fillId="0" borderId="45" xfId="0" applyNumberFormat="1" applyFont="1" applyAlignment="1">
      <alignment horizontal="center"/>
    </xf>
    <xf numFmtId="0" fontId="11" fillId="0" borderId="45" xfId="1" applyFont="1" applyAlignment="1">
      <alignment horizontal="center"/>
    </xf>
    <xf numFmtId="0" fontId="11" fillId="0" borderId="45" xfId="0" applyFont="1" applyAlignment="1">
      <alignment horizontal="center"/>
    </xf>
    <xf numFmtId="0" fontId="0" fillId="50" borderId="0" xfId="0" applyFill="1" applyBorder="1"/>
    <xf numFmtId="0" fontId="22" fillId="18" borderId="16" xfId="0" applyFont="1" applyFill="1" applyBorder="1" applyAlignment="1">
      <alignment horizontal="center" vertical="center" wrapText="1"/>
    </xf>
    <xf numFmtId="0" fontId="5" fillId="37" borderId="45" xfId="0" applyFont="1" applyFill="1"/>
    <xf numFmtId="0" fontId="8" fillId="10" borderId="55" xfId="0" applyFont="1" applyFill="1" applyBorder="1"/>
    <xf numFmtId="0" fontId="5" fillId="94" borderId="46" xfId="0" applyFont="1" applyFill="1" applyBorder="1"/>
    <xf numFmtId="0" fontId="0" fillId="49" borderId="49" xfId="0" applyFill="1" applyBorder="1" applyAlignment="1">
      <alignment wrapText="1"/>
    </xf>
    <xf numFmtId="0" fontId="25" fillId="0" borderId="46" xfId="0" applyFont="1" applyBorder="1" applyAlignment="1">
      <alignment horizontal="center" vertical="center" wrapText="1"/>
    </xf>
    <xf numFmtId="0" fontId="23" fillId="59" borderId="46" xfId="0" applyFont="1" applyFill="1" applyBorder="1" applyAlignment="1">
      <alignment horizontal="center" vertical="center" wrapText="1"/>
    </xf>
    <xf numFmtId="0" fontId="23" fillId="76" borderId="46" xfId="0" applyFont="1" applyFill="1" applyBorder="1" applyAlignment="1">
      <alignment horizontal="center" vertical="center" wrapText="1"/>
    </xf>
    <xf numFmtId="0" fontId="5" fillId="31" borderId="46" xfId="0" applyFont="1" applyFill="1" applyBorder="1" applyAlignment="1">
      <alignment horizontal="right" vertical="center" wrapText="1"/>
    </xf>
    <xf numFmtId="0" fontId="69" fillId="93" borderId="46" xfId="0" applyFont="1" applyFill="1" applyBorder="1" applyAlignment="1">
      <alignment horizontal="center" vertical="center" wrapText="1"/>
    </xf>
    <xf numFmtId="0" fontId="39" fillId="76" borderId="46" xfId="0" applyFont="1" applyFill="1" applyBorder="1" applyAlignment="1">
      <alignment horizontal="center" vertical="center" wrapText="1"/>
    </xf>
    <xf numFmtId="0" fontId="39" fillId="75" borderId="46" xfId="0" applyFont="1" applyFill="1" applyBorder="1" applyAlignment="1">
      <alignment horizontal="center" vertical="center" wrapText="1"/>
    </xf>
    <xf numFmtId="0" fontId="39" fillId="31" borderId="46" xfId="0" applyFont="1" applyFill="1" applyBorder="1" applyAlignment="1">
      <alignment vertical="center" wrapText="1"/>
    </xf>
    <xf numFmtId="0" fontId="42" fillId="31" borderId="46" xfId="0" applyFont="1" applyFill="1" applyBorder="1" applyAlignment="1">
      <alignment horizontal="center" vertical="center" wrapText="1"/>
    </xf>
    <xf numFmtId="0" fontId="42" fillId="31" borderId="46" xfId="0" applyFont="1" applyFill="1" applyBorder="1" applyAlignment="1">
      <alignment horizontal="right" vertical="center" wrapText="1"/>
    </xf>
    <xf numFmtId="0" fontId="0" fillId="0" borderId="45" xfId="0"/>
    <xf numFmtId="0" fontId="0" fillId="0" borderId="0" xfId="0" applyBorder="1"/>
    <xf numFmtId="0" fontId="1" fillId="0" borderId="45" xfId="0" applyFont="1" applyAlignment="1">
      <alignment vertical="top" wrapText="1"/>
    </xf>
    <xf numFmtId="0" fontId="1" fillId="0" borderId="0" xfId="0" applyFont="1" applyBorder="1" applyAlignment="1">
      <alignment vertical="top" wrapText="1"/>
    </xf>
    <xf numFmtId="0" fontId="0" fillId="0" borderId="45" xfId="0" applyAlignment="1">
      <alignment vertical="top" wrapText="1"/>
    </xf>
    <xf numFmtId="0" fontId="0" fillId="0" borderId="0" xfId="0" applyBorder="1" applyAlignment="1">
      <alignment vertical="top" wrapText="1"/>
    </xf>
    <xf numFmtId="0" fontId="1" fillId="0" borderId="45" xfId="0" applyFont="1" applyAlignment="1">
      <alignment horizontal="left" vertical="top" wrapText="1"/>
    </xf>
    <xf numFmtId="0" fontId="5" fillId="49" borderId="46" xfId="0" applyFont="1" applyFill="1" applyBorder="1" applyAlignment="1">
      <alignment horizontal="center" vertical="center" wrapText="1"/>
    </xf>
    <xf numFmtId="0" fontId="0" fillId="50" borderId="76" xfId="0" applyFill="1" applyBorder="1" applyAlignment="1">
      <alignment horizontal="center" vertical="center" wrapText="1"/>
    </xf>
    <xf numFmtId="0" fontId="0" fillId="50" borderId="36" xfId="0" applyFill="1" applyBorder="1" applyAlignment="1">
      <alignment horizontal="center" vertical="center" wrapText="1"/>
    </xf>
    <xf numFmtId="0" fontId="0" fillId="50" borderId="31" xfId="0" applyFill="1" applyBorder="1" applyAlignment="1">
      <alignment horizontal="center" vertical="center" wrapText="1"/>
    </xf>
    <xf numFmtId="0" fontId="0" fillId="50" borderId="28" xfId="0" applyFill="1" applyBorder="1" applyAlignment="1">
      <alignment horizontal="center" vertical="center" wrapText="1"/>
    </xf>
    <xf numFmtId="0" fontId="0" fillId="50" borderId="50" xfId="0" applyFill="1" applyBorder="1" applyAlignment="1">
      <alignment horizontal="center" vertical="center" wrapText="1"/>
    </xf>
    <xf numFmtId="0" fontId="0" fillId="50" borderId="52" xfId="0" applyFill="1" applyBorder="1" applyAlignment="1">
      <alignment horizontal="center" vertical="center" wrapText="1"/>
    </xf>
    <xf numFmtId="0" fontId="0" fillId="50" borderId="35" xfId="0" applyFill="1" applyBorder="1" applyAlignment="1">
      <alignment horizontal="center" vertical="center" wrapText="1"/>
    </xf>
    <xf numFmtId="0" fontId="0" fillId="50" borderId="45" xfId="0" applyFill="1" applyAlignment="1">
      <alignment horizontal="center" vertical="center" wrapText="1"/>
    </xf>
    <xf numFmtId="0" fontId="0" fillId="50" borderId="51" xfId="0" applyFill="1" applyBorder="1" applyAlignment="1">
      <alignment horizontal="center" vertical="center" wrapText="1"/>
    </xf>
    <xf numFmtId="0" fontId="0" fillId="68" borderId="76" xfId="0" applyFill="1" applyBorder="1" applyAlignment="1">
      <alignment horizontal="center" vertical="center" wrapText="1"/>
    </xf>
    <xf numFmtId="0" fontId="0" fillId="68" borderId="35" xfId="0" applyFill="1" applyBorder="1" applyAlignment="1">
      <alignment horizontal="center" vertical="center" wrapText="1"/>
    </xf>
    <xf numFmtId="0" fontId="0" fillId="68" borderId="36" xfId="0" applyFill="1" applyBorder="1" applyAlignment="1">
      <alignment horizontal="center" vertical="center" wrapText="1"/>
    </xf>
    <xf numFmtId="0" fontId="0" fillId="68" borderId="31" xfId="0" applyFill="1" applyBorder="1" applyAlignment="1">
      <alignment horizontal="center" vertical="center" wrapText="1"/>
    </xf>
    <xf numFmtId="0" fontId="0" fillId="68" borderId="45" xfId="0" applyFill="1" applyAlignment="1">
      <alignment horizontal="center" vertical="center" wrapText="1"/>
    </xf>
    <xf numFmtId="0" fontId="0" fillId="68" borderId="28" xfId="0" applyFill="1" applyBorder="1" applyAlignment="1">
      <alignment horizontal="center" vertical="center" wrapText="1"/>
    </xf>
    <xf numFmtId="0" fontId="0" fillId="68" borderId="50" xfId="0" applyFill="1" applyBorder="1" applyAlignment="1">
      <alignment horizontal="center" vertical="center" wrapText="1"/>
    </xf>
    <xf numFmtId="0" fontId="0" fillId="68" borderId="51" xfId="0" applyFill="1" applyBorder="1" applyAlignment="1">
      <alignment horizontal="center" vertical="center" wrapText="1"/>
    </xf>
    <xf numFmtId="0" fontId="0" fillId="68" borderId="52" xfId="0" applyFill="1" applyBorder="1" applyAlignment="1">
      <alignment horizontal="center" vertical="center" wrapText="1"/>
    </xf>
    <xf numFmtId="0" fontId="0" fillId="50" borderId="16" xfId="0" applyFill="1" applyBorder="1" applyAlignment="1">
      <alignment horizontal="center" vertical="center" wrapText="1"/>
    </xf>
    <xf numFmtId="0" fontId="0" fillId="50" borderId="14" xfId="0" applyFill="1" applyBorder="1" applyAlignment="1">
      <alignment horizontal="center" vertical="center" wrapText="1"/>
    </xf>
    <xf numFmtId="0" fontId="0" fillId="50" borderId="47" xfId="0" applyFill="1" applyBorder="1" applyAlignment="1">
      <alignment horizontal="center" vertical="center" wrapText="1"/>
    </xf>
    <xf numFmtId="0" fontId="0" fillId="64" borderId="76" xfId="0" applyFill="1" applyBorder="1" applyAlignment="1">
      <alignment horizontal="center" vertical="center" wrapText="1"/>
    </xf>
    <xf numFmtId="0" fontId="0" fillId="64" borderId="36" xfId="0" applyFill="1" applyBorder="1" applyAlignment="1">
      <alignment horizontal="center" vertical="center" wrapText="1"/>
    </xf>
    <xf numFmtId="0" fontId="0" fillId="64" borderId="31" xfId="0" applyFill="1" applyBorder="1" applyAlignment="1">
      <alignment horizontal="center" vertical="center" wrapText="1"/>
    </xf>
    <xf numFmtId="0" fontId="0" fillId="64" borderId="28" xfId="0" applyFill="1" applyBorder="1" applyAlignment="1">
      <alignment horizontal="center" vertical="center" wrapText="1"/>
    </xf>
    <xf numFmtId="0" fontId="0" fillId="64" borderId="50" xfId="0" applyFill="1" applyBorder="1" applyAlignment="1">
      <alignment horizontal="center" vertical="center" wrapText="1"/>
    </xf>
    <xf numFmtId="0" fontId="0" fillId="64" borderId="52" xfId="0" applyFill="1" applyBorder="1" applyAlignment="1">
      <alignment horizontal="center" vertical="center" wrapText="1"/>
    </xf>
    <xf numFmtId="0" fontId="0" fillId="64" borderId="35" xfId="0" applyFill="1" applyBorder="1" applyAlignment="1">
      <alignment horizontal="center" vertical="center" wrapText="1"/>
    </xf>
    <xf numFmtId="0" fontId="0" fillId="64" borderId="45" xfId="0" applyFill="1" applyAlignment="1">
      <alignment horizontal="center" vertical="center" wrapText="1"/>
    </xf>
    <xf numFmtId="0" fontId="0" fillId="64" borderId="51" xfId="0" applyFill="1" applyBorder="1" applyAlignment="1">
      <alignment horizontal="center" vertical="center" wrapText="1"/>
    </xf>
    <xf numFmtId="0" fontId="0" fillId="64" borderId="16" xfId="0" applyFill="1" applyBorder="1" applyAlignment="1">
      <alignment horizontal="center" vertical="center" wrapText="1"/>
    </xf>
    <xf numFmtId="0" fontId="0" fillId="64" borderId="14" xfId="0" applyFill="1" applyBorder="1" applyAlignment="1">
      <alignment horizontal="center" vertical="center" wrapText="1"/>
    </xf>
    <xf numFmtId="0" fontId="0" fillId="64" borderId="47" xfId="0" applyFill="1" applyBorder="1" applyAlignment="1">
      <alignment horizontal="center" vertical="center" wrapText="1"/>
    </xf>
    <xf numFmtId="0" fontId="5" fillId="49" borderId="76" xfId="0" applyFont="1" applyFill="1" applyBorder="1" applyAlignment="1">
      <alignment horizontal="center" vertical="center" wrapText="1"/>
    </xf>
    <xf numFmtId="0" fontId="5" fillId="49" borderId="36" xfId="0" applyFont="1" applyFill="1" applyBorder="1" applyAlignment="1">
      <alignment horizontal="center" vertical="center" wrapText="1"/>
    </xf>
    <xf numFmtId="0" fontId="5" fillId="49" borderId="31" xfId="0" applyFont="1" applyFill="1" applyBorder="1" applyAlignment="1">
      <alignment horizontal="center" vertical="center" wrapText="1"/>
    </xf>
    <xf numFmtId="0" fontId="5" fillId="49" borderId="28" xfId="0" applyFont="1" applyFill="1" applyBorder="1" applyAlignment="1">
      <alignment horizontal="center" vertical="center" wrapText="1"/>
    </xf>
    <xf numFmtId="0" fontId="5" fillId="49" borderId="50" xfId="0" applyFont="1" applyFill="1" applyBorder="1" applyAlignment="1">
      <alignment horizontal="center" vertical="center" wrapText="1"/>
    </xf>
    <xf numFmtId="0" fontId="5" fillId="49" borderId="52" xfId="0" applyFont="1" applyFill="1" applyBorder="1" applyAlignment="1">
      <alignment horizontal="center" vertical="center" wrapText="1"/>
    </xf>
    <xf numFmtId="0" fontId="5" fillId="49" borderId="35" xfId="0" applyFont="1" applyFill="1" applyBorder="1" applyAlignment="1">
      <alignment horizontal="center" vertical="center" wrapText="1"/>
    </xf>
    <xf numFmtId="0" fontId="5" fillId="49" borderId="45" xfId="0" applyFont="1" applyFill="1" applyAlignment="1">
      <alignment horizontal="center" vertical="center" wrapText="1"/>
    </xf>
    <xf numFmtId="0" fontId="5" fillId="49" borderId="51" xfId="0" applyFont="1" applyFill="1" applyBorder="1" applyAlignment="1">
      <alignment horizontal="center" vertical="center" wrapText="1"/>
    </xf>
    <xf numFmtId="0" fontId="5" fillId="49" borderId="16" xfId="0" applyFont="1" applyFill="1" applyBorder="1" applyAlignment="1">
      <alignment horizontal="center" vertical="center" wrapText="1"/>
    </xf>
    <xf numFmtId="0" fontId="5" fillId="49" borderId="14" xfId="0" applyFont="1" applyFill="1" applyBorder="1" applyAlignment="1">
      <alignment horizontal="center" vertical="center" wrapText="1"/>
    </xf>
    <xf numFmtId="0" fontId="5" fillId="49" borderId="47" xfId="0" applyFont="1" applyFill="1" applyBorder="1" applyAlignment="1">
      <alignment horizontal="center" vertical="center" wrapText="1"/>
    </xf>
    <xf numFmtId="0" fontId="1" fillId="49" borderId="16" xfId="0" applyFont="1" applyFill="1" applyBorder="1" applyAlignment="1">
      <alignment horizontal="center" vertical="center" wrapText="1"/>
    </xf>
    <xf numFmtId="0" fontId="1" fillId="49" borderId="14" xfId="0" applyFont="1" applyFill="1" applyBorder="1" applyAlignment="1">
      <alignment horizontal="center" vertical="center" wrapText="1"/>
    </xf>
    <xf numFmtId="0" fontId="1" fillId="49" borderId="47" xfId="0" applyFont="1" applyFill="1" applyBorder="1" applyAlignment="1">
      <alignment horizontal="center" vertical="center" wrapText="1"/>
    </xf>
    <xf numFmtId="0" fontId="5" fillId="95" borderId="6" xfId="0" applyFont="1" applyFill="1" applyBorder="1"/>
    <xf numFmtId="0" fontId="5" fillId="95" borderId="3" xfId="0" applyFont="1" applyFill="1" applyBorder="1"/>
    <xf numFmtId="0" fontId="30" fillId="48" borderId="23" xfId="0" applyFont="1" applyFill="1" applyBorder="1" applyAlignment="1">
      <alignment horizontal="center" vertical="center" wrapText="1"/>
    </xf>
    <xf numFmtId="0" fontId="0" fillId="0" borderId="33" xfId="0" applyBorder="1"/>
    <xf numFmtId="0" fontId="0" fillId="0" borderId="34" xfId="0" applyBorder="1"/>
    <xf numFmtId="0" fontId="7" fillId="9" borderId="62" xfId="0" applyFont="1" applyFill="1" applyBorder="1" applyAlignment="1">
      <alignment horizontal="left"/>
    </xf>
    <xf numFmtId="0" fontId="0" fillId="0" borderId="2" xfId="0" applyBorder="1"/>
    <xf numFmtId="0" fontId="0" fillId="0" borderId="3" xfId="0" applyBorder="1"/>
    <xf numFmtId="0" fontId="30" fillId="48" borderId="11" xfId="0" applyFont="1" applyFill="1" applyBorder="1" applyAlignment="1">
      <alignment horizontal="center" vertical="center" wrapText="1"/>
    </xf>
    <xf numFmtId="0" fontId="0" fillId="0" borderId="19" xfId="0" applyBorder="1"/>
    <xf numFmtId="0" fontId="0" fillId="0" borderId="20" xfId="0" applyBorder="1"/>
    <xf numFmtId="0" fontId="30" fillId="48" borderId="22" xfId="0" applyFont="1" applyFill="1" applyBorder="1" applyAlignment="1">
      <alignment horizontal="center" vertical="center"/>
    </xf>
    <xf numFmtId="0" fontId="0" fillId="0" borderId="27" xfId="0" applyBorder="1"/>
    <xf numFmtId="0" fontId="0" fillId="0" borderId="29" xfId="0" applyBorder="1"/>
    <xf numFmtId="0" fontId="0" fillId="0" borderId="30" xfId="0" applyBorder="1"/>
    <xf numFmtId="0" fontId="23" fillId="9" borderId="62" xfId="0" applyFont="1" applyFill="1" applyBorder="1" applyAlignment="1">
      <alignment horizontal="left"/>
    </xf>
    <xf numFmtId="0" fontId="30" fillId="48" borderId="23" xfId="0" applyFont="1" applyFill="1" applyBorder="1" applyAlignment="1">
      <alignment horizontal="center" vertical="center"/>
    </xf>
    <xf numFmtId="0" fontId="0" fillId="0" borderId="25" xfId="0" applyBorder="1"/>
    <xf numFmtId="0" fontId="0" fillId="0" borderId="13" xfId="0" applyBorder="1"/>
    <xf numFmtId="0" fontId="0" fillId="0" borderId="32" xfId="0" applyBorder="1"/>
    <xf numFmtId="0" fontId="12" fillId="0" borderId="16"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47" xfId="0" applyFont="1"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5" fillId="0" borderId="16"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7" xfId="0" applyFont="1" applyBorder="1" applyAlignment="1">
      <alignment horizontal="center" vertical="center" wrapText="1"/>
    </xf>
    <xf numFmtId="0" fontId="12" fillId="0" borderId="79" xfId="0" applyFont="1" applyBorder="1" applyAlignment="1">
      <alignment horizontal="center" vertical="center" wrapText="1"/>
    </xf>
    <xf numFmtId="0" fontId="0" fillId="36" borderId="16" xfId="0" applyFill="1" applyBorder="1" applyAlignment="1">
      <alignment horizontal="center" vertical="center" wrapText="1"/>
    </xf>
    <xf numFmtId="0" fontId="0" fillId="36" borderId="14" xfId="0" applyFill="1" applyBorder="1" applyAlignment="1">
      <alignment horizontal="center" vertical="center" wrapText="1"/>
    </xf>
    <xf numFmtId="0" fontId="0" fillId="36" borderId="47" xfId="0" applyFill="1" applyBorder="1" applyAlignment="1">
      <alignment horizontal="center" vertical="center" wrapText="1"/>
    </xf>
    <xf numFmtId="0" fontId="12" fillId="36" borderId="16" xfId="0" applyFont="1" applyFill="1" applyBorder="1" applyAlignment="1">
      <alignment horizontal="center" vertical="center" wrapText="1"/>
    </xf>
    <xf numFmtId="0" fontId="12" fillId="36" borderId="14" xfId="0" applyFont="1" applyFill="1" applyBorder="1" applyAlignment="1">
      <alignment horizontal="center" vertical="center" wrapText="1"/>
    </xf>
    <xf numFmtId="0" fontId="12" fillId="36" borderId="47" xfId="0" applyFont="1" applyFill="1" applyBorder="1" applyAlignment="1">
      <alignment horizontal="center" vertical="center" wrapText="1"/>
    </xf>
    <xf numFmtId="0" fontId="12" fillId="14" borderId="3" xfId="0" applyFont="1" applyFill="1" applyBorder="1"/>
    <xf numFmtId="0" fontId="4" fillId="14" borderId="62" xfId="0" applyFont="1" applyFill="1" applyBorder="1"/>
    <xf numFmtId="0" fontId="22" fillId="16" borderId="62" xfId="0" applyFont="1" applyFill="1" applyBorder="1" applyAlignment="1">
      <alignment horizontal="center" wrapText="1"/>
    </xf>
    <xf numFmtId="0" fontId="22" fillId="22" borderId="62" xfId="0" applyFont="1" applyFill="1" applyBorder="1" applyAlignment="1">
      <alignment horizontal="center" wrapText="1"/>
    </xf>
    <xf numFmtId="0" fontId="0" fillId="0" borderId="5" xfId="0" applyBorder="1"/>
    <xf numFmtId="0" fontId="22" fillId="20" borderId="62" xfId="0" applyFont="1" applyFill="1" applyBorder="1" applyAlignment="1">
      <alignment horizontal="center" wrapText="1"/>
    </xf>
    <xf numFmtId="0" fontId="22" fillId="21" borderId="62" xfId="0" applyFont="1" applyFill="1" applyBorder="1" applyAlignment="1">
      <alignment horizontal="center" wrapText="1"/>
    </xf>
    <xf numFmtId="0" fontId="22" fillId="18" borderId="62" xfId="0" applyFont="1" applyFill="1" applyBorder="1" applyAlignment="1">
      <alignment horizontal="center" wrapText="1"/>
    </xf>
    <xf numFmtId="0" fontId="22" fillId="17" borderId="5" xfId="0" applyFont="1" applyFill="1" applyBorder="1" applyAlignment="1">
      <alignment horizontal="center" wrapText="1"/>
    </xf>
    <xf numFmtId="0" fontId="22" fillId="15" borderId="5" xfId="0" applyFont="1" applyFill="1" applyBorder="1" applyAlignment="1">
      <alignment horizontal="center" wrapText="1"/>
    </xf>
    <xf numFmtId="0" fontId="4" fillId="24" borderId="62" xfId="0" applyFont="1" applyFill="1" applyBorder="1" applyAlignment="1">
      <alignment wrapText="1"/>
    </xf>
    <xf numFmtId="0" fontId="12" fillId="24" borderId="62" xfId="0" applyFont="1" applyFill="1" applyBorder="1" applyAlignment="1">
      <alignment wrapText="1"/>
    </xf>
    <xf numFmtId="0" fontId="7" fillId="9" borderId="3" xfId="0" applyFont="1" applyFill="1" applyBorder="1" applyAlignment="1">
      <alignment horizontal="left"/>
    </xf>
    <xf numFmtId="0" fontId="5" fillId="48" borderId="46" xfId="0" applyFont="1" applyFill="1" applyBorder="1" applyAlignment="1">
      <alignment horizontal="center" vertical="center" wrapText="1"/>
    </xf>
    <xf numFmtId="0" fontId="0" fillId="0" borderId="35" xfId="0" applyBorder="1"/>
    <xf numFmtId="0" fontId="0" fillId="0" borderId="36" xfId="0" applyBorder="1"/>
    <xf numFmtId="0" fontId="0" fillId="0" borderId="50" xfId="0" applyBorder="1"/>
    <xf numFmtId="0" fontId="0" fillId="0" borderId="51" xfId="0" applyBorder="1"/>
    <xf numFmtId="0" fontId="0" fillId="0" borderId="52" xfId="0" applyBorder="1"/>
    <xf numFmtId="0" fontId="5" fillId="48" borderId="49" xfId="0" applyFont="1" applyFill="1" applyBorder="1" applyAlignment="1">
      <alignment horizontal="center" vertical="center" wrapText="1"/>
    </xf>
    <xf numFmtId="0" fontId="5" fillId="98" borderId="4" xfId="0" applyFont="1" applyFill="1" applyBorder="1" applyAlignment="1">
      <alignment horizontal="center" vertical="center" wrapText="1"/>
    </xf>
    <xf numFmtId="0" fontId="5" fillId="98" borderId="5" xfId="0" applyFont="1" applyFill="1" applyBorder="1" applyAlignment="1">
      <alignment horizontal="center" vertical="center" wrapText="1"/>
    </xf>
    <xf numFmtId="0" fontId="23" fillId="9" borderId="3" xfId="0" applyFont="1" applyFill="1" applyBorder="1" applyAlignment="1">
      <alignment horizontal="left"/>
    </xf>
    <xf numFmtId="0" fontId="0" fillId="78" borderId="46" xfId="0" applyFill="1" applyBorder="1"/>
    <xf numFmtId="0" fontId="0" fillId="0" borderId="31" xfId="0" applyBorder="1"/>
    <xf numFmtId="0" fontId="0" fillId="0" borderId="28" xfId="0" applyBorder="1"/>
    <xf numFmtId="0" fontId="5" fillId="48" borderId="46" xfId="0" applyFont="1" applyFill="1" applyBorder="1" applyAlignment="1">
      <alignment horizontal="center" vertical="center"/>
    </xf>
    <xf numFmtId="0" fontId="0" fillId="0" borderId="47" xfId="0" applyBorder="1"/>
    <xf numFmtId="0" fontId="0" fillId="0" borderId="14" xfId="0" applyBorder="1"/>
    <xf numFmtId="0" fontId="1" fillId="48" borderId="55" xfId="0" applyFont="1" applyFill="1" applyBorder="1" applyAlignment="1">
      <alignment horizontal="center" vertical="center" wrapText="1"/>
    </xf>
    <xf numFmtId="0" fontId="0" fillId="78" borderId="47" xfId="0" applyFill="1" applyBorder="1"/>
    <xf numFmtId="0" fontId="12" fillId="14" borderId="3" xfId="0" applyFont="1" applyFill="1" applyBorder="1" applyAlignment="1">
      <alignment horizontal="center"/>
    </xf>
    <xf numFmtId="0" fontId="12" fillId="37" borderId="46" xfId="0" applyFont="1" applyFill="1" applyBorder="1" applyAlignment="1">
      <alignment horizontal="center" vertical="center" wrapText="1"/>
    </xf>
    <xf numFmtId="0" fontId="1" fillId="37" borderId="49" xfId="0" applyFont="1" applyFill="1" applyBorder="1" applyAlignment="1">
      <alignment horizontal="center" vertical="center" wrapText="1"/>
    </xf>
    <xf numFmtId="0" fontId="0" fillId="36" borderId="46" xfId="0" applyFill="1" applyBorder="1" applyAlignment="1">
      <alignment horizontal="center"/>
    </xf>
    <xf numFmtId="0" fontId="22" fillId="22" borderId="62" xfId="0" applyFont="1" applyFill="1" applyBorder="1" applyAlignment="1">
      <alignment horizontal="center"/>
    </xf>
    <xf numFmtId="0" fontId="5" fillId="37" borderId="46" xfId="0" applyFont="1" applyFill="1" applyBorder="1" applyAlignment="1">
      <alignment horizontal="center" vertical="center"/>
    </xf>
    <xf numFmtId="0" fontId="1" fillId="37" borderId="46" xfId="0" applyFont="1" applyFill="1" applyBorder="1" applyAlignment="1">
      <alignment horizontal="center" vertical="center" wrapText="1"/>
    </xf>
    <xf numFmtId="0" fontId="22" fillId="16" borderId="62" xfId="0" applyFont="1" applyFill="1" applyBorder="1" applyAlignment="1">
      <alignment horizontal="center"/>
    </xf>
    <xf numFmtId="0" fontId="22" fillId="17" borderId="5" xfId="0" applyFont="1" applyFill="1" applyBorder="1" applyAlignment="1">
      <alignment horizontal="center"/>
    </xf>
    <xf numFmtId="0" fontId="0" fillId="36" borderId="49" xfId="0" applyFill="1" applyBorder="1" applyAlignment="1">
      <alignment wrapText="1"/>
    </xf>
    <xf numFmtId="0" fontId="22" fillId="21" borderId="62" xfId="0" applyFont="1" applyFill="1" applyBorder="1" applyAlignment="1">
      <alignment horizontal="center"/>
    </xf>
    <xf numFmtId="0" fontId="0" fillId="36" borderId="46" xfId="0" applyFill="1" applyBorder="1"/>
    <xf numFmtId="0" fontId="1" fillId="37" borderId="55" xfId="0" applyFont="1" applyFill="1" applyBorder="1" applyAlignment="1">
      <alignment horizontal="center" vertical="center" wrapText="1"/>
    </xf>
    <xf numFmtId="0" fontId="22" fillId="18" borderId="62" xfId="0" applyFont="1" applyFill="1" applyBorder="1" applyAlignment="1">
      <alignment horizontal="center"/>
    </xf>
    <xf numFmtId="0" fontId="4" fillId="14" borderId="62" xfId="0" applyFont="1" applyFill="1" applyBorder="1" applyAlignment="1">
      <alignment horizontal="center"/>
    </xf>
    <xf numFmtId="0" fontId="1" fillId="37" borderId="53" xfId="0" applyFont="1" applyFill="1" applyBorder="1" applyAlignment="1">
      <alignment horizontal="center" vertical="center" wrapText="1"/>
    </xf>
    <xf numFmtId="0" fontId="0" fillId="36" borderId="55" xfId="0" applyFill="1" applyBorder="1"/>
    <xf numFmtId="0" fontId="22" fillId="15" borderId="5" xfId="0" applyFont="1" applyFill="1" applyBorder="1" applyAlignment="1">
      <alignment horizontal="center"/>
    </xf>
    <xf numFmtId="0" fontId="4" fillId="24" borderId="62" xfId="0" applyFont="1" applyFill="1" applyBorder="1"/>
    <xf numFmtId="0" fontId="12" fillId="24" borderId="62" xfId="0" applyFont="1" applyFill="1" applyBorder="1"/>
    <xf numFmtId="0" fontId="5" fillId="5" borderId="18" xfId="0" applyFont="1" applyFill="1" applyBorder="1" applyAlignment="1">
      <alignment horizontal="center" vertical="center" wrapText="1"/>
    </xf>
    <xf numFmtId="0" fontId="1" fillId="5" borderId="11" xfId="0" applyFont="1" applyFill="1" applyBorder="1" applyAlignment="1">
      <alignment horizontal="center" wrapText="1"/>
    </xf>
    <xf numFmtId="0" fontId="0" fillId="0" borderId="12" xfId="0" applyBorder="1"/>
    <xf numFmtId="0" fontId="30" fillId="48" borderId="46" xfId="0" applyFont="1" applyFill="1" applyBorder="1" applyAlignment="1">
      <alignment horizontal="center" vertical="center"/>
    </xf>
    <xf numFmtId="0" fontId="5" fillId="68" borderId="46" xfId="0" applyFont="1" applyFill="1" applyBorder="1" applyAlignment="1">
      <alignment horizontal="center" vertical="center"/>
    </xf>
    <xf numFmtId="0" fontId="5" fillId="83" borderId="46" xfId="0" applyFont="1" applyFill="1" applyBorder="1" applyAlignment="1">
      <alignment horizontal="center" vertical="center"/>
    </xf>
    <xf numFmtId="0" fontId="31" fillId="83" borderId="46" xfId="0" applyFont="1" applyFill="1" applyBorder="1" applyAlignment="1">
      <alignment horizontal="center" vertical="center" wrapText="1"/>
    </xf>
    <xf numFmtId="0" fontId="31" fillId="63" borderId="47" xfId="0" applyFont="1" applyFill="1" applyBorder="1" applyAlignment="1">
      <alignment horizontal="center" vertical="center" wrapText="1"/>
    </xf>
    <xf numFmtId="0" fontId="5" fillId="63" borderId="46" xfId="0" applyFont="1" applyFill="1" applyBorder="1" applyAlignment="1">
      <alignment horizontal="center" vertical="center"/>
    </xf>
    <xf numFmtId="0" fontId="5" fillId="49" borderId="46" xfId="0" applyFont="1" applyFill="1" applyBorder="1" applyAlignment="1">
      <alignment horizontal="left" vertical="center" wrapText="1"/>
    </xf>
    <xf numFmtId="0" fontId="0" fillId="0" borderId="48" xfId="0" applyBorder="1"/>
    <xf numFmtId="0" fontId="0" fillId="0" borderId="49" xfId="0" applyBorder="1"/>
    <xf numFmtId="0" fontId="1" fillId="68" borderId="46" xfId="0" applyFont="1" applyFill="1" applyBorder="1" applyAlignment="1">
      <alignment horizontal="center" vertical="center" wrapText="1"/>
    </xf>
    <xf numFmtId="0" fontId="5" fillId="68" borderId="46" xfId="0" applyFont="1" applyFill="1" applyBorder="1" applyAlignment="1">
      <alignment horizontal="center" vertical="center" wrapText="1"/>
    </xf>
    <xf numFmtId="0" fontId="5" fillId="49" borderId="46" xfId="0" applyFont="1" applyFill="1" applyBorder="1" applyAlignment="1">
      <alignment horizontal="center" vertical="center"/>
    </xf>
    <xf numFmtId="0" fontId="5" fillId="83" borderId="46" xfId="0" applyFont="1" applyFill="1" applyBorder="1" applyAlignment="1">
      <alignment horizontal="center" vertical="center" wrapText="1"/>
    </xf>
    <xf numFmtId="0" fontId="1" fillId="83" borderId="46" xfId="0" applyFont="1" applyFill="1" applyBorder="1" applyAlignment="1">
      <alignment horizontal="center" vertical="center" wrapText="1"/>
    </xf>
    <xf numFmtId="0" fontId="1" fillId="63" borderId="46" xfId="0" applyFont="1" applyFill="1" applyBorder="1" applyAlignment="1">
      <alignment horizontal="center" vertical="center" wrapText="1"/>
    </xf>
    <xf numFmtId="0" fontId="5" fillId="63" borderId="46" xfId="0" applyFont="1" applyFill="1" applyBorder="1" applyAlignment="1">
      <alignment horizontal="center" vertical="center" wrapText="1"/>
    </xf>
    <xf numFmtId="0" fontId="30" fillId="48" borderId="46" xfId="0" applyFont="1" applyFill="1" applyBorder="1" applyAlignment="1">
      <alignment horizontal="center" vertical="center" wrapText="1"/>
    </xf>
    <xf numFmtId="0" fontId="5" fillId="49" borderId="49" xfId="0" applyFont="1" applyFill="1" applyBorder="1" applyAlignment="1">
      <alignment horizontal="center" vertical="center" wrapText="1"/>
    </xf>
    <xf numFmtId="0" fontId="31" fillId="68" borderId="46" xfId="0" applyFont="1" applyFill="1" applyBorder="1" applyAlignment="1">
      <alignment horizontal="center" vertical="center" wrapText="1"/>
    </xf>
    <xf numFmtId="0" fontId="12" fillId="14" borderId="46" xfId="0" applyFont="1" applyFill="1" applyBorder="1" applyAlignment="1">
      <alignment horizontal="center"/>
    </xf>
    <xf numFmtId="0" fontId="12" fillId="0" borderId="46" xfId="0" applyFont="1" applyBorder="1" applyAlignment="1">
      <alignment horizontal="center" vertical="center" wrapText="1"/>
    </xf>
    <xf numFmtId="0" fontId="12" fillId="36" borderId="46" xfId="0" applyFont="1" applyFill="1" applyBorder="1" applyAlignment="1">
      <alignment horizontal="center" vertical="center" wrapText="1"/>
    </xf>
    <xf numFmtId="0" fontId="0" fillId="36" borderId="47" xfId="0" applyFill="1" applyBorder="1"/>
    <xf numFmtId="0" fontId="4" fillId="14" borderId="46" xfId="0" applyFont="1" applyFill="1" applyBorder="1" applyAlignment="1">
      <alignment horizontal="center"/>
    </xf>
    <xf numFmtId="0" fontId="22" fillId="16" borderId="47" xfId="0" applyFont="1" applyFill="1" applyBorder="1" applyAlignment="1">
      <alignment horizontal="center" vertical="center" wrapText="1"/>
    </xf>
    <xf numFmtId="0" fontId="22" fillId="18" borderId="47" xfId="0" applyFont="1" applyFill="1" applyBorder="1" applyAlignment="1">
      <alignment horizontal="center" vertical="center" wrapText="1"/>
    </xf>
    <xf numFmtId="0" fontId="22" fillId="18" borderId="46" xfId="0" applyFont="1" applyFill="1" applyBorder="1" applyAlignment="1">
      <alignment horizontal="center" vertical="center" wrapText="1"/>
    </xf>
    <xf numFmtId="0" fontId="12" fillId="24" borderId="38" xfId="0" applyFont="1" applyFill="1" applyBorder="1"/>
    <xf numFmtId="0" fontId="0" fillId="0" borderId="39" xfId="0" applyBorder="1"/>
    <xf numFmtId="0" fontId="5" fillId="5" borderId="46" xfId="0" applyFont="1" applyFill="1" applyBorder="1" applyAlignment="1">
      <alignment horizontal="center" vertical="center" wrapText="1"/>
    </xf>
    <xf numFmtId="0" fontId="1" fillId="5" borderId="46" xfId="0" applyFont="1" applyFill="1" applyBorder="1" applyAlignment="1">
      <alignment horizontal="center" wrapText="1"/>
    </xf>
    <xf numFmtId="0" fontId="12" fillId="14" borderId="46" xfId="0" applyFont="1" applyFill="1" applyBorder="1" applyAlignment="1">
      <alignment horizontal="left"/>
    </xf>
    <xf numFmtId="0" fontId="4" fillId="14" borderId="46" xfId="0" applyFont="1" applyFill="1" applyBorder="1" applyAlignment="1">
      <alignment horizontal="left"/>
    </xf>
    <xf numFmtId="0" fontId="12" fillId="0" borderId="49" xfId="0" applyFont="1" applyBorder="1" applyAlignment="1">
      <alignment horizontal="center" vertical="center" wrapText="1"/>
    </xf>
    <xf numFmtId="0" fontId="12" fillId="0" borderId="55" xfId="0" applyFont="1" applyBorder="1" applyAlignment="1">
      <alignment horizontal="center" vertical="center" wrapText="1"/>
    </xf>
    <xf numFmtId="0" fontId="22" fillId="16" borderId="46" xfId="0" applyFont="1" applyFill="1" applyBorder="1" applyAlignment="1">
      <alignment horizontal="center" vertical="center" wrapText="1"/>
    </xf>
    <xf numFmtId="0" fontId="69" fillId="0" borderId="10" xfId="0" applyFont="1" applyBorder="1" applyAlignment="1">
      <alignment horizontal="center" vertical="center" wrapText="1"/>
    </xf>
    <xf numFmtId="0" fontId="69" fillId="0" borderId="51" xfId="0" applyFont="1" applyBorder="1" applyAlignment="1">
      <alignment horizontal="center" vertical="center" wrapText="1"/>
    </xf>
    <xf numFmtId="0" fontId="1" fillId="49" borderId="46" xfId="0" applyFont="1" applyFill="1" applyBorder="1" applyAlignment="1">
      <alignment horizontal="center" vertical="center" wrapText="1"/>
    </xf>
    <xf numFmtId="0" fontId="31" fillId="49" borderId="46" xfId="0" applyFont="1" applyFill="1" applyBorder="1" applyAlignment="1">
      <alignment horizontal="center" vertical="center" wrapText="1"/>
    </xf>
    <xf numFmtId="0" fontId="12" fillId="0" borderId="46" xfId="0" applyFont="1" applyBorder="1" applyAlignment="1">
      <alignment vertical="center" wrapText="1"/>
    </xf>
    <xf numFmtId="0" fontId="12" fillId="31" borderId="46" xfId="0" applyFont="1" applyFill="1" applyBorder="1" applyAlignment="1">
      <alignment vertical="center" wrapText="1"/>
    </xf>
    <xf numFmtId="0" fontId="22" fillId="20" borderId="62" xfId="0" applyFont="1" applyFill="1" applyBorder="1" applyAlignment="1">
      <alignment horizontal="center"/>
    </xf>
    <xf numFmtId="0" fontId="23" fillId="0" borderId="46" xfId="0" applyFont="1" applyBorder="1" applyAlignment="1">
      <alignment horizontal="center" vertical="center" wrapText="1"/>
    </xf>
    <xf numFmtId="0" fontId="0" fillId="63" borderId="55" xfId="0" applyFill="1" applyBorder="1" applyAlignment="1">
      <alignment horizontal="center"/>
    </xf>
    <xf numFmtId="0" fontId="0" fillId="63" borderId="49" xfId="0" applyFill="1" applyBorder="1" applyAlignment="1">
      <alignment horizontal="center"/>
    </xf>
    <xf numFmtId="0" fontId="0" fillId="63" borderId="48" xfId="0" applyFill="1" applyBorder="1" applyAlignment="1">
      <alignment horizontal="center"/>
    </xf>
    <xf numFmtId="0" fontId="0" fillId="72" borderId="76" xfId="0" applyFill="1" applyBorder="1" applyAlignment="1">
      <alignment horizontal="center"/>
    </xf>
    <xf numFmtId="0" fontId="0" fillId="72" borderId="36" xfId="0" applyFill="1" applyBorder="1" applyAlignment="1">
      <alignment horizontal="center"/>
    </xf>
    <xf numFmtId="0" fontId="0" fillId="72" borderId="50" xfId="0" applyFill="1" applyBorder="1" applyAlignment="1">
      <alignment horizontal="center"/>
    </xf>
    <xf numFmtId="0" fontId="0" fillId="72" borderId="52" xfId="0" applyFill="1" applyBorder="1" applyAlignment="1">
      <alignment horizontal="center"/>
    </xf>
    <xf numFmtId="0" fontId="0" fillId="72" borderId="76" xfId="0" applyFill="1" applyBorder="1"/>
    <xf numFmtId="0" fontId="0" fillId="72" borderId="35" xfId="0" applyFill="1" applyBorder="1"/>
    <xf numFmtId="0" fontId="0" fillId="72" borderId="36" xfId="0" applyFill="1" applyBorder="1"/>
    <xf numFmtId="0" fontId="0" fillId="72" borderId="50" xfId="0" applyFill="1" applyBorder="1"/>
    <xf numFmtId="0" fontId="0" fillId="72" borderId="51" xfId="0" applyFill="1" applyBorder="1"/>
    <xf numFmtId="0" fontId="0" fillId="72" borderId="52" xfId="0" applyFill="1" applyBorder="1"/>
    <xf numFmtId="0" fontId="0" fillId="72" borderId="35" xfId="0" applyFill="1" applyBorder="1" applyAlignment="1">
      <alignment horizontal="center"/>
    </xf>
    <xf numFmtId="0" fontId="0" fillId="72" borderId="51" xfId="0" applyFill="1" applyBorder="1" applyAlignment="1">
      <alignment horizontal="center"/>
    </xf>
    <xf numFmtId="0" fontId="0" fillId="72" borderId="16" xfId="0" applyFill="1" applyBorder="1"/>
    <xf numFmtId="0" fontId="0" fillId="72" borderId="47" xfId="0" applyFill="1" applyBorder="1"/>
    <xf numFmtId="0" fontId="0" fillId="79" borderId="76" xfId="0" applyFill="1" applyBorder="1" applyAlignment="1">
      <alignment horizontal="center"/>
    </xf>
    <xf numFmtId="0" fontId="0" fillId="79" borderId="35" xfId="0" applyFill="1" applyBorder="1" applyAlignment="1">
      <alignment horizontal="center"/>
    </xf>
    <xf numFmtId="0" fontId="0" fillId="79" borderId="36" xfId="0" applyFill="1" applyBorder="1" applyAlignment="1">
      <alignment horizontal="center"/>
    </xf>
    <xf numFmtId="0" fontId="0" fillId="79" borderId="31" xfId="0" applyFill="1" applyBorder="1" applyAlignment="1">
      <alignment horizontal="center"/>
    </xf>
    <xf numFmtId="0" fontId="0" fillId="79" borderId="45" xfId="0" applyFill="1" applyAlignment="1">
      <alignment horizontal="center"/>
    </xf>
    <xf numFmtId="0" fontId="0" fillId="79" borderId="28" xfId="0" applyFill="1" applyBorder="1" applyAlignment="1">
      <alignment horizontal="center"/>
    </xf>
    <xf numFmtId="0" fontId="0" fillId="79" borderId="50" xfId="0" applyFill="1" applyBorder="1" applyAlignment="1">
      <alignment horizontal="center"/>
    </xf>
    <xf numFmtId="0" fontId="0" fillId="79" borderId="51" xfId="0" applyFill="1" applyBorder="1" applyAlignment="1">
      <alignment horizontal="center"/>
    </xf>
    <xf numFmtId="0" fontId="0" fillId="79" borderId="52" xfId="0" applyFill="1" applyBorder="1" applyAlignment="1">
      <alignment horizontal="center"/>
    </xf>
    <xf numFmtId="0" fontId="0" fillId="79" borderId="16" xfId="0" applyFill="1" applyBorder="1" applyAlignment="1">
      <alignment horizontal="center"/>
    </xf>
    <xf numFmtId="0" fontId="0" fillId="79" borderId="14" xfId="0" applyFill="1" applyBorder="1" applyAlignment="1">
      <alignment horizontal="center"/>
    </xf>
    <xf numFmtId="0" fontId="0" fillId="79" borderId="47" xfId="0" applyFill="1" applyBorder="1" applyAlignment="1">
      <alignment horizontal="center"/>
    </xf>
    <xf numFmtId="0" fontId="62" fillId="12" borderId="46" xfId="0" applyFont="1" applyFill="1" applyBorder="1" applyAlignment="1">
      <alignment horizontal="center" vertical="center"/>
    </xf>
    <xf numFmtId="0" fontId="0" fillId="79" borderId="76" xfId="0" applyFill="1" applyBorder="1" applyAlignment="1">
      <alignment horizontal="center" vertical="center"/>
    </xf>
    <xf numFmtId="0" fontId="0" fillId="79" borderId="36" xfId="0" applyFill="1" applyBorder="1" applyAlignment="1">
      <alignment horizontal="center" vertical="center"/>
    </xf>
    <xf numFmtId="0" fontId="0" fillId="79" borderId="31" xfId="0" applyFill="1" applyBorder="1" applyAlignment="1">
      <alignment horizontal="center" vertical="center"/>
    </xf>
    <xf numFmtId="0" fontId="0" fillId="79" borderId="28" xfId="0" applyFill="1" applyBorder="1" applyAlignment="1">
      <alignment horizontal="center" vertical="center"/>
    </xf>
    <xf numFmtId="0" fontId="0" fillId="79" borderId="50" xfId="0" applyFill="1" applyBorder="1" applyAlignment="1">
      <alignment horizontal="center" vertical="center"/>
    </xf>
    <xf numFmtId="0" fontId="0" fillId="79" borderId="52" xfId="0" applyFill="1" applyBorder="1" applyAlignment="1">
      <alignment horizontal="center" vertical="center"/>
    </xf>
    <xf numFmtId="0" fontId="0" fillId="79" borderId="76" xfId="0" applyFill="1" applyBorder="1" applyAlignment="1">
      <alignment horizontal="center" wrapText="1"/>
    </xf>
    <xf numFmtId="0" fontId="0" fillId="79" borderId="35" xfId="0" applyFill="1" applyBorder="1" applyAlignment="1">
      <alignment horizontal="center" wrapText="1"/>
    </xf>
    <xf numFmtId="0" fontId="0" fillId="79" borderId="36" xfId="0" applyFill="1" applyBorder="1" applyAlignment="1">
      <alignment horizontal="center" wrapText="1"/>
    </xf>
    <xf numFmtId="0" fontId="0" fillId="79" borderId="31" xfId="0" applyFill="1" applyBorder="1" applyAlignment="1">
      <alignment horizontal="center" wrapText="1"/>
    </xf>
    <xf numFmtId="0" fontId="0" fillId="79" borderId="45" xfId="0" applyFill="1" applyAlignment="1">
      <alignment horizontal="center" wrapText="1"/>
    </xf>
    <xf numFmtId="0" fontId="0" fillId="79" borderId="28" xfId="0" applyFill="1" applyBorder="1" applyAlignment="1">
      <alignment horizontal="center" wrapText="1"/>
    </xf>
    <xf numFmtId="0" fontId="0" fillId="79" borderId="50" xfId="0" applyFill="1" applyBorder="1" applyAlignment="1">
      <alignment horizontal="center" wrapText="1"/>
    </xf>
    <xf numFmtId="0" fontId="0" fillId="79" borderId="51" xfId="0" applyFill="1" applyBorder="1" applyAlignment="1">
      <alignment horizontal="center" wrapText="1"/>
    </xf>
    <xf numFmtId="0" fontId="0" fillId="79" borderId="52" xfId="0" applyFill="1" applyBorder="1" applyAlignment="1">
      <alignment horizontal="center" wrapText="1"/>
    </xf>
    <xf numFmtId="0" fontId="0" fillId="79" borderId="55" xfId="0" applyFill="1" applyBorder="1"/>
    <xf numFmtId="0" fontId="0" fillId="79" borderId="49" xfId="0" applyFill="1" applyBorder="1"/>
    <xf numFmtId="0" fontId="11" fillId="12" borderId="55" xfId="0" applyFont="1" applyFill="1" applyBorder="1" applyAlignment="1">
      <alignment horizontal="center" vertical="center" wrapText="1"/>
    </xf>
    <xf numFmtId="0" fontId="5" fillId="49" borderId="80" xfId="0" applyFont="1" applyFill="1" applyBorder="1" applyAlignment="1">
      <alignment horizontal="center" vertical="center" wrapText="1"/>
    </xf>
    <xf numFmtId="0" fontId="5" fillId="49" borderId="56" xfId="0" applyFont="1" applyFill="1" applyBorder="1" applyAlignment="1">
      <alignment horizontal="center" vertical="center" wrapText="1"/>
    </xf>
    <xf numFmtId="0" fontId="5" fillId="49" borderId="81" xfId="0" applyFont="1" applyFill="1" applyBorder="1" applyAlignment="1">
      <alignment horizontal="center" vertical="center" wrapText="1"/>
    </xf>
    <xf numFmtId="0" fontId="1" fillId="49" borderId="82" xfId="0" applyFont="1" applyFill="1" applyBorder="1" applyAlignment="1">
      <alignment horizontal="center" vertical="center" wrapText="1"/>
    </xf>
    <xf numFmtId="0" fontId="1" fillId="49" borderId="83" xfId="0" applyFont="1" applyFill="1" applyBorder="1" applyAlignment="1">
      <alignment horizontal="center" vertical="center" wrapText="1"/>
    </xf>
    <xf numFmtId="0" fontId="1" fillId="49" borderId="84" xfId="0" applyFont="1" applyFill="1" applyBorder="1" applyAlignment="1">
      <alignment horizontal="center" vertical="center" wrapText="1"/>
    </xf>
    <xf numFmtId="0" fontId="5" fillId="94" borderId="4" xfId="0" applyFont="1" applyFill="1" applyBorder="1" applyAlignment="1">
      <alignment horizontal="center" vertical="center" wrapText="1"/>
    </xf>
    <xf numFmtId="0" fontId="5" fillId="94" borderId="7" xfId="0" applyFont="1" applyFill="1" applyBorder="1" applyAlignment="1">
      <alignment horizontal="center" vertical="center" wrapText="1"/>
    </xf>
    <xf numFmtId="0" fontId="44" fillId="0" borderId="46" xfId="0" applyFont="1" applyBorder="1"/>
    <xf numFmtId="0" fontId="44" fillId="36" borderId="16" xfId="0" applyFont="1" applyFill="1" applyBorder="1"/>
    <xf numFmtId="0" fontId="44" fillId="36" borderId="14" xfId="0" applyFont="1" applyFill="1" applyBorder="1"/>
    <xf numFmtId="0" fontId="44" fillId="36" borderId="47" xfId="0" applyFont="1" applyFill="1" applyBorder="1"/>
    <xf numFmtId="0" fontId="44" fillId="14" borderId="3" xfId="0" applyFont="1" applyFill="1" applyBorder="1" applyAlignment="1">
      <alignment horizontal="left"/>
    </xf>
    <xf numFmtId="0" fontId="46" fillId="16" borderId="62" xfId="0" applyFont="1" applyFill="1" applyBorder="1" applyAlignment="1">
      <alignment horizontal="center"/>
    </xf>
    <xf numFmtId="0" fontId="58" fillId="14" borderId="62" xfId="0" applyFont="1" applyFill="1" applyBorder="1" applyAlignment="1">
      <alignment horizontal="left"/>
    </xf>
    <xf numFmtId="0" fontId="46" fillId="22" borderId="62" xfId="0" applyFont="1" applyFill="1" applyBorder="1" applyAlignment="1">
      <alignment horizontal="center"/>
    </xf>
    <xf numFmtId="0" fontId="46" fillId="18" borderId="62" xfId="0" applyFont="1" applyFill="1" applyBorder="1" applyAlignment="1">
      <alignment horizontal="center"/>
    </xf>
    <xf numFmtId="0" fontId="46" fillId="21" borderId="62" xfId="0" applyFont="1" applyFill="1" applyBorder="1" applyAlignment="1">
      <alignment horizontal="center"/>
    </xf>
    <xf numFmtId="0" fontId="60" fillId="0" borderId="79" xfId="0" applyFont="1" applyBorder="1" applyAlignment="1">
      <alignment horizontal="center" vertical="center" wrapText="1"/>
    </xf>
    <xf numFmtId="0" fontId="60" fillId="0" borderId="14" xfId="0" applyFont="1" applyBorder="1" applyAlignment="1">
      <alignment horizontal="center" vertical="center" wrapText="1"/>
    </xf>
    <xf numFmtId="0" fontId="60" fillId="0" borderId="47" xfId="0" applyFont="1" applyBorder="1" applyAlignment="1">
      <alignment horizontal="center" vertical="center" wrapText="1"/>
    </xf>
    <xf numFmtId="0" fontId="46" fillId="15" borderId="5" xfId="0" applyFont="1" applyFill="1" applyBorder="1" applyAlignment="1">
      <alignment horizontal="center"/>
    </xf>
    <xf numFmtId="0" fontId="46" fillId="17" borderId="5" xfId="0" applyFont="1" applyFill="1" applyBorder="1" applyAlignment="1">
      <alignment horizontal="center"/>
    </xf>
    <xf numFmtId="0" fontId="46" fillId="20" borderId="62" xfId="0" applyFont="1" applyFill="1" applyBorder="1" applyAlignment="1">
      <alignment horizontal="center"/>
    </xf>
    <xf numFmtId="0" fontId="60" fillId="0" borderId="16" xfId="0" applyFont="1" applyBorder="1" applyAlignment="1">
      <alignment horizontal="center" vertical="center" wrapText="1"/>
    </xf>
    <xf numFmtId="0" fontId="60" fillId="0" borderId="79" xfId="0" applyFont="1" applyBorder="1" applyAlignment="1">
      <alignment horizontal="center" vertical="center"/>
    </xf>
    <xf numFmtId="0" fontId="60" fillId="0" borderId="14" xfId="0" applyFont="1" applyBorder="1" applyAlignment="1">
      <alignment horizontal="center" vertical="center"/>
    </xf>
    <xf numFmtId="0" fontId="60" fillId="0" borderId="47" xfId="0" applyFont="1" applyBorder="1" applyAlignment="1">
      <alignment horizontal="center" vertical="center"/>
    </xf>
    <xf numFmtId="0" fontId="13" fillId="24" borderId="62" xfId="0" applyFont="1" applyFill="1" applyBorder="1" applyAlignment="1">
      <alignment wrapText="1"/>
    </xf>
    <xf numFmtId="0" fontId="9" fillId="24" borderId="62" xfId="0" applyFont="1" applyFill="1" applyBorder="1" applyAlignment="1">
      <alignment wrapText="1"/>
    </xf>
    <xf numFmtId="0" fontId="73" fillId="102" borderId="6" xfId="0" applyFont="1" applyFill="1" applyBorder="1"/>
    <xf numFmtId="0" fontId="6" fillId="102" borderId="2" xfId="0" applyFont="1" applyFill="1" applyBorder="1"/>
    <xf numFmtId="0" fontId="6" fillId="102" borderId="3" xfId="0" applyFont="1" applyFill="1" applyBorder="1"/>
    <xf numFmtId="0" fontId="5" fillId="96" borderId="6" xfId="0" applyFont="1" applyFill="1" applyBorder="1"/>
    <xf numFmtId="0" fontId="5" fillId="96" borderId="3" xfId="0" applyFont="1" applyFill="1" applyBorder="1"/>
    <xf numFmtId="0" fontId="5" fillId="50" borderId="76" xfId="0" applyFont="1" applyFill="1" applyBorder="1" applyAlignment="1">
      <alignment horizontal="center" vertical="center" wrapText="1"/>
    </xf>
    <xf numFmtId="0" fontId="5" fillId="50" borderId="36" xfId="0" applyFont="1" applyFill="1" applyBorder="1" applyAlignment="1">
      <alignment horizontal="center" vertical="center" wrapText="1"/>
    </xf>
    <xf numFmtId="0" fontId="5" fillId="50" borderId="31" xfId="0" applyFont="1" applyFill="1" applyBorder="1" applyAlignment="1">
      <alignment horizontal="center" vertical="center" wrapText="1"/>
    </xf>
    <xf numFmtId="0" fontId="5" fillId="50" borderId="28" xfId="0" applyFont="1" applyFill="1" applyBorder="1" applyAlignment="1">
      <alignment horizontal="center" vertical="center" wrapText="1"/>
    </xf>
    <xf numFmtId="0" fontId="5" fillId="50" borderId="50" xfId="0" applyFont="1" applyFill="1" applyBorder="1" applyAlignment="1">
      <alignment horizontal="center" vertical="center" wrapText="1"/>
    </xf>
    <xf numFmtId="0" fontId="5" fillId="50" borderId="52" xfId="0" applyFont="1" applyFill="1" applyBorder="1" applyAlignment="1">
      <alignment horizontal="center" vertical="center" wrapText="1"/>
    </xf>
    <xf numFmtId="0" fontId="5" fillId="50" borderId="35" xfId="0" applyFont="1" applyFill="1" applyBorder="1" applyAlignment="1">
      <alignment horizontal="center" vertical="center" wrapText="1"/>
    </xf>
    <xf numFmtId="0" fontId="5" fillId="50" borderId="45" xfId="0" applyFont="1" applyFill="1" applyAlignment="1">
      <alignment horizontal="center" vertical="center" wrapText="1"/>
    </xf>
    <xf numFmtId="0" fontId="5" fillId="50" borderId="51" xfId="0" applyFont="1" applyFill="1" applyBorder="1" applyAlignment="1">
      <alignment horizontal="center" vertical="center" wrapText="1"/>
    </xf>
    <xf numFmtId="0" fontId="5" fillId="50" borderId="16" xfId="0" applyFont="1" applyFill="1" applyBorder="1" applyAlignment="1">
      <alignment horizontal="center" vertical="center" wrapText="1"/>
    </xf>
    <xf numFmtId="0" fontId="5" fillId="50" borderId="14" xfId="0" applyFont="1" applyFill="1" applyBorder="1" applyAlignment="1">
      <alignment horizontal="center" vertical="center" wrapText="1"/>
    </xf>
    <xf numFmtId="0" fontId="5" fillId="50" borderId="47" xfId="0" applyFont="1" applyFill="1" applyBorder="1" applyAlignment="1">
      <alignment horizontal="center" vertical="center" wrapText="1"/>
    </xf>
    <xf numFmtId="0" fontId="0" fillId="83" borderId="46" xfId="0" applyFill="1" applyBorder="1" applyAlignment="1">
      <alignment horizontal="center" vertical="center" wrapText="1"/>
    </xf>
    <xf numFmtId="0" fontId="0" fillId="68" borderId="16" xfId="0" applyFill="1" applyBorder="1" applyAlignment="1">
      <alignment horizontal="center" vertical="center" wrapText="1"/>
    </xf>
    <xf numFmtId="0" fontId="0" fillId="68" borderId="14" xfId="0" applyFill="1" applyBorder="1" applyAlignment="1">
      <alignment horizontal="center" vertical="center" wrapText="1"/>
    </xf>
    <xf numFmtId="0" fontId="0" fillId="68" borderId="47" xfId="0" applyFill="1" applyBorder="1" applyAlignment="1">
      <alignment horizontal="center" vertical="center" wrapText="1"/>
    </xf>
    <xf numFmtId="0" fontId="4" fillId="14" borderId="46" xfId="0" applyFont="1" applyFill="1" applyBorder="1" applyAlignment="1">
      <alignment horizontal="center" wrapText="1"/>
    </xf>
    <xf numFmtId="0" fontId="22" fillId="16" borderId="5" xfId="0" applyFont="1" applyFill="1" applyBorder="1" applyAlignment="1">
      <alignment horizontal="center"/>
    </xf>
    <xf numFmtId="0" fontId="0" fillId="0" borderId="9" xfId="0" applyBorder="1"/>
    <xf numFmtId="0" fontId="22" fillId="18" borderId="7" xfId="0" applyFont="1" applyFill="1" applyBorder="1" applyAlignment="1">
      <alignment horizontal="center"/>
    </xf>
    <xf numFmtId="0" fontId="0" fillId="0" borderId="8" xfId="0" applyBorder="1"/>
    <xf numFmtId="0" fontId="22" fillId="18" borderId="5" xfId="0" applyFont="1" applyFill="1" applyBorder="1" applyAlignment="1">
      <alignment horizontal="center"/>
    </xf>
    <xf numFmtId="0" fontId="12" fillId="26" borderId="46" xfId="0" applyFont="1" applyFill="1" applyBorder="1" applyAlignment="1">
      <alignment horizontal="center" wrapText="1"/>
    </xf>
    <xf numFmtId="0" fontId="12" fillId="26" borderId="46" xfId="0" applyFont="1" applyFill="1" applyBorder="1" applyAlignment="1">
      <alignment vertical="center" wrapText="1"/>
    </xf>
    <xf numFmtId="0" fontId="12" fillId="26" borderId="46" xfId="0" applyFont="1" applyFill="1" applyBorder="1" applyAlignment="1">
      <alignment horizontal="center" vertical="center" wrapText="1"/>
    </xf>
    <xf numFmtId="0" fontId="0" fillId="80" borderId="85" xfId="0" applyFill="1" applyBorder="1" applyAlignment="1">
      <alignment horizontal="center" vertical="center" wrapText="1"/>
    </xf>
    <xf numFmtId="0" fontId="0" fillId="80" borderId="64" xfId="0" applyFill="1" applyBorder="1" applyAlignment="1">
      <alignment horizontal="center" vertical="center" wrapText="1"/>
    </xf>
    <xf numFmtId="0" fontId="0" fillId="80" borderId="65" xfId="0" applyFill="1" applyBorder="1" applyAlignment="1">
      <alignment horizontal="center" vertical="center" wrapText="1"/>
    </xf>
    <xf numFmtId="0" fontId="0" fillId="80" borderId="8" xfId="0" applyFill="1" applyBorder="1" applyAlignment="1">
      <alignment horizontal="center" vertical="center" wrapText="1"/>
    </xf>
    <xf numFmtId="0" fontId="0" fillId="80" borderId="86" xfId="0" applyFill="1" applyBorder="1" applyAlignment="1">
      <alignment horizontal="center" vertical="center" wrapText="1"/>
    </xf>
    <xf numFmtId="0" fontId="0" fillId="80" borderId="63" xfId="0" applyFill="1" applyBorder="1" applyAlignment="1">
      <alignment horizontal="center" vertical="center" wrapText="1"/>
    </xf>
    <xf numFmtId="0" fontId="0" fillId="80" borderId="56" xfId="0" applyFill="1" applyBorder="1" applyAlignment="1">
      <alignment horizontal="center" vertical="center" wrapText="1"/>
    </xf>
    <xf numFmtId="0" fontId="0" fillId="80" borderId="45" xfId="0" applyFill="1" applyAlignment="1">
      <alignment horizontal="center" vertical="center" wrapText="1"/>
    </xf>
    <xf numFmtId="0" fontId="0" fillId="80" borderId="92" xfId="0" applyFill="1" applyBorder="1" applyAlignment="1">
      <alignment horizontal="center" vertical="center" wrapText="1"/>
    </xf>
    <xf numFmtId="0" fontId="0" fillId="80" borderId="28" xfId="0" applyFill="1" applyBorder="1" applyAlignment="1">
      <alignment horizontal="center" vertical="center" wrapText="1"/>
    </xf>
    <xf numFmtId="0" fontId="0" fillId="80" borderId="77" xfId="0" applyFill="1" applyBorder="1" applyAlignment="1">
      <alignment horizontal="center" vertical="center" wrapText="1"/>
    </xf>
    <xf numFmtId="0" fontId="0" fillId="80" borderId="7" xfId="0" applyFill="1" applyBorder="1" applyAlignment="1">
      <alignment horizontal="center" vertical="center" wrapText="1"/>
    </xf>
    <xf numFmtId="0" fontId="0" fillId="80" borderId="5" xfId="0" applyFill="1" applyBorder="1" applyAlignment="1">
      <alignment horizontal="center" vertical="center" wrapText="1"/>
    </xf>
    <xf numFmtId="0" fontId="0" fillId="50" borderId="87" xfId="0" applyFill="1" applyBorder="1" applyAlignment="1">
      <alignment horizontal="center" vertical="center" wrapText="1"/>
    </xf>
    <xf numFmtId="0" fontId="0" fillId="50" borderId="17" xfId="0" applyFill="1" applyBorder="1" applyAlignment="1">
      <alignment horizontal="center" vertical="center" wrapText="1"/>
    </xf>
    <xf numFmtId="0" fontId="0" fillId="50" borderId="65" xfId="0" applyFill="1" applyBorder="1" applyAlignment="1">
      <alignment horizontal="center" vertical="center" wrapText="1"/>
    </xf>
    <xf numFmtId="0" fontId="0" fillId="50" borderId="8" xfId="0" applyFill="1" applyBorder="1" applyAlignment="1">
      <alignment horizontal="center" vertical="center" wrapText="1"/>
    </xf>
    <xf numFmtId="0" fontId="0" fillId="50" borderId="88" xfId="0" applyFill="1" applyBorder="1" applyAlignment="1">
      <alignment horizontal="center" vertical="center" wrapText="1"/>
    </xf>
    <xf numFmtId="0" fontId="0" fillId="50" borderId="89" xfId="0" applyFill="1" applyBorder="1" applyAlignment="1">
      <alignment horizontal="center" vertical="center" wrapText="1"/>
    </xf>
    <xf numFmtId="0" fontId="5" fillId="50" borderId="71" xfId="0" applyFont="1" applyFill="1" applyBorder="1" applyAlignment="1">
      <alignment horizontal="center" vertical="center" wrapText="1"/>
    </xf>
    <xf numFmtId="0" fontId="5" fillId="50" borderId="10" xfId="0" applyFont="1" applyFill="1" applyBorder="1" applyAlignment="1">
      <alignment horizontal="center" vertical="center" wrapText="1"/>
    </xf>
    <xf numFmtId="0" fontId="5" fillId="50" borderId="17" xfId="0" applyFont="1" applyFill="1" applyBorder="1" applyAlignment="1">
      <alignment horizontal="center" vertical="center" wrapText="1"/>
    </xf>
    <xf numFmtId="0" fontId="5" fillId="50" borderId="56" xfId="0" applyFont="1" applyFill="1" applyBorder="1" applyAlignment="1">
      <alignment horizontal="center" vertical="center" wrapText="1"/>
    </xf>
    <xf numFmtId="0" fontId="5" fillId="50" borderId="8" xfId="0" applyFont="1" applyFill="1" applyBorder="1" applyAlignment="1">
      <alignment horizontal="center" vertical="center" wrapText="1"/>
    </xf>
    <xf numFmtId="0" fontId="5" fillId="50" borderId="90" xfId="0" applyFont="1" applyFill="1" applyBorder="1" applyAlignment="1">
      <alignment horizontal="center" vertical="center" wrapText="1"/>
    </xf>
    <xf numFmtId="0" fontId="5" fillId="50" borderId="91" xfId="0" applyFont="1" applyFill="1" applyBorder="1" applyAlignment="1">
      <alignment horizontal="center" vertical="center" wrapText="1"/>
    </xf>
    <xf numFmtId="0" fontId="5" fillId="50" borderId="89" xfId="0" applyFont="1" applyFill="1" applyBorder="1" applyAlignment="1">
      <alignment horizontal="center" vertical="center" wrapText="1"/>
    </xf>
    <xf numFmtId="0" fontId="0" fillId="50" borderId="71" xfId="0" applyFill="1" applyBorder="1" applyAlignment="1">
      <alignment horizontal="center" vertical="center" wrapText="1"/>
    </xf>
    <xf numFmtId="0" fontId="0" fillId="50" borderId="10" xfId="0" applyFill="1" applyBorder="1" applyAlignment="1">
      <alignment horizontal="center" vertical="center" wrapText="1"/>
    </xf>
    <xf numFmtId="0" fontId="0" fillId="50" borderId="56" xfId="0" applyFill="1" applyBorder="1" applyAlignment="1">
      <alignment horizontal="center" vertical="center" wrapText="1"/>
    </xf>
    <xf numFmtId="0" fontId="0" fillId="50" borderId="90" xfId="0" applyFill="1" applyBorder="1" applyAlignment="1">
      <alignment horizontal="center" vertical="center" wrapText="1"/>
    </xf>
    <xf numFmtId="0" fontId="0" fillId="50" borderId="91" xfId="0" applyFill="1" applyBorder="1" applyAlignment="1">
      <alignment horizontal="center" vertical="center" wrapText="1"/>
    </xf>
    <xf numFmtId="0" fontId="5" fillId="50" borderId="4" xfId="0" applyFont="1" applyFill="1" applyBorder="1" applyAlignment="1">
      <alignment horizontal="center" vertical="center" wrapText="1"/>
    </xf>
    <xf numFmtId="0" fontId="5" fillId="50" borderId="7" xfId="0" applyFont="1" applyFill="1" applyBorder="1" applyAlignment="1">
      <alignment horizontal="center" vertical="center" wrapText="1"/>
    </xf>
    <xf numFmtId="0" fontId="5" fillId="50" borderId="78" xfId="0" applyFont="1" applyFill="1" applyBorder="1" applyAlignment="1">
      <alignment horizontal="center" vertical="center" wrapText="1"/>
    </xf>
    <xf numFmtId="0" fontId="0" fillId="50" borderId="7" xfId="0" applyFill="1" applyBorder="1" applyAlignment="1">
      <alignment horizontal="center" vertical="center" wrapText="1"/>
    </xf>
    <xf numFmtId="0" fontId="0" fillId="50" borderId="78" xfId="0" applyFill="1" applyBorder="1" applyAlignment="1">
      <alignment horizontal="center" vertical="center" wrapText="1"/>
    </xf>
    <xf numFmtId="0" fontId="5" fillId="67" borderId="85" xfId="0" applyFont="1" applyFill="1" applyBorder="1" applyAlignment="1">
      <alignment horizontal="center" vertical="center" wrapText="1"/>
    </xf>
    <xf numFmtId="0" fontId="5" fillId="67" borderId="64" xfId="0" applyFont="1" applyFill="1" applyBorder="1" applyAlignment="1">
      <alignment horizontal="center" vertical="center" wrapText="1"/>
    </xf>
    <xf numFmtId="0" fontId="5" fillId="67" borderId="65" xfId="0" applyFont="1" applyFill="1" applyBorder="1" applyAlignment="1">
      <alignment horizontal="center" vertical="center" wrapText="1"/>
    </xf>
    <xf numFmtId="0" fontId="5" fillId="67" borderId="8" xfId="0" applyFont="1" applyFill="1" applyBorder="1" applyAlignment="1">
      <alignment horizontal="center" vertical="center" wrapText="1"/>
    </xf>
    <xf numFmtId="0" fontId="5" fillId="67" borderId="66" xfId="0" applyFont="1" applyFill="1" applyBorder="1" applyAlignment="1">
      <alignment horizontal="center" vertical="center" wrapText="1"/>
    </xf>
    <xf numFmtId="0" fontId="5" fillId="67" borderId="9" xfId="0" applyFont="1" applyFill="1" applyBorder="1" applyAlignment="1">
      <alignment horizontal="center" vertical="center" wrapText="1"/>
    </xf>
    <xf numFmtId="0" fontId="5" fillId="67" borderId="86" xfId="0" applyFont="1" applyFill="1" applyBorder="1" applyAlignment="1">
      <alignment horizontal="center" vertical="center" wrapText="1"/>
    </xf>
    <xf numFmtId="0" fontId="5" fillId="67" borderId="63" xfId="0" applyFont="1" applyFill="1" applyBorder="1" applyAlignment="1">
      <alignment horizontal="center" vertical="center" wrapText="1"/>
    </xf>
    <xf numFmtId="0" fontId="5" fillId="67" borderId="56" xfId="0" applyFont="1" applyFill="1" applyBorder="1" applyAlignment="1">
      <alignment horizontal="center" vertical="center" wrapText="1"/>
    </xf>
    <xf numFmtId="0" fontId="5" fillId="67" borderId="45" xfId="0" applyFont="1" applyFill="1" applyAlignment="1">
      <alignment horizontal="center" vertical="center" wrapText="1"/>
    </xf>
    <xf numFmtId="0" fontId="5" fillId="67" borderId="54" xfId="0" applyFont="1" applyFill="1" applyBorder="1" applyAlignment="1">
      <alignment horizontal="center" vertical="center" wrapText="1"/>
    </xf>
    <xf numFmtId="0" fontId="5" fillId="67" borderId="15" xfId="0" applyFont="1" applyFill="1" applyBorder="1" applyAlignment="1">
      <alignment horizontal="center" vertical="center" wrapText="1"/>
    </xf>
    <xf numFmtId="0" fontId="5" fillId="49" borderId="86" xfId="0" applyFont="1" applyFill="1" applyBorder="1" applyAlignment="1">
      <alignment horizontal="center" vertical="center" wrapText="1"/>
    </xf>
    <xf numFmtId="0" fontId="5" fillId="49" borderId="63" xfId="0" applyFont="1" applyFill="1" applyBorder="1" applyAlignment="1">
      <alignment horizontal="center" vertical="center" wrapText="1"/>
    </xf>
    <xf numFmtId="0" fontId="5" fillId="49" borderId="64" xfId="0" applyFont="1" applyFill="1" applyBorder="1" applyAlignment="1">
      <alignment horizontal="center" vertical="center" wrapText="1"/>
    </xf>
    <xf numFmtId="0" fontId="5" fillId="49" borderId="8" xfId="0" applyFont="1" applyFill="1" applyBorder="1" applyAlignment="1">
      <alignment horizontal="center" vertical="center" wrapText="1"/>
    </xf>
    <xf numFmtId="0" fontId="5" fillId="49" borderId="54" xfId="0" applyFont="1" applyFill="1" applyBorder="1" applyAlignment="1">
      <alignment horizontal="center" vertical="center" wrapText="1"/>
    </xf>
    <xf numFmtId="0" fontId="5" fillId="49" borderId="15" xfId="0" applyFont="1" applyFill="1" applyBorder="1" applyAlignment="1">
      <alignment horizontal="center" vertical="center" wrapText="1"/>
    </xf>
    <xf numFmtId="0" fontId="5" fillId="49" borderId="9" xfId="0" applyFont="1" applyFill="1" applyBorder="1" applyAlignment="1">
      <alignment horizontal="center" vertical="center" wrapText="1"/>
    </xf>
    <xf numFmtId="0" fontId="5" fillId="67" borderId="77" xfId="0" applyFont="1" applyFill="1" applyBorder="1" applyAlignment="1">
      <alignment horizontal="center" vertical="center" wrapText="1"/>
    </xf>
    <xf numFmtId="0" fontId="5" fillId="67" borderId="7" xfId="0" applyFont="1" applyFill="1" applyBorder="1" applyAlignment="1">
      <alignment horizontal="center" vertical="center" wrapText="1"/>
    </xf>
    <xf numFmtId="0" fontId="5" fillId="67" borderId="5" xfId="0" applyFont="1" applyFill="1" applyBorder="1" applyAlignment="1">
      <alignment horizontal="center" vertical="center" wrapText="1"/>
    </xf>
    <xf numFmtId="0" fontId="1" fillId="67" borderId="77" xfId="0" applyFont="1" applyFill="1" applyBorder="1" applyAlignment="1">
      <alignment horizontal="center" vertical="center" wrapText="1"/>
    </xf>
    <xf numFmtId="0" fontId="1" fillId="67" borderId="7" xfId="0" applyFont="1" applyFill="1" applyBorder="1" applyAlignment="1">
      <alignment horizontal="center" vertical="center" wrapText="1"/>
    </xf>
    <xf numFmtId="0" fontId="1" fillId="67" borderId="5" xfId="0" applyFont="1" applyFill="1" applyBorder="1" applyAlignment="1">
      <alignment horizontal="center" vertical="center" wrapText="1"/>
    </xf>
    <xf numFmtId="0" fontId="5" fillId="94" borderId="77" xfId="0" applyFont="1" applyFill="1" applyBorder="1" applyAlignment="1">
      <alignment horizontal="center" vertical="center" wrapText="1"/>
    </xf>
    <xf numFmtId="0" fontId="7" fillId="9" borderId="17" xfId="0" applyFont="1" applyFill="1" applyBorder="1" applyAlignment="1">
      <alignment horizontal="left"/>
    </xf>
    <xf numFmtId="0" fontId="0" fillId="0" borderId="10" xfId="0" applyBorder="1"/>
    <xf numFmtId="0" fontId="0" fillId="0" borderId="17" xfId="0" applyBorder="1"/>
    <xf numFmtId="0" fontId="30" fillId="66" borderId="58" xfId="0" applyFont="1" applyFill="1" applyBorder="1" applyAlignment="1">
      <alignment horizontal="center" vertical="center" wrapText="1"/>
    </xf>
    <xf numFmtId="0" fontId="0" fillId="0" borderId="68" xfId="0" applyBorder="1"/>
    <xf numFmtId="0" fontId="0" fillId="0" borderId="67" xfId="0" applyBorder="1"/>
    <xf numFmtId="0" fontId="0" fillId="35" borderId="46" xfId="0" applyFill="1" applyBorder="1" applyAlignment="1">
      <alignment horizontal="center" vertical="center" wrapText="1"/>
    </xf>
    <xf numFmtId="0" fontId="30" fillId="66" borderId="60" xfId="0" applyFont="1" applyFill="1" applyBorder="1" applyAlignment="1">
      <alignment horizontal="center" vertical="center" wrapText="1"/>
    </xf>
    <xf numFmtId="0" fontId="0" fillId="0" borderId="69" xfId="0" applyBorder="1"/>
    <xf numFmtId="0" fontId="0" fillId="0" borderId="70" xfId="0" applyBorder="1"/>
    <xf numFmtId="0" fontId="0" fillId="0" borderId="63" xfId="0" applyBorder="1"/>
    <xf numFmtId="0" fontId="0" fillId="0" borderId="64" xfId="0" applyBorder="1"/>
    <xf numFmtId="0" fontId="0" fillId="0" borderId="54" xfId="0" applyBorder="1"/>
    <xf numFmtId="0" fontId="0" fillId="0" borderId="15" xfId="0" applyBorder="1"/>
    <xf numFmtId="0" fontId="8" fillId="12" borderId="46" xfId="0" applyFont="1" applyFill="1" applyBorder="1" applyAlignment="1">
      <alignment horizontal="center" vertical="center"/>
    </xf>
    <xf numFmtId="0" fontId="30" fillId="66" borderId="57" xfId="0" applyFont="1" applyFill="1" applyBorder="1" applyAlignment="1">
      <alignment horizontal="center" vertical="center" wrapText="1"/>
    </xf>
    <xf numFmtId="0" fontId="0" fillId="0" borderId="66" xfId="0" applyBorder="1"/>
    <xf numFmtId="0" fontId="0" fillId="0" borderId="16" xfId="0" applyBorder="1"/>
    <xf numFmtId="0" fontId="7" fillId="0" borderId="79"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47" xfId="0" applyFont="1" applyBorder="1" applyAlignment="1">
      <alignment horizontal="center" vertical="center" wrapText="1"/>
    </xf>
    <xf numFmtId="0" fontId="0" fillId="69" borderId="16" xfId="0" applyFill="1" applyBorder="1" applyAlignment="1">
      <alignment horizontal="center" vertical="center" wrapText="1"/>
    </xf>
    <xf numFmtId="0" fontId="0" fillId="69" borderId="14" xfId="0" applyFill="1" applyBorder="1" applyAlignment="1">
      <alignment horizontal="center" vertical="center" wrapText="1"/>
    </xf>
    <xf numFmtId="0" fontId="0" fillId="69" borderId="47" xfId="0" applyFill="1" applyBorder="1" applyAlignment="1">
      <alignment horizontal="center" vertical="center" wrapText="1"/>
    </xf>
    <xf numFmtId="0" fontId="0" fillId="69" borderId="76" xfId="0" applyFill="1" applyBorder="1" applyAlignment="1">
      <alignment horizontal="center" vertical="center" wrapText="1"/>
    </xf>
    <xf numFmtId="0" fontId="0" fillId="69" borderId="31" xfId="0" applyFill="1" applyBorder="1" applyAlignment="1">
      <alignment horizontal="center" vertical="center" wrapText="1"/>
    </xf>
    <xf numFmtId="0" fontId="0" fillId="69" borderId="50" xfId="0" applyFill="1" applyBorder="1" applyAlignment="1">
      <alignment horizontal="center" vertical="center" wrapText="1"/>
    </xf>
    <xf numFmtId="0" fontId="8" fillId="0" borderId="79"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47" xfId="0" applyFont="1" applyBorder="1" applyAlignment="1">
      <alignment horizontal="center" vertical="center" wrapText="1"/>
    </xf>
    <xf numFmtId="0" fontId="1" fillId="0" borderId="79"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47" xfId="0" applyFont="1" applyBorder="1" applyAlignment="1">
      <alignment horizontal="center" vertical="center" wrapText="1"/>
    </xf>
    <xf numFmtId="0" fontId="7" fillId="0" borderId="16" xfId="0" applyFont="1" applyBorder="1" applyAlignment="1">
      <alignment horizontal="center" vertical="center" wrapText="1"/>
    </xf>
    <xf numFmtId="0" fontId="11" fillId="14" borderId="3" xfId="0" applyFont="1" applyFill="1" applyBorder="1" applyAlignment="1">
      <alignment horizontal="left"/>
    </xf>
    <xf numFmtId="0" fontId="10" fillId="16" borderId="62" xfId="0" applyFont="1" applyFill="1" applyBorder="1" applyAlignment="1">
      <alignment horizontal="center" wrapText="1"/>
    </xf>
    <xf numFmtId="0" fontId="18" fillId="14" borderId="62" xfId="0" applyFont="1" applyFill="1" applyBorder="1" applyAlignment="1">
      <alignment horizontal="left"/>
    </xf>
    <xf numFmtId="0" fontId="10" fillId="20" borderId="62" xfId="0" applyFont="1" applyFill="1" applyBorder="1" applyAlignment="1">
      <alignment horizontal="center" wrapText="1"/>
    </xf>
    <xf numFmtId="0" fontId="10" fillId="22" borderId="62" xfId="0" applyFont="1" applyFill="1" applyBorder="1" applyAlignment="1">
      <alignment horizontal="center" wrapText="1"/>
    </xf>
    <xf numFmtId="0" fontId="10" fillId="16" borderId="62" xfId="0" applyFont="1" applyFill="1" applyBorder="1" applyAlignment="1">
      <alignment horizontal="center"/>
    </xf>
    <xf numFmtId="0" fontId="10" fillId="21" borderId="62" xfId="0" applyFont="1" applyFill="1" applyBorder="1" applyAlignment="1">
      <alignment horizontal="center" wrapText="1"/>
    </xf>
    <xf numFmtId="0" fontId="10" fillId="18" borderId="62" xfId="0" applyFont="1" applyFill="1" applyBorder="1" applyAlignment="1">
      <alignment horizontal="center"/>
    </xf>
    <xf numFmtId="0" fontId="10" fillId="15" borderId="5" xfId="0" applyFont="1" applyFill="1" applyBorder="1" applyAlignment="1">
      <alignment horizontal="center" wrapText="1"/>
    </xf>
    <xf numFmtId="0" fontId="10" fillId="17" borderId="5" xfId="0" applyFont="1" applyFill="1" applyBorder="1" applyAlignment="1">
      <alignment horizontal="center" wrapText="1"/>
    </xf>
    <xf numFmtId="0" fontId="10" fillId="18" borderId="62" xfId="0" applyFont="1" applyFill="1" applyBorder="1" applyAlignment="1">
      <alignment horizontal="center" wrapText="1"/>
    </xf>
    <xf numFmtId="0" fontId="5" fillId="5" borderId="46" xfId="0" applyFont="1" applyFill="1" applyBorder="1" applyAlignment="1">
      <alignment horizontal="center" wrapText="1"/>
    </xf>
    <xf numFmtId="0" fontId="5" fillId="5" borderId="16"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47" xfId="0" applyFont="1" applyFill="1" applyBorder="1" applyAlignment="1">
      <alignment horizontal="center" vertical="center" wrapText="1"/>
    </xf>
    <xf numFmtId="0" fontId="5" fillId="5" borderId="16" xfId="0" applyFont="1" applyFill="1" applyBorder="1" applyAlignment="1">
      <alignment horizontal="center" wrapText="1"/>
    </xf>
    <xf numFmtId="0" fontId="5" fillId="5" borderId="14" xfId="0" applyFont="1" applyFill="1" applyBorder="1" applyAlignment="1">
      <alignment horizontal="center" wrapText="1"/>
    </xf>
    <xf numFmtId="0" fontId="5" fillId="5" borderId="47" xfId="0" applyFont="1" applyFill="1" applyBorder="1" applyAlignment="1">
      <alignment horizontal="center" wrapText="1"/>
    </xf>
    <xf numFmtId="0" fontId="44" fillId="9" borderId="46" xfId="0" applyFont="1" applyFill="1" applyBorder="1" applyAlignment="1">
      <alignment horizontal="left"/>
    </xf>
    <xf numFmtId="0" fontId="45" fillId="9" borderId="46" xfId="0" applyFont="1" applyFill="1" applyBorder="1" applyAlignment="1">
      <alignment horizontal="left"/>
    </xf>
    <xf numFmtId="0" fontId="44" fillId="12" borderId="55" xfId="0" applyFont="1" applyFill="1" applyBorder="1" applyAlignment="1">
      <alignment horizontal="center" vertical="center"/>
    </xf>
    <xf numFmtId="0" fontId="44" fillId="12" borderId="46" xfId="0" applyFont="1" applyFill="1" applyBorder="1" applyAlignment="1">
      <alignment horizontal="center" vertical="center"/>
    </xf>
    <xf numFmtId="0" fontId="5" fillId="83" borderId="46" xfId="0" applyFont="1" applyFill="1" applyBorder="1" applyAlignment="1">
      <alignment horizontal="center"/>
    </xf>
    <xf numFmtId="0" fontId="5" fillId="50" borderId="76" xfId="0" applyFont="1" applyFill="1" applyBorder="1" applyAlignment="1">
      <alignment horizontal="center"/>
    </xf>
    <xf numFmtId="0" fontId="5" fillId="50" borderId="36" xfId="0" applyFont="1" applyFill="1" applyBorder="1" applyAlignment="1">
      <alignment horizontal="center"/>
    </xf>
    <xf numFmtId="0" fontId="5" fillId="50" borderId="31" xfId="0" applyFont="1" applyFill="1" applyBorder="1" applyAlignment="1">
      <alignment horizontal="center"/>
    </xf>
    <xf numFmtId="0" fontId="5" fillId="50" borderId="28" xfId="0" applyFont="1" applyFill="1" applyBorder="1" applyAlignment="1">
      <alignment horizontal="center"/>
    </xf>
    <xf numFmtId="0" fontId="5" fillId="50" borderId="50" xfId="0" applyFont="1" applyFill="1" applyBorder="1" applyAlignment="1">
      <alignment horizontal="center"/>
    </xf>
    <xf numFmtId="0" fontId="5" fillId="50" borderId="52" xfId="0" applyFont="1" applyFill="1" applyBorder="1" applyAlignment="1">
      <alignment horizontal="center"/>
    </xf>
    <xf numFmtId="0" fontId="5" fillId="50" borderId="35" xfId="0" applyFont="1" applyFill="1" applyBorder="1" applyAlignment="1">
      <alignment horizontal="center"/>
    </xf>
    <xf numFmtId="0" fontId="5" fillId="50" borderId="45" xfId="0" applyFont="1" applyFill="1" applyAlignment="1">
      <alignment horizontal="center"/>
    </xf>
    <xf numFmtId="0" fontId="5" fillId="50" borderId="51" xfId="0" applyFont="1" applyFill="1" applyBorder="1" applyAlignment="1">
      <alignment horizontal="center"/>
    </xf>
    <xf numFmtId="0" fontId="5" fillId="68" borderId="76" xfId="0" applyFont="1" applyFill="1" applyBorder="1" applyAlignment="1">
      <alignment horizontal="center"/>
    </xf>
    <xf numFmtId="0" fontId="5" fillId="68" borderId="35" xfId="0" applyFont="1" applyFill="1" applyBorder="1" applyAlignment="1">
      <alignment horizontal="center"/>
    </xf>
    <xf numFmtId="0" fontId="5" fillId="68" borderId="36" xfId="0" applyFont="1" applyFill="1" applyBorder="1" applyAlignment="1">
      <alignment horizontal="center"/>
    </xf>
    <xf numFmtId="0" fontId="5" fillId="68" borderId="31" xfId="0" applyFont="1" applyFill="1" applyBorder="1" applyAlignment="1">
      <alignment horizontal="center"/>
    </xf>
    <xf numFmtId="0" fontId="5" fillId="68" borderId="45" xfId="0" applyFont="1" applyFill="1" applyAlignment="1">
      <alignment horizontal="center"/>
    </xf>
    <xf numFmtId="0" fontId="5" fillId="68" borderId="28" xfId="0" applyFont="1" applyFill="1" applyBorder="1" applyAlignment="1">
      <alignment horizontal="center"/>
    </xf>
    <xf numFmtId="0" fontId="5" fillId="68" borderId="50" xfId="0" applyFont="1" applyFill="1" applyBorder="1" applyAlignment="1">
      <alignment horizontal="center"/>
    </xf>
    <xf numFmtId="0" fontId="5" fillId="68" borderId="51" xfId="0" applyFont="1" applyFill="1" applyBorder="1" applyAlignment="1">
      <alignment horizontal="center"/>
    </xf>
    <xf numFmtId="0" fontId="5" fillId="68" borderId="52" xfId="0" applyFont="1" applyFill="1" applyBorder="1" applyAlignment="1">
      <alignment horizontal="center"/>
    </xf>
    <xf numFmtId="0" fontId="5" fillId="50" borderId="16" xfId="0" applyFont="1" applyFill="1" applyBorder="1"/>
    <xf numFmtId="0" fontId="5" fillId="50" borderId="14" xfId="0" applyFont="1" applyFill="1" applyBorder="1"/>
    <xf numFmtId="0" fontId="5" fillId="50" borderId="47" xfId="0" applyFont="1" applyFill="1" applyBorder="1"/>
    <xf numFmtId="0" fontId="0" fillId="50" borderId="16" xfId="0" applyFill="1" applyBorder="1"/>
    <xf numFmtId="0" fontId="0" fillId="50" borderId="14" xfId="0" applyFill="1" applyBorder="1"/>
    <xf numFmtId="0" fontId="0" fillId="50" borderId="47" xfId="0" applyFill="1" applyBorder="1"/>
    <xf numFmtId="0" fontId="4" fillId="0" borderId="45" xfId="0" applyFont="1"/>
    <xf numFmtId="0" fontId="12" fillId="36" borderId="16" xfId="0" applyFont="1" applyFill="1" applyBorder="1" applyAlignment="1">
      <alignment horizontal="center" vertical="center"/>
    </xf>
    <xf numFmtId="0" fontId="12" fillId="36" borderId="14" xfId="0" applyFont="1" applyFill="1" applyBorder="1" applyAlignment="1">
      <alignment horizontal="center" vertical="center"/>
    </xf>
    <xf numFmtId="0" fontId="12" fillId="36" borderId="47" xfId="0" applyFont="1" applyFill="1" applyBorder="1" applyAlignment="1">
      <alignment horizontal="center" vertical="center"/>
    </xf>
    <xf numFmtId="0" fontId="12" fillId="36" borderId="16" xfId="0" applyFont="1" applyFill="1" applyBorder="1" applyAlignment="1">
      <alignment horizontal="center"/>
    </xf>
    <xf numFmtId="0" fontId="12" fillId="36" borderId="14" xfId="0" applyFont="1" applyFill="1" applyBorder="1" applyAlignment="1">
      <alignment horizontal="center"/>
    </xf>
    <xf numFmtId="0" fontId="12" fillId="36" borderId="47" xfId="0" applyFont="1" applyFill="1" applyBorder="1" applyAlignment="1">
      <alignment horizontal="center"/>
    </xf>
    <xf numFmtId="0" fontId="4" fillId="24" borderId="46" xfId="0" applyFont="1" applyFill="1" applyBorder="1" applyAlignment="1">
      <alignment horizontal="center" vertical="center"/>
    </xf>
    <xf numFmtId="0" fontId="12" fillId="24" borderId="46" xfId="0" applyFont="1" applyFill="1" applyBorder="1" applyAlignment="1">
      <alignment horizontal="center" vertical="center"/>
    </xf>
    <xf numFmtId="0" fontId="0" fillId="83" borderId="46" xfId="0" applyFill="1" applyBorder="1"/>
    <xf numFmtId="0" fontId="0" fillId="80" borderId="76" xfId="0" applyFill="1" applyBorder="1"/>
    <xf numFmtId="0" fontId="0" fillId="80" borderId="36" xfId="0" applyFill="1" applyBorder="1"/>
    <xf numFmtId="0" fontId="0" fillId="80" borderId="31" xfId="0" applyFill="1" applyBorder="1"/>
    <xf numFmtId="0" fontId="0" fillId="80" borderId="28" xfId="0" applyFill="1" applyBorder="1"/>
    <xf numFmtId="0" fontId="0" fillId="80" borderId="35" xfId="0" applyFill="1" applyBorder="1"/>
    <xf numFmtId="0" fontId="0" fillId="80" borderId="45" xfId="0" applyFill="1"/>
    <xf numFmtId="0" fontId="0" fillId="80" borderId="94" xfId="0" applyFill="1" applyBorder="1"/>
    <xf numFmtId="0" fontId="0" fillId="80" borderId="8" xfId="0" applyFill="1" applyBorder="1"/>
    <xf numFmtId="0" fontId="0" fillId="80" borderId="16" xfId="0" applyFill="1" applyBorder="1"/>
    <xf numFmtId="0" fontId="0" fillId="80" borderId="14" xfId="0" applyFill="1" applyBorder="1"/>
    <xf numFmtId="0" fontId="0" fillId="50" borderId="76" xfId="0" applyFill="1" applyBorder="1"/>
    <xf numFmtId="0" fontId="0" fillId="50" borderId="36" xfId="0" applyFill="1" applyBorder="1"/>
    <xf numFmtId="0" fontId="0" fillId="50" borderId="31" xfId="0" applyFill="1" applyBorder="1"/>
    <xf numFmtId="0" fontId="0" fillId="50" borderId="28" xfId="0" applyFill="1" applyBorder="1"/>
    <xf numFmtId="0" fontId="0" fillId="50" borderId="50" xfId="0" applyFill="1" applyBorder="1"/>
    <xf numFmtId="0" fontId="0" fillId="50" borderId="52" xfId="0" applyFill="1" applyBorder="1"/>
    <xf numFmtId="0" fontId="0" fillId="50" borderId="35" xfId="0" applyFill="1" applyBorder="1"/>
    <xf numFmtId="0" fontId="0" fillId="50" borderId="45" xfId="0" applyFill="1"/>
    <xf numFmtId="0" fontId="0" fillId="50" borderId="51" xfId="0" applyFill="1" applyBorder="1"/>
    <xf numFmtId="0" fontId="5" fillId="49" borderId="76" xfId="0" applyFont="1" applyFill="1" applyBorder="1" applyAlignment="1">
      <alignment vertical="center"/>
    </xf>
    <xf numFmtId="0" fontId="5" fillId="49" borderId="36" xfId="0" applyFont="1" applyFill="1" applyBorder="1" applyAlignment="1">
      <alignment vertical="center"/>
    </xf>
    <xf numFmtId="0" fontId="5" fillId="49" borderId="31" xfId="0" applyFont="1" applyFill="1" applyBorder="1" applyAlignment="1">
      <alignment vertical="center"/>
    </xf>
    <xf numFmtId="0" fontId="5" fillId="49" borderId="28" xfId="0" applyFont="1" applyFill="1" applyBorder="1" applyAlignment="1">
      <alignment vertical="center"/>
    </xf>
    <xf numFmtId="0" fontId="5" fillId="49" borderId="50" xfId="0" applyFont="1" applyFill="1" applyBorder="1" applyAlignment="1">
      <alignment vertical="center"/>
    </xf>
    <xf numFmtId="0" fontId="5" fillId="49" borderId="52" xfId="0" applyFont="1" applyFill="1" applyBorder="1" applyAlignment="1">
      <alignment vertical="center"/>
    </xf>
    <xf numFmtId="0" fontId="5" fillId="49" borderId="76" xfId="0" applyFont="1" applyFill="1" applyBorder="1" applyAlignment="1">
      <alignment horizontal="left" vertical="center" wrapText="1"/>
    </xf>
    <xf numFmtId="0" fontId="5" fillId="49" borderId="35" xfId="0" applyFont="1" applyFill="1" applyBorder="1" applyAlignment="1">
      <alignment horizontal="left" vertical="center" wrapText="1"/>
    </xf>
    <xf numFmtId="0" fontId="5" fillId="49" borderId="36" xfId="0" applyFont="1" applyFill="1" applyBorder="1" applyAlignment="1">
      <alignment horizontal="left" vertical="center" wrapText="1"/>
    </xf>
    <xf numFmtId="0" fontId="5" fillId="49" borderId="31" xfId="0" applyFont="1" applyFill="1" applyBorder="1" applyAlignment="1">
      <alignment horizontal="left" vertical="center" wrapText="1"/>
    </xf>
    <xf numFmtId="0" fontId="5" fillId="49" borderId="45" xfId="0" applyFont="1" applyFill="1" applyAlignment="1">
      <alignment horizontal="left" vertical="center" wrapText="1"/>
    </xf>
    <xf numFmtId="0" fontId="5" fillId="49" borderId="28" xfId="0" applyFont="1" applyFill="1" applyBorder="1" applyAlignment="1">
      <alignment horizontal="left" vertical="center" wrapText="1"/>
    </xf>
    <xf numFmtId="0" fontId="5" fillId="49" borderId="50" xfId="0" applyFont="1" applyFill="1" applyBorder="1" applyAlignment="1">
      <alignment horizontal="left" vertical="center" wrapText="1"/>
    </xf>
    <xf numFmtId="0" fontId="5" fillId="49" borderId="51" xfId="0" applyFont="1" applyFill="1" applyBorder="1" applyAlignment="1">
      <alignment horizontal="left" vertical="center" wrapText="1"/>
    </xf>
    <xf numFmtId="0" fontId="5" fillId="49" borderId="52" xfId="0" applyFont="1" applyFill="1" applyBorder="1" applyAlignment="1">
      <alignment horizontal="left" vertical="center" wrapText="1"/>
    </xf>
    <xf numFmtId="0" fontId="5" fillId="49" borderId="16" xfId="0" applyFont="1" applyFill="1" applyBorder="1" applyAlignment="1">
      <alignment horizontal="left" vertical="center"/>
    </xf>
    <xf numFmtId="0" fontId="5" fillId="49" borderId="14" xfId="0" applyFont="1" applyFill="1" applyBorder="1" applyAlignment="1">
      <alignment horizontal="left" vertical="center"/>
    </xf>
    <xf numFmtId="0" fontId="5" fillId="49" borderId="47" xfId="0" applyFont="1" applyFill="1" applyBorder="1" applyAlignment="1">
      <alignment horizontal="left" vertical="center"/>
    </xf>
    <xf numFmtId="0" fontId="1" fillId="49" borderId="82" xfId="0" applyFont="1" applyFill="1" applyBorder="1" applyAlignment="1">
      <alignment horizontal="left" vertical="center" wrapText="1"/>
    </xf>
    <xf numFmtId="0" fontId="1" fillId="49" borderId="83" xfId="0" applyFont="1" applyFill="1" applyBorder="1" applyAlignment="1">
      <alignment horizontal="left" vertical="center" wrapText="1"/>
    </xf>
    <xf numFmtId="0" fontId="1" fillId="49" borderId="84" xfId="0" applyFont="1" applyFill="1" applyBorder="1" applyAlignment="1">
      <alignment horizontal="left" vertical="center" wrapText="1"/>
    </xf>
    <xf numFmtId="0" fontId="5" fillId="94" borderId="4" xfId="0" applyFont="1" applyFill="1" applyBorder="1" applyAlignment="1">
      <alignment horizontal="left" vertical="center" wrapText="1"/>
    </xf>
    <xf numFmtId="0" fontId="5" fillId="94" borderId="7" xfId="0" applyFont="1" applyFill="1" applyBorder="1" applyAlignment="1">
      <alignment horizontal="left" vertical="center" wrapText="1"/>
    </xf>
    <xf numFmtId="0" fontId="8" fillId="12" borderId="46" xfId="0" applyFont="1" applyFill="1" applyBorder="1" applyAlignment="1">
      <alignment horizontal="center"/>
    </xf>
    <xf numFmtId="0" fontId="72" fillId="9" borderId="62" xfId="0" applyFont="1" applyFill="1" applyBorder="1" applyAlignment="1">
      <alignment horizontal="left"/>
    </xf>
    <xf numFmtId="0" fontId="7" fillId="12" borderId="46" xfId="0" applyFont="1" applyFill="1" applyBorder="1" applyAlignment="1">
      <alignment horizontal="center" wrapText="1"/>
    </xf>
    <xf numFmtId="0" fontId="0" fillId="50" borderId="55" xfId="0" applyFill="1" applyBorder="1"/>
    <xf numFmtId="0" fontId="0" fillId="50" borderId="49" xfId="0" applyFill="1" applyBorder="1"/>
    <xf numFmtId="0" fontId="0" fillId="31" borderId="16" xfId="0" applyFill="1" applyBorder="1"/>
    <xf numFmtId="0" fontId="0" fillId="31" borderId="14" xfId="0" applyFill="1" applyBorder="1"/>
    <xf numFmtId="0" fontId="0" fillId="31" borderId="47" xfId="0" applyFill="1" applyBorder="1"/>
    <xf numFmtId="0" fontId="0" fillId="36" borderId="16" xfId="0" applyFill="1" applyBorder="1"/>
    <xf numFmtId="0" fontId="0" fillId="36" borderId="14" xfId="0" applyFill="1" applyBorder="1"/>
    <xf numFmtId="0" fontId="7" fillId="9" borderId="11" xfId="0" applyFont="1" applyFill="1" applyBorder="1" applyAlignment="1">
      <alignment horizontal="left"/>
    </xf>
    <xf numFmtId="0" fontId="28" fillId="12" borderId="55" xfId="0" applyFont="1" applyFill="1" applyBorder="1" applyAlignment="1">
      <alignment horizontal="center" vertical="center"/>
    </xf>
    <xf numFmtId="0" fontId="23" fillId="9" borderId="11" xfId="0" applyFont="1" applyFill="1" applyBorder="1" applyAlignment="1">
      <alignment horizontal="left"/>
    </xf>
    <xf numFmtId="0" fontId="0" fillId="31" borderId="76" xfId="0" applyFill="1" applyBorder="1" applyAlignment="1">
      <alignment horizontal="center" vertical="center"/>
    </xf>
    <xf numFmtId="0" fontId="0" fillId="31" borderId="36" xfId="0" applyFill="1" applyBorder="1" applyAlignment="1">
      <alignment horizontal="center" vertical="center"/>
    </xf>
    <xf numFmtId="0" fontId="0" fillId="31" borderId="31" xfId="0" applyFill="1" applyBorder="1" applyAlignment="1">
      <alignment horizontal="center" vertical="center"/>
    </xf>
    <xf numFmtId="0" fontId="0" fillId="31" borderId="28" xfId="0" applyFill="1" applyBorder="1" applyAlignment="1">
      <alignment horizontal="center" vertical="center"/>
    </xf>
    <xf numFmtId="0" fontId="0" fillId="31" borderId="35" xfId="0" applyFill="1" applyBorder="1" applyAlignment="1">
      <alignment horizontal="center" vertical="center"/>
    </xf>
    <xf numFmtId="0" fontId="0" fillId="31" borderId="45" xfId="0" applyFill="1" applyAlignment="1">
      <alignment horizontal="center" vertical="center"/>
    </xf>
    <xf numFmtId="0" fontId="0" fillId="31" borderId="16" xfId="0" applyFill="1" applyBorder="1" applyAlignment="1">
      <alignment horizontal="center" vertical="center"/>
    </xf>
    <xf numFmtId="0" fontId="0" fillId="31" borderId="14" xfId="0" applyFill="1" applyBorder="1" applyAlignment="1">
      <alignment horizontal="center" vertical="center"/>
    </xf>
    <xf numFmtId="0" fontId="0" fillId="73" borderId="46" xfId="0" applyFill="1" applyBorder="1" applyAlignment="1">
      <alignment horizontal="center" vertical="center"/>
    </xf>
    <xf numFmtId="0" fontId="0" fillId="31" borderId="16" xfId="0" applyFill="1" applyBorder="1" applyAlignment="1">
      <alignment horizontal="center" vertical="center" wrapText="1"/>
    </xf>
    <xf numFmtId="0" fontId="0" fillId="31" borderId="14" xfId="0" applyFill="1" applyBorder="1" applyAlignment="1">
      <alignment horizontal="center" vertical="center" wrapText="1"/>
    </xf>
    <xf numFmtId="0" fontId="0" fillId="31" borderId="47" xfId="0" applyFill="1" applyBorder="1" applyAlignment="1">
      <alignment horizontal="center" vertical="center" wrapText="1"/>
    </xf>
    <xf numFmtId="0" fontId="12" fillId="14" borderId="3" xfId="0" applyFont="1" applyFill="1" applyBorder="1" applyAlignment="1">
      <alignment wrapText="1"/>
    </xf>
    <xf numFmtId="0" fontId="12" fillId="38" borderId="79" xfId="0" applyFont="1" applyFill="1" applyBorder="1" applyAlignment="1">
      <alignment horizontal="center" vertical="center" wrapText="1"/>
    </xf>
    <xf numFmtId="0" fontId="12" fillId="38" borderId="14" xfId="0" applyFont="1" applyFill="1" applyBorder="1" applyAlignment="1">
      <alignment horizontal="center" vertical="center" wrapText="1"/>
    </xf>
    <xf numFmtId="0" fontId="12" fillId="38" borderId="47" xfId="0" applyFont="1" applyFill="1" applyBorder="1" applyAlignment="1">
      <alignment horizontal="center" vertical="center" wrapText="1"/>
    </xf>
    <xf numFmtId="0" fontId="12" fillId="38" borderId="16" xfId="0" applyFont="1" applyFill="1" applyBorder="1" applyAlignment="1">
      <alignment horizontal="center" vertical="center" wrapText="1"/>
    </xf>
    <xf numFmtId="0" fontId="0" fillId="36" borderId="16" xfId="0" applyFill="1" applyBorder="1" applyAlignment="1">
      <alignment horizontal="center" vertical="center"/>
    </xf>
    <xf numFmtId="0" fontId="0" fillId="36" borderId="47" xfId="0" applyFill="1" applyBorder="1" applyAlignment="1">
      <alignment horizontal="center" vertical="center"/>
    </xf>
    <xf numFmtId="0" fontId="7" fillId="12" borderId="55" xfId="0" applyFont="1" applyFill="1" applyBorder="1" applyAlignment="1">
      <alignment horizontal="center" wrapText="1"/>
    </xf>
    <xf numFmtId="0" fontId="53" fillId="83" borderId="46" xfId="0" applyFont="1" applyFill="1" applyBorder="1" applyAlignment="1">
      <alignment horizontal="center" vertical="center" wrapText="1"/>
    </xf>
    <xf numFmtId="0" fontId="5" fillId="49" borderId="93" xfId="0" applyFont="1" applyFill="1" applyBorder="1" applyAlignment="1">
      <alignment horizontal="center" vertical="center" wrapText="1"/>
    </xf>
    <xf numFmtId="0" fontId="5" fillId="49" borderId="26" xfId="0" applyFont="1" applyFill="1" applyBorder="1" applyAlignment="1">
      <alignment horizontal="center" vertical="center" wrapText="1"/>
    </xf>
    <xf numFmtId="0" fontId="53" fillId="49" borderId="80" xfId="0" applyFont="1" applyFill="1" applyBorder="1" applyAlignment="1">
      <alignment horizontal="center" vertical="center" wrapText="1"/>
    </xf>
    <xf numFmtId="0" fontId="53" fillId="49" borderId="35" xfId="0" applyFont="1" applyFill="1" applyBorder="1" applyAlignment="1">
      <alignment horizontal="center" vertical="center" wrapText="1"/>
    </xf>
    <xf numFmtId="0" fontId="53" fillId="49" borderId="36" xfId="0" applyFont="1" applyFill="1" applyBorder="1" applyAlignment="1">
      <alignment horizontal="center" vertical="center" wrapText="1"/>
    </xf>
    <xf numFmtId="0" fontId="53" fillId="49" borderId="56" xfId="0" applyFont="1" applyFill="1" applyBorder="1" applyAlignment="1">
      <alignment horizontal="center" vertical="center" wrapText="1"/>
    </xf>
    <xf numFmtId="0" fontId="53" fillId="49" borderId="45" xfId="0" applyFont="1" applyFill="1" applyAlignment="1">
      <alignment horizontal="center" vertical="center" wrapText="1"/>
    </xf>
    <xf numFmtId="0" fontId="53" fillId="49" borderId="28" xfId="0" applyFont="1" applyFill="1" applyBorder="1" applyAlignment="1">
      <alignment horizontal="center" vertical="center" wrapText="1"/>
    </xf>
    <xf numFmtId="0" fontId="12" fillId="31" borderId="16" xfId="0" applyFont="1" applyFill="1" applyBorder="1" applyAlignment="1">
      <alignment horizontal="center" vertical="center" wrapText="1"/>
    </xf>
    <xf numFmtId="0" fontId="12" fillId="31" borderId="14" xfId="0" applyFont="1" applyFill="1" applyBorder="1" applyAlignment="1">
      <alignment horizontal="center" vertical="center" wrapText="1"/>
    </xf>
    <xf numFmtId="0" fontId="12" fillId="31" borderId="47" xfId="0" applyFont="1" applyFill="1" applyBorder="1" applyAlignment="1">
      <alignment horizontal="center" vertical="center" wrapText="1"/>
    </xf>
    <xf numFmtId="0" fontId="0" fillId="80" borderId="87" xfId="0" applyFill="1" applyBorder="1" applyAlignment="1">
      <alignment horizontal="center" vertical="center" wrapText="1"/>
    </xf>
    <xf numFmtId="0" fontId="0" fillId="80" borderId="17" xfId="0" applyFill="1" applyBorder="1" applyAlignment="1">
      <alignment horizontal="center" vertical="center" wrapText="1"/>
    </xf>
    <xf numFmtId="0" fontId="0" fillId="80" borderId="71" xfId="0" applyFill="1" applyBorder="1" applyAlignment="1">
      <alignment horizontal="center" vertical="center" wrapText="1"/>
    </xf>
    <xf numFmtId="0" fontId="0" fillId="80" borderId="10" xfId="0" applyFill="1" applyBorder="1" applyAlignment="1">
      <alignment horizontal="center" vertical="center" wrapText="1"/>
    </xf>
    <xf numFmtId="0" fontId="0" fillId="80" borderId="76" xfId="0" applyFill="1" applyBorder="1" applyAlignment="1">
      <alignment horizontal="center" vertical="center" wrapText="1"/>
    </xf>
    <xf numFmtId="0" fontId="0" fillId="80" borderId="35" xfId="0" applyFill="1" applyBorder="1" applyAlignment="1">
      <alignment horizontal="center" vertical="center" wrapText="1"/>
    </xf>
    <xf numFmtId="0" fontId="0" fillId="80" borderId="36" xfId="0" applyFill="1" applyBorder="1" applyAlignment="1">
      <alignment horizontal="center" vertical="center" wrapText="1"/>
    </xf>
    <xf numFmtId="0" fontId="0" fillId="80" borderId="31" xfId="0" applyFill="1" applyBorder="1" applyAlignment="1">
      <alignment horizontal="center" vertical="center" wrapText="1"/>
    </xf>
    <xf numFmtId="0" fontId="0" fillId="80" borderId="4" xfId="0" applyFill="1" applyBorder="1" applyAlignment="1">
      <alignment horizontal="center" vertical="center" wrapText="1"/>
    </xf>
    <xf numFmtId="0" fontId="0" fillId="80" borderId="42" xfId="0" applyFill="1" applyBorder="1" applyAlignment="1">
      <alignment horizontal="center" vertical="center" wrapText="1"/>
    </xf>
    <xf numFmtId="0" fontId="0" fillId="80" borderId="96" xfId="0" applyFill="1" applyBorder="1" applyAlignment="1">
      <alignment horizontal="center" vertical="center" wrapText="1"/>
    </xf>
    <xf numFmtId="0" fontId="0" fillId="68" borderId="87" xfId="0" applyFill="1" applyBorder="1" applyAlignment="1">
      <alignment horizontal="center" vertical="center" wrapText="1"/>
    </xf>
    <xf numFmtId="0" fontId="0" fillId="68" borderId="17" xfId="0" applyFill="1" applyBorder="1" applyAlignment="1">
      <alignment horizontal="center" vertical="center" wrapText="1"/>
    </xf>
    <xf numFmtId="0" fontId="0" fillId="68" borderId="65" xfId="0" applyFill="1" applyBorder="1" applyAlignment="1">
      <alignment horizontal="center" vertical="center" wrapText="1"/>
    </xf>
    <xf numFmtId="0" fontId="0" fillId="68" borderId="8" xfId="0" applyFill="1" applyBorder="1" applyAlignment="1">
      <alignment horizontal="center" vertical="center" wrapText="1"/>
    </xf>
    <xf numFmtId="0" fontId="0" fillId="68" borderId="66" xfId="0" applyFill="1" applyBorder="1" applyAlignment="1">
      <alignment horizontal="center" vertical="center" wrapText="1"/>
    </xf>
    <xf numFmtId="0" fontId="0" fillId="68" borderId="9" xfId="0" applyFill="1" applyBorder="1" applyAlignment="1">
      <alignment horizontal="center" vertical="center" wrapText="1"/>
    </xf>
    <xf numFmtId="0" fontId="0" fillId="68" borderId="71" xfId="0" applyFill="1" applyBorder="1" applyAlignment="1">
      <alignment horizontal="center" vertical="center" wrapText="1"/>
    </xf>
    <xf numFmtId="0" fontId="0" fillId="68" borderId="10" xfId="0" applyFill="1" applyBorder="1" applyAlignment="1">
      <alignment horizontal="center" vertical="center" wrapText="1"/>
    </xf>
    <xf numFmtId="0" fontId="0" fillId="68" borderId="56" xfId="0" applyFill="1" applyBorder="1" applyAlignment="1">
      <alignment horizontal="center" vertical="center" wrapText="1"/>
    </xf>
    <xf numFmtId="0" fontId="0" fillId="68" borderId="54" xfId="0" applyFill="1" applyBorder="1" applyAlignment="1">
      <alignment horizontal="center" vertical="center" wrapText="1"/>
    </xf>
    <xf numFmtId="0" fontId="0" fillId="68" borderId="15" xfId="0" applyFill="1" applyBorder="1" applyAlignment="1">
      <alignment horizontal="center" vertical="center" wrapText="1"/>
    </xf>
    <xf numFmtId="0" fontId="0" fillId="68" borderId="81" xfId="0" applyFill="1" applyBorder="1" applyAlignment="1">
      <alignment horizontal="center" vertical="center" wrapText="1"/>
    </xf>
    <xf numFmtId="0" fontId="0" fillId="68" borderId="95" xfId="0" applyFill="1" applyBorder="1" applyAlignment="1">
      <alignment horizontal="center" vertical="center" wrapText="1"/>
    </xf>
    <xf numFmtId="0" fontId="0" fillId="68" borderId="4" xfId="0" applyFill="1" applyBorder="1" applyAlignment="1">
      <alignment horizontal="center" vertical="center" wrapText="1"/>
    </xf>
    <xf numFmtId="0" fontId="0" fillId="68" borderId="7" xfId="0" applyFill="1" applyBorder="1" applyAlignment="1">
      <alignment horizontal="center" vertical="center" wrapText="1"/>
    </xf>
    <xf numFmtId="0" fontId="0" fillId="68" borderId="5" xfId="0" applyFill="1" applyBorder="1" applyAlignment="1">
      <alignment horizontal="center" vertical="center" wrapText="1"/>
    </xf>
    <xf numFmtId="0" fontId="0" fillId="68" borderId="55" xfId="0" applyFill="1" applyBorder="1"/>
    <xf numFmtId="0" fontId="0" fillId="68" borderId="49" xfId="0" applyFill="1" applyBorder="1"/>
    <xf numFmtId="0" fontId="7" fillId="12" borderId="46" xfId="0" applyFont="1" applyFill="1" applyBorder="1" applyAlignment="1">
      <alignment horizontal="center" vertical="center" wrapText="1"/>
    </xf>
    <xf numFmtId="0" fontId="0" fillId="69" borderId="16" xfId="0" applyFill="1" applyBorder="1"/>
    <xf numFmtId="0" fontId="0" fillId="69" borderId="14" xfId="0" applyFill="1" applyBorder="1"/>
    <xf numFmtId="0" fontId="0" fillId="69" borderId="47" xfId="0" applyFill="1" applyBorder="1"/>
    <xf numFmtId="0" fontId="1" fillId="0" borderId="16" xfId="0" applyFont="1" applyBorder="1" applyAlignment="1">
      <alignment horizontal="center" vertical="center" wrapText="1"/>
    </xf>
    <xf numFmtId="0" fontId="12" fillId="0" borderId="16" xfId="0" applyFont="1" applyBorder="1"/>
    <xf numFmtId="0" fontId="12" fillId="0" borderId="47" xfId="0" applyFont="1" applyBorder="1"/>
    <xf numFmtId="0" fontId="22" fillId="18" borderId="46" xfId="0" applyFont="1" applyFill="1" applyBorder="1" applyAlignment="1">
      <alignment horizontal="center"/>
    </xf>
    <xf numFmtId="0" fontId="22" fillId="16" borderId="46" xfId="0" applyFont="1" applyFill="1" applyBorder="1" applyAlignment="1">
      <alignment horizontal="center"/>
    </xf>
    <xf numFmtId="0" fontId="8" fillId="12" borderId="10" xfId="0" applyFont="1" applyFill="1" applyBorder="1" applyAlignment="1">
      <alignment horizontal="center"/>
    </xf>
    <xf numFmtId="0" fontId="7" fillId="12" borderId="17" xfId="0" applyFont="1" applyFill="1" applyBorder="1" applyAlignment="1">
      <alignment horizontal="center"/>
    </xf>
    <xf numFmtId="0" fontId="0" fillId="68" borderId="55" xfId="0" applyFill="1" applyBorder="1" applyAlignment="1">
      <alignment horizontal="center" vertical="center"/>
    </xf>
    <xf numFmtId="0" fontId="0" fillId="68" borderId="49" xfId="0" applyFill="1" applyBorder="1" applyAlignment="1">
      <alignment horizontal="center" vertical="center"/>
    </xf>
    <xf numFmtId="0" fontId="0" fillId="68" borderId="48" xfId="0" applyFill="1" applyBorder="1" applyAlignment="1">
      <alignment horizontal="center" vertical="center"/>
    </xf>
    <xf numFmtId="0" fontId="0" fillId="63" borderId="55" xfId="0" applyFill="1" applyBorder="1" applyAlignment="1">
      <alignment horizontal="center" vertical="center"/>
    </xf>
    <xf numFmtId="0" fontId="0" fillId="63" borderId="49" xfId="0" applyFill="1" applyBorder="1" applyAlignment="1">
      <alignment horizontal="center" vertical="center"/>
    </xf>
    <xf numFmtId="0" fontId="0" fillId="63" borderId="48" xfId="0" applyFill="1" applyBorder="1" applyAlignment="1">
      <alignment horizontal="center" vertical="center"/>
    </xf>
    <xf numFmtId="0" fontId="0" fillId="83" borderId="55" xfId="0" applyFill="1" applyBorder="1" applyAlignment="1">
      <alignment horizontal="center" vertical="center"/>
    </xf>
    <xf numFmtId="0" fontId="0" fillId="83" borderId="49" xfId="0" applyFill="1" applyBorder="1" applyAlignment="1">
      <alignment horizontal="center" vertical="center"/>
    </xf>
    <xf numFmtId="0" fontId="0" fillId="83" borderId="48" xfId="0" applyFill="1" applyBorder="1" applyAlignment="1">
      <alignment horizontal="center" vertical="center"/>
    </xf>
    <xf numFmtId="0" fontId="0" fillId="109" borderId="55" xfId="0" applyFill="1" applyBorder="1" applyAlignment="1">
      <alignment horizontal="center" vertical="center"/>
    </xf>
    <xf numFmtId="0" fontId="0" fillId="109" borderId="49" xfId="0" applyFill="1" applyBorder="1" applyAlignment="1">
      <alignment horizontal="center" vertical="center"/>
    </xf>
    <xf numFmtId="0" fontId="0" fillId="109" borderId="48" xfId="0" applyFill="1" applyBorder="1" applyAlignment="1">
      <alignment horizontal="center" vertical="center"/>
    </xf>
    <xf numFmtId="0" fontId="12" fillId="24" borderId="46" xfId="0" applyFont="1" applyFill="1" applyBorder="1" applyAlignment="1">
      <alignment horizontal="left"/>
    </xf>
    <xf numFmtId="0" fontId="4" fillId="24" borderId="46" xfId="0" applyFont="1" applyFill="1" applyBorder="1" applyAlignment="1">
      <alignment horizontal="left"/>
    </xf>
    <xf numFmtId="0" fontId="1" fillId="52" borderId="43" xfId="0" applyFont="1" applyFill="1" applyBorder="1" applyAlignment="1">
      <alignment horizontal="center" vertical="center" wrapText="1"/>
    </xf>
    <xf numFmtId="0" fontId="0" fillId="0" borderId="44" xfId="0" applyBorder="1"/>
    <xf numFmtId="0" fontId="1" fillId="52" borderId="46" xfId="0" applyFont="1" applyFill="1" applyBorder="1" applyAlignment="1">
      <alignment horizontal="center" vertical="center" wrapText="1"/>
    </xf>
    <xf numFmtId="0" fontId="7" fillId="12" borderId="46" xfId="0" applyFont="1" applyFill="1" applyBorder="1" applyAlignment="1">
      <alignment horizontal="center"/>
    </xf>
    <xf numFmtId="0" fontId="5" fillId="49" borderId="94" xfId="0" applyFont="1" applyFill="1" applyBorder="1" applyAlignment="1">
      <alignment horizontal="center" vertical="center" wrapText="1"/>
    </xf>
    <xf numFmtId="0" fontId="8" fillId="0" borderId="16" xfId="0" applyFont="1" applyBorder="1" applyAlignment="1">
      <alignment horizontal="center" vertical="center" wrapText="1"/>
    </xf>
    <xf numFmtId="0" fontId="10" fillId="18" borderId="5" xfId="0" applyFont="1" applyFill="1" applyBorder="1" applyAlignment="1">
      <alignment horizontal="center" wrapText="1"/>
    </xf>
    <xf numFmtId="0" fontId="37" fillId="14" borderId="46" xfId="0" applyFont="1" applyFill="1" applyBorder="1" applyAlignment="1">
      <alignment horizontal="center" wrapText="1"/>
    </xf>
    <xf numFmtId="0" fontId="10" fillId="16" borderId="5" xfId="0" applyFont="1" applyFill="1" applyBorder="1" applyAlignment="1">
      <alignment horizontal="center"/>
    </xf>
    <xf numFmtId="0" fontId="10" fillId="18" borderId="7" xfId="0" applyFont="1" applyFill="1" applyBorder="1" applyAlignment="1">
      <alignment horizontal="center"/>
    </xf>
    <xf numFmtId="0" fontId="37" fillId="24" borderId="62" xfId="0" applyFont="1" applyFill="1" applyBorder="1" applyAlignment="1">
      <alignment wrapText="1"/>
    </xf>
    <xf numFmtId="0" fontId="11" fillId="12" borderId="55" xfId="0" applyFont="1" applyFill="1" applyBorder="1" applyAlignment="1">
      <alignment horizontal="center" vertical="center"/>
    </xf>
    <xf numFmtId="0" fontId="5" fillId="78" borderId="76" xfId="0" applyFont="1" applyFill="1" applyBorder="1" applyAlignment="1">
      <alignment horizontal="center" vertical="center" wrapText="1"/>
    </xf>
    <xf numFmtId="0" fontId="5" fillId="78" borderId="36" xfId="0" applyFont="1" applyFill="1" applyBorder="1" applyAlignment="1">
      <alignment horizontal="center" vertical="center" wrapText="1"/>
    </xf>
    <xf numFmtId="0" fontId="5" fillId="78" borderId="50" xfId="0" applyFont="1" applyFill="1" applyBorder="1" applyAlignment="1">
      <alignment horizontal="center" vertical="center" wrapText="1"/>
    </xf>
    <xf numFmtId="0" fontId="5" fillId="78" borderId="52" xfId="0" applyFont="1" applyFill="1" applyBorder="1" applyAlignment="1">
      <alignment horizontal="center" vertical="center" wrapText="1"/>
    </xf>
    <xf numFmtId="0" fontId="5" fillId="78" borderId="35" xfId="0" applyFont="1" applyFill="1" applyBorder="1" applyAlignment="1">
      <alignment horizontal="center" vertical="center" wrapText="1"/>
    </xf>
    <xf numFmtId="0" fontId="5" fillId="78" borderId="51" xfId="0" applyFont="1" applyFill="1" applyBorder="1" applyAlignment="1">
      <alignment horizontal="center" vertical="center" wrapText="1"/>
    </xf>
    <xf numFmtId="0" fontId="5" fillId="78" borderId="16" xfId="0" applyFont="1" applyFill="1" applyBorder="1" applyAlignment="1">
      <alignment horizontal="center" vertical="center" wrapText="1"/>
    </xf>
    <xf numFmtId="0" fontId="5" fillId="78" borderId="47" xfId="0" applyFont="1" applyFill="1" applyBorder="1" applyAlignment="1">
      <alignment horizontal="center" vertical="center" wrapText="1"/>
    </xf>
    <xf numFmtId="0" fontId="1" fillId="78" borderId="16" xfId="0" applyFont="1" applyFill="1" applyBorder="1" applyAlignment="1">
      <alignment horizontal="center" vertical="center" wrapText="1"/>
    </xf>
    <xf numFmtId="0" fontId="1" fillId="78" borderId="47" xfId="0" applyFont="1" applyFill="1" applyBorder="1" applyAlignment="1">
      <alignment horizontal="center" vertical="center" wrapText="1"/>
    </xf>
    <xf numFmtId="0" fontId="31" fillId="78" borderId="14" xfId="0" applyFont="1" applyFill="1" applyBorder="1" applyAlignment="1">
      <alignment horizontal="center" vertical="center" wrapText="1"/>
    </xf>
    <xf numFmtId="0" fontId="31" fillId="78" borderId="47" xfId="0" applyFont="1" applyFill="1" applyBorder="1" applyAlignment="1">
      <alignment horizontal="center" vertical="center" wrapText="1"/>
    </xf>
    <xf numFmtId="0" fontId="5" fillId="68" borderId="55" xfId="0" applyFont="1" applyFill="1" applyBorder="1" applyAlignment="1">
      <alignment horizontal="center" vertical="center" wrapText="1"/>
    </xf>
    <xf numFmtId="0" fontId="5" fillId="68" borderId="49" xfId="0" applyFont="1" applyFill="1" applyBorder="1" applyAlignment="1">
      <alignment horizontal="center" vertical="center" wrapText="1"/>
    </xf>
    <xf numFmtId="0" fontId="5" fillId="68" borderId="48" xfId="0" applyFont="1" applyFill="1" applyBorder="1" applyAlignment="1">
      <alignment horizontal="center" vertical="center" wrapText="1"/>
    </xf>
    <xf numFmtId="0" fontId="5" fillId="81" borderId="55" xfId="0" applyFont="1" applyFill="1" applyBorder="1" applyAlignment="1">
      <alignment horizontal="center" vertical="center" wrapText="1"/>
    </xf>
    <xf numFmtId="0" fontId="5" fillId="81" borderId="49" xfId="0" applyFont="1" applyFill="1" applyBorder="1" applyAlignment="1">
      <alignment horizontal="center" vertical="center" wrapText="1"/>
    </xf>
    <xf numFmtId="0" fontId="5" fillId="81" borderId="48" xfId="0" applyFont="1" applyFill="1" applyBorder="1" applyAlignment="1">
      <alignment horizontal="center" vertical="center" wrapText="1"/>
    </xf>
    <xf numFmtId="0" fontId="1" fillId="36" borderId="16" xfId="0" applyFont="1" applyFill="1" applyBorder="1" applyAlignment="1">
      <alignment horizontal="center" vertical="center" wrapText="1"/>
    </xf>
    <xf numFmtId="0" fontId="1" fillId="36" borderId="47" xfId="0" applyFont="1" applyFill="1" applyBorder="1" applyAlignment="1">
      <alignment horizontal="center" vertical="center" wrapText="1"/>
    </xf>
    <xf numFmtId="0" fontId="30" fillId="48" borderId="16" xfId="0" applyFont="1" applyFill="1" applyBorder="1" applyAlignment="1">
      <alignment horizontal="center" vertical="center" wrapText="1"/>
    </xf>
    <xf numFmtId="0" fontId="5" fillId="82" borderId="55" xfId="0" applyFont="1" applyFill="1" applyBorder="1" applyAlignment="1">
      <alignment horizontal="center" vertical="center" wrapText="1"/>
    </xf>
    <xf numFmtId="0" fontId="5" fillId="82" borderId="48" xfId="0" applyFont="1" applyFill="1" applyBorder="1" applyAlignment="1">
      <alignment horizontal="center" vertical="center" wrapText="1"/>
    </xf>
    <xf numFmtId="0" fontId="5" fillId="82" borderId="49" xfId="0" applyFont="1" applyFill="1" applyBorder="1" applyAlignment="1">
      <alignment horizontal="center" vertical="center" wrapText="1"/>
    </xf>
    <xf numFmtId="0" fontId="0" fillId="49" borderId="55" xfId="0" applyFill="1" applyBorder="1"/>
    <xf numFmtId="0" fontId="0" fillId="49" borderId="49" xfId="0" applyFill="1" applyBorder="1"/>
    <xf numFmtId="0" fontId="5" fillId="63" borderId="50" xfId="0" applyFont="1" applyFill="1" applyBorder="1" applyAlignment="1">
      <alignment horizontal="center" vertical="center" wrapText="1"/>
    </xf>
    <xf numFmtId="0" fontId="5" fillId="63" borderId="52" xfId="0" applyFont="1" applyFill="1" applyBorder="1" applyAlignment="1">
      <alignment horizontal="center" vertical="center" wrapText="1"/>
    </xf>
    <xf numFmtId="0" fontId="5" fillId="98" borderId="6" xfId="0" applyFont="1" applyFill="1" applyBorder="1"/>
    <xf numFmtId="0" fontId="5" fillId="98" borderId="3" xfId="0" applyFont="1" applyFill="1" applyBorder="1"/>
    <xf numFmtId="0" fontId="5" fillId="49" borderId="55" xfId="0" applyFont="1" applyFill="1" applyBorder="1" applyAlignment="1">
      <alignment horizontal="center" vertical="center" wrapText="1"/>
    </xf>
    <xf numFmtId="0" fontId="5" fillId="49" borderId="48" xfId="0" applyFont="1" applyFill="1" applyBorder="1" applyAlignment="1">
      <alignment horizontal="center" vertical="center" wrapText="1"/>
    </xf>
    <xf numFmtId="0" fontId="5" fillId="49" borderId="55" xfId="0" applyFont="1" applyFill="1" applyBorder="1" applyAlignment="1">
      <alignment horizontal="center" vertical="center"/>
    </xf>
    <xf numFmtId="0" fontId="5" fillId="49" borderId="49" xfId="0" applyFont="1" applyFill="1" applyBorder="1" applyAlignment="1">
      <alignment horizontal="center" vertical="center"/>
    </xf>
    <xf numFmtId="0" fontId="5" fillId="49" borderId="97" xfId="0" applyFont="1" applyFill="1" applyBorder="1" applyAlignment="1">
      <alignment horizontal="center" vertical="center" wrapText="1"/>
    </xf>
    <xf numFmtId="0" fontId="1" fillId="48" borderId="46" xfId="0" applyFont="1" applyFill="1" applyBorder="1" applyAlignment="1">
      <alignment horizontal="center" vertical="center" wrapText="1"/>
    </xf>
    <xf numFmtId="0" fontId="5" fillId="98" borderId="46" xfId="0" applyFont="1" applyFill="1" applyBorder="1" applyAlignment="1">
      <alignment horizontal="center" vertical="center" wrapText="1"/>
    </xf>
    <xf numFmtId="0" fontId="5" fillId="63" borderId="51" xfId="0" applyFont="1" applyFill="1" applyBorder="1" applyAlignment="1">
      <alignment horizontal="center" vertical="center" wrapText="1"/>
    </xf>
    <xf numFmtId="0" fontId="5" fillId="50" borderId="46" xfId="0" applyFont="1" applyFill="1" applyBorder="1" applyAlignment="1">
      <alignment horizontal="left" vertical="center" wrapText="1"/>
    </xf>
    <xf numFmtId="0" fontId="5" fillId="50" borderId="46" xfId="0" applyFont="1" applyFill="1" applyBorder="1" applyAlignment="1">
      <alignment horizontal="center" vertical="center" wrapText="1"/>
    </xf>
    <xf numFmtId="0" fontId="5" fillId="94" borderId="46" xfId="0" applyFont="1" applyFill="1" applyBorder="1" applyAlignment="1">
      <alignment horizontal="left" vertical="center" wrapText="1"/>
    </xf>
    <xf numFmtId="0" fontId="5" fillId="49" borderId="46" xfId="0" applyFont="1" applyFill="1" applyBorder="1" applyAlignment="1">
      <alignment horizontal="left" vertical="center"/>
    </xf>
    <xf numFmtId="0" fontId="1" fillId="49" borderId="46" xfId="0" applyFont="1" applyFill="1" applyBorder="1" applyAlignment="1">
      <alignment horizontal="left" vertical="center" wrapText="1"/>
    </xf>
    <xf numFmtId="0" fontId="12" fillId="0" borderId="76"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28" xfId="0" applyFont="1" applyBorder="1" applyAlignment="1">
      <alignment horizontal="center" vertical="center" wrapText="1"/>
    </xf>
    <xf numFmtId="0" fontId="69" fillId="36" borderId="16" xfId="0" applyFont="1" applyFill="1" applyBorder="1" applyAlignment="1">
      <alignment horizontal="center"/>
    </xf>
    <xf numFmtId="0" fontId="69" fillId="36" borderId="47" xfId="0" applyFont="1" applyFill="1" applyBorder="1" applyAlignment="1">
      <alignment horizontal="center"/>
    </xf>
    <xf numFmtId="0" fontId="5" fillId="68" borderId="46" xfId="0" applyFont="1" applyFill="1" applyBorder="1" applyAlignment="1">
      <alignment horizontal="left" vertical="center" wrapText="1"/>
    </xf>
    <xf numFmtId="0" fontId="5" fillId="49" borderId="11" xfId="0" applyFont="1" applyFill="1" applyBorder="1" applyAlignment="1">
      <alignment horizontal="center" vertical="center" wrapText="1"/>
    </xf>
    <xf numFmtId="0" fontId="0" fillId="0" borderId="35" xfId="0" applyBorder="1" applyAlignment="1">
      <alignment wrapText="1"/>
    </xf>
    <xf numFmtId="0" fontId="0" fillId="0" borderId="31" xfId="0" applyBorder="1" applyAlignment="1">
      <alignment wrapText="1"/>
    </xf>
    <xf numFmtId="0" fontId="0" fillId="0" borderId="0" xfId="0" applyBorder="1" applyAlignment="1">
      <alignment wrapText="1"/>
    </xf>
    <xf numFmtId="0" fontId="0" fillId="0" borderId="45" xfId="0" applyAlignment="1">
      <alignment wrapText="1"/>
    </xf>
    <xf numFmtId="0" fontId="0" fillId="0" borderId="13" xfId="0" applyBorder="1" applyAlignment="1">
      <alignment wrapText="1"/>
    </xf>
    <xf numFmtId="0" fontId="0" fillId="0" borderId="32" xfId="0" applyBorder="1" applyAlignment="1">
      <alignment wrapText="1"/>
    </xf>
    <xf numFmtId="0" fontId="0" fillId="0" borderId="51" xfId="0" applyBorder="1" applyAlignment="1">
      <alignment wrapText="1"/>
    </xf>
    <xf numFmtId="0" fontId="5" fillId="94" borderId="71" xfId="0" applyFont="1" applyFill="1" applyBorder="1" applyAlignment="1">
      <alignment horizontal="center" vertical="center" wrapText="1"/>
    </xf>
    <xf numFmtId="0" fontId="5" fillId="94" borderId="17" xfId="0" applyFont="1" applyFill="1" applyBorder="1" applyAlignment="1">
      <alignment horizontal="center" vertical="center" wrapText="1"/>
    </xf>
    <xf numFmtId="0" fontId="5" fillId="94" borderId="56" xfId="0" applyFont="1" applyFill="1" applyBorder="1" applyAlignment="1">
      <alignment horizontal="center" vertical="center" wrapText="1"/>
    </xf>
    <xf numFmtId="0" fontId="5" fillId="94" borderId="8" xfId="0" applyFont="1" applyFill="1" applyBorder="1" applyAlignment="1">
      <alignment horizontal="center" vertical="center" wrapText="1"/>
    </xf>
    <xf numFmtId="0" fontId="5" fillId="94" borderId="54" xfId="0" applyFont="1" applyFill="1" applyBorder="1" applyAlignment="1">
      <alignment horizontal="center" vertical="center" wrapText="1"/>
    </xf>
    <xf numFmtId="0" fontId="5" fillId="94" borderId="9" xfId="0" applyFont="1" applyFill="1" applyBorder="1" applyAlignment="1">
      <alignment horizontal="center" vertical="center" wrapText="1"/>
    </xf>
    <xf numFmtId="0" fontId="0" fillId="0" borderId="14" xfId="0" applyBorder="1" applyAlignment="1">
      <alignment wrapText="1"/>
    </xf>
    <xf numFmtId="0" fontId="0" fillId="0" borderId="12" xfId="0" applyBorder="1" applyAlignment="1">
      <alignment wrapText="1"/>
    </xf>
    <xf numFmtId="0" fontId="1" fillId="49" borderId="11" xfId="0" applyFont="1" applyFill="1" applyBorder="1" applyAlignment="1">
      <alignment horizontal="center" vertical="center" wrapText="1"/>
    </xf>
    <xf numFmtId="0" fontId="7" fillId="9" borderId="4" xfId="0" applyFont="1" applyFill="1" applyBorder="1" applyAlignment="1">
      <alignment horizontal="left"/>
    </xf>
    <xf numFmtId="0" fontId="5" fillId="37" borderId="45" xfId="0" applyFont="1" applyFill="1"/>
    <xf numFmtId="0" fontId="0" fillId="0" borderId="26" xfId="0" applyBorder="1"/>
    <xf numFmtId="0" fontId="1" fillId="37" borderId="50" xfId="0" applyFont="1" applyFill="1" applyBorder="1" applyAlignment="1">
      <alignment horizontal="center" vertical="center" wrapText="1"/>
    </xf>
    <xf numFmtId="0" fontId="1" fillId="37" borderId="52" xfId="0" applyFont="1" applyFill="1" applyBorder="1" applyAlignment="1">
      <alignment horizontal="center" vertical="center" wrapText="1"/>
    </xf>
    <xf numFmtId="0" fontId="1" fillId="37" borderId="47" xfId="0" applyFont="1" applyFill="1" applyBorder="1" applyAlignment="1">
      <alignment horizontal="center" vertical="center" wrapText="1"/>
    </xf>
    <xf numFmtId="0" fontId="12" fillId="37" borderId="47" xfId="0" applyFont="1" applyFill="1" applyBorder="1" applyAlignment="1">
      <alignment horizontal="center" vertical="center" wrapText="1"/>
    </xf>
    <xf numFmtId="0" fontId="5" fillId="37" borderId="47" xfId="0" applyFont="1" applyFill="1" applyBorder="1" applyAlignment="1">
      <alignment horizontal="center" vertical="center"/>
    </xf>
    <xf numFmtId="0" fontId="66" fillId="90" borderId="45" xfId="0" applyFont="1" applyFill="1"/>
    <xf numFmtId="0" fontId="0" fillId="0" borderId="46" xfId="0" applyBorder="1" applyAlignment="1">
      <alignment horizontal="center"/>
    </xf>
    <xf numFmtId="0" fontId="0" fillId="0" borderId="45" xfId="0" applyAlignment="1">
      <alignment horizontal="center"/>
    </xf>
    <xf numFmtId="0" fontId="66" fillId="87" borderId="45" xfId="0" applyFont="1" applyFill="1"/>
    <xf numFmtId="0" fontId="66" fillId="89" borderId="45" xfId="0" applyFont="1" applyFill="1"/>
    <xf numFmtId="0" fontId="66" fillId="84" borderId="45" xfId="0" applyFont="1" applyFill="1"/>
    <xf numFmtId="0" fontId="66" fillId="88" borderId="45" xfId="0" applyFont="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276044</xdr:colOff>
      <xdr:row>5</xdr:row>
      <xdr:rowOff>2</xdr:rowOff>
    </xdr:from>
    <xdr:to>
      <xdr:col>36</xdr:col>
      <xdr:colOff>694066</xdr:colOff>
      <xdr:row>83</xdr:row>
      <xdr:rowOff>158150</xdr:rowOff>
    </xdr:to>
    <xdr:pic>
      <xdr:nvPicPr>
        <xdr:cNvPr id="3" name="Gráfico 2">
          <a:extLst>
            <a:ext uri="{FF2B5EF4-FFF2-40B4-BE49-F238E27FC236}">
              <a16:creationId xmlns:a16="http://schemas.microsoft.com/office/drawing/2014/main" id="{0ED9FE56-C12E-86DA-0D52-81F0B67493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26612" y="1035170"/>
          <a:ext cx="28022550" cy="16306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ummaryRight="0"/>
  </sheetPr>
  <dimension ref="A1:Z1000"/>
  <sheetViews>
    <sheetView tabSelected="1" zoomScale="25" zoomScaleNormal="25" workbookViewId="0"/>
  </sheetViews>
  <sheetFormatPr baseColWidth="10" defaultColWidth="12.625" defaultRowHeight="15.8" customHeight="1"/>
  <sheetData>
    <row r="1" spans="1:26">
      <c r="A1" s="1" t="s">
        <v>19</v>
      </c>
      <c r="B1" s="58"/>
      <c r="C1" s="58"/>
      <c r="D1" s="58"/>
      <c r="E1" s="58"/>
      <c r="F1" s="58"/>
      <c r="G1" s="58"/>
      <c r="H1" s="58"/>
      <c r="I1" s="58"/>
      <c r="J1" s="58"/>
      <c r="K1" s="58"/>
      <c r="L1" s="58"/>
      <c r="M1" s="58"/>
      <c r="N1" s="58"/>
      <c r="O1" s="58"/>
      <c r="P1" s="58"/>
      <c r="Q1" s="58"/>
      <c r="R1" s="58"/>
      <c r="S1" s="58"/>
      <c r="T1" s="58"/>
      <c r="U1" s="58"/>
      <c r="V1" s="58"/>
      <c r="W1" s="58"/>
      <c r="X1" s="58"/>
      <c r="Y1" s="58"/>
      <c r="Z1" s="58"/>
    </row>
    <row r="2" spans="1:26">
      <c r="A2" s="58"/>
      <c r="B2" s="58"/>
      <c r="C2" s="58"/>
      <c r="D2" s="58"/>
      <c r="E2" s="58"/>
      <c r="F2" s="58"/>
      <c r="G2" s="58"/>
      <c r="H2" s="58"/>
      <c r="I2" s="58"/>
      <c r="J2" s="58"/>
      <c r="K2" s="58"/>
      <c r="L2" s="58"/>
      <c r="M2" s="58"/>
      <c r="N2" s="58"/>
      <c r="O2" s="58"/>
      <c r="P2" s="58"/>
      <c r="Q2" s="58"/>
      <c r="R2" s="58"/>
      <c r="S2" s="58"/>
      <c r="T2" s="58"/>
      <c r="U2" s="58"/>
      <c r="V2" s="58"/>
      <c r="W2" s="58"/>
      <c r="X2" s="58"/>
      <c r="Y2" s="58"/>
      <c r="Z2" s="58"/>
    </row>
    <row r="3" spans="1:26">
      <c r="A3" s="58"/>
      <c r="B3" s="58"/>
      <c r="C3" s="58"/>
      <c r="D3" s="58"/>
      <c r="E3" s="58"/>
      <c r="F3" s="58"/>
      <c r="G3" s="58"/>
      <c r="H3" s="58"/>
      <c r="I3" s="58"/>
      <c r="J3" s="58"/>
      <c r="K3" s="58"/>
      <c r="L3" s="58"/>
      <c r="M3" s="58"/>
      <c r="N3" s="58"/>
      <c r="O3" s="58"/>
      <c r="P3" s="58"/>
      <c r="Q3" s="58"/>
      <c r="R3" s="58"/>
      <c r="S3" s="58"/>
      <c r="T3" s="58"/>
      <c r="U3" s="58"/>
      <c r="V3" s="58"/>
      <c r="W3" s="58"/>
      <c r="X3" s="58"/>
      <c r="Y3" s="58"/>
      <c r="Z3" s="58"/>
    </row>
    <row r="4" spans="1:26">
      <c r="B4" s="58"/>
      <c r="C4" s="58"/>
      <c r="D4" s="58"/>
      <c r="E4" s="58"/>
      <c r="F4" s="58"/>
      <c r="G4" s="58"/>
      <c r="H4" s="58"/>
      <c r="I4" s="58"/>
      <c r="J4" s="58"/>
      <c r="K4" s="58"/>
      <c r="L4" s="58"/>
      <c r="M4" s="58"/>
      <c r="N4" s="58"/>
      <c r="O4" s="58"/>
      <c r="P4" s="58"/>
      <c r="Q4" s="58"/>
      <c r="R4" s="58"/>
      <c r="S4" s="58"/>
      <c r="T4" s="58"/>
      <c r="U4" s="58"/>
      <c r="V4" s="58"/>
      <c r="W4" s="58"/>
      <c r="X4" s="58"/>
      <c r="Y4" s="58"/>
      <c r="Z4" s="58"/>
    </row>
    <row r="5" spans="1:26">
      <c r="A5" s="58"/>
      <c r="B5" s="58"/>
      <c r="C5" s="58"/>
      <c r="D5" s="58"/>
      <c r="E5" s="58"/>
      <c r="F5" s="58"/>
      <c r="G5" s="58"/>
      <c r="H5" s="58"/>
      <c r="I5" s="58"/>
      <c r="J5" s="58"/>
      <c r="K5" s="58"/>
      <c r="L5" s="58"/>
      <c r="M5" s="58"/>
      <c r="N5" s="58"/>
      <c r="O5" s="58"/>
      <c r="P5" s="58"/>
      <c r="Q5" s="58"/>
      <c r="R5" s="58"/>
      <c r="S5" s="58"/>
      <c r="T5" s="58"/>
      <c r="U5" s="58"/>
      <c r="V5" s="58"/>
      <c r="W5" s="58"/>
      <c r="X5" s="58"/>
      <c r="Y5" s="58"/>
      <c r="Z5" s="58"/>
    </row>
    <row r="6" spans="1:26">
      <c r="A6" s="58"/>
      <c r="B6" s="58"/>
      <c r="C6" s="58"/>
      <c r="D6" s="58"/>
      <c r="E6" s="58"/>
      <c r="F6" s="58"/>
      <c r="G6" s="58"/>
      <c r="H6" s="58"/>
      <c r="I6" s="58"/>
      <c r="J6" s="58"/>
      <c r="K6" s="58"/>
      <c r="L6" s="58"/>
      <c r="M6" s="58"/>
      <c r="N6" s="58"/>
      <c r="O6" s="58"/>
      <c r="P6" s="58"/>
      <c r="Q6" s="58"/>
      <c r="R6" s="58"/>
      <c r="S6" s="58"/>
      <c r="T6" s="58"/>
      <c r="U6" s="58"/>
      <c r="V6" s="58"/>
      <c r="W6" s="58"/>
      <c r="X6" s="58"/>
      <c r="Y6" s="58"/>
      <c r="Z6" s="58"/>
    </row>
    <row r="7" spans="1:26">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c r="A8" s="58"/>
      <c r="B8" s="58"/>
      <c r="C8" s="58"/>
      <c r="D8" s="58"/>
      <c r="E8" s="58"/>
      <c r="F8" s="58"/>
      <c r="G8" s="58"/>
      <c r="H8" s="58"/>
      <c r="I8" s="58"/>
      <c r="J8" s="58"/>
      <c r="K8" s="58"/>
      <c r="L8" s="58"/>
      <c r="M8" s="58"/>
      <c r="N8" s="58"/>
      <c r="O8" s="58"/>
      <c r="P8" s="58"/>
      <c r="Q8" s="58"/>
      <c r="R8" s="58"/>
      <c r="S8" s="58"/>
      <c r="T8" s="58"/>
      <c r="U8" s="58"/>
      <c r="V8" s="58"/>
      <c r="W8" s="58"/>
      <c r="X8" s="58"/>
      <c r="Y8" s="58"/>
      <c r="Z8" s="58"/>
    </row>
    <row r="9" spans="1:26">
      <c r="A9" s="58"/>
      <c r="B9" s="58"/>
      <c r="C9" s="58"/>
      <c r="D9" s="58"/>
      <c r="E9" s="58"/>
      <c r="F9" s="58"/>
      <c r="H9" s="58"/>
      <c r="I9" s="58"/>
      <c r="J9" s="58"/>
      <c r="K9" s="58"/>
      <c r="L9" s="58"/>
      <c r="M9" s="58"/>
      <c r="N9" s="58"/>
      <c r="O9" s="58"/>
      <c r="P9" s="58"/>
      <c r="Q9" s="58"/>
      <c r="R9" s="58"/>
      <c r="S9" s="58"/>
      <c r="T9" s="58"/>
      <c r="U9" s="58"/>
      <c r="V9" s="58"/>
      <c r="W9" s="58"/>
      <c r="X9" s="58"/>
      <c r="Y9" s="58"/>
      <c r="Z9" s="58"/>
    </row>
    <row r="10" spans="1:26">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row>
    <row r="11" spans="1:26">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spans="1:26">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row>
    <row r="13" spans="1:26">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spans="1:26">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spans="1:26">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spans="1:26">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spans="1:26">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spans="1:26">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spans="1:26">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spans="1:26">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spans="1:26">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spans="1:26">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spans="1:26">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spans="1:26">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spans="1: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spans="1:26">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spans="1:26">
      <c r="A28" s="58"/>
      <c r="B28" s="58"/>
      <c r="C28" s="58"/>
      <c r="D28" s="58"/>
      <c r="E28" s="58"/>
      <c r="F28" s="58"/>
      <c r="G28" s="58"/>
      <c r="H28" s="58"/>
      <c r="J28" s="58"/>
      <c r="K28" s="58"/>
      <c r="L28" s="58"/>
      <c r="M28" s="58"/>
      <c r="N28" s="58"/>
      <c r="O28" s="58"/>
      <c r="P28" s="58"/>
      <c r="Q28" s="58"/>
      <c r="R28" s="58"/>
      <c r="S28" s="58"/>
      <c r="T28" s="58"/>
      <c r="U28" s="58"/>
      <c r="V28" s="58"/>
      <c r="W28" s="58"/>
      <c r="X28" s="58"/>
      <c r="Y28" s="58"/>
      <c r="Z28" s="58"/>
    </row>
    <row r="29" spans="1:26">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spans="1:26">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spans="1:26">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spans="1:26">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spans="1:26">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spans="1:26">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spans="1:26">
      <c r="A35" s="58"/>
      <c r="B35" s="58"/>
      <c r="C35" s="58"/>
      <c r="D35" s="58"/>
      <c r="E35" s="58"/>
      <c r="H35" s="58"/>
      <c r="I35" s="58"/>
      <c r="J35" s="58"/>
      <c r="K35" s="58"/>
      <c r="L35" s="58"/>
      <c r="M35" s="58"/>
      <c r="N35" s="58"/>
      <c r="O35" s="58"/>
      <c r="P35" s="58"/>
      <c r="Q35" s="58"/>
      <c r="R35" s="58"/>
      <c r="S35" s="58"/>
      <c r="T35" s="58"/>
      <c r="U35" s="58"/>
      <c r="V35" s="58"/>
      <c r="W35" s="58"/>
      <c r="X35" s="58"/>
      <c r="Y35" s="58"/>
      <c r="Z35" s="58"/>
    </row>
    <row r="36" spans="1:26">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spans="1:26">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spans="1:26">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spans="1:26">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spans="1:26">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spans="1:26">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spans="1:26">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spans="1:26">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spans="1:26">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spans="1:26">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spans="1:2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spans="1:26">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spans="1:26">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spans="1:26">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spans="1:26">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spans="1:26">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spans="1:26">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spans="1:26">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spans="1:26">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spans="1:26">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spans="1:2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spans="1:26">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spans="1:26">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spans="1:26">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spans="1:26">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c r="A63" s="58"/>
      <c r="B63" s="58"/>
      <c r="C63" s="58"/>
      <c r="D63" s="58"/>
      <c r="E63" s="58"/>
      <c r="F63" s="58"/>
      <c r="G63" s="58"/>
      <c r="I63" s="58"/>
      <c r="J63" s="58"/>
      <c r="K63" s="58"/>
      <c r="L63" s="58"/>
      <c r="M63" s="58"/>
      <c r="N63" s="58"/>
      <c r="O63" s="58"/>
      <c r="P63" s="58"/>
      <c r="Q63" s="58"/>
      <c r="R63" s="58"/>
      <c r="S63" s="58"/>
      <c r="T63" s="58"/>
      <c r="U63" s="58"/>
      <c r="V63" s="58"/>
      <c r="W63" s="58"/>
      <c r="X63" s="58"/>
      <c r="Y63" s="58"/>
      <c r="Z63" s="58"/>
    </row>
    <row r="64" spans="1:26">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spans="1:26">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spans="1:2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spans="1:26">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spans="1:26">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spans="1:26">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spans="1:26">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spans="1:26">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spans="1:26">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spans="1:26">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spans="1:26">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spans="1:2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spans="1:26">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spans="1:26">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spans="1:26">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spans="1:26">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spans="1:26">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spans="1:26">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spans="1:26">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spans="1:26">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spans="1:26">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spans="1:2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spans="1:26">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spans="1:26">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spans="1:26">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spans="1:26">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spans="1:26">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spans="1:26">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spans="1:26">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spans="1:26">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spans="1:2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spans="1:26">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spans="1:26">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spans="1:26">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spans="1:26">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1:26">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1:26">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1:26">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spans="1:2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spans="1:26">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spans="1:26">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spans="1:26">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spans="1:26">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spans="1:26">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spans="1:26">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spans="1:26">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spans="1:26">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spans="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spans="1:26">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spans="1:26">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spans="1:26">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spans="1:26">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spans="1:26">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spans="1:26">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spans="1:26">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spans="1:26">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spans="1:2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spans="1:26">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spans="1:26">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spans="1:26">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spans="1:26">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spans="1:26">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spans="1:26">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spans="1:26">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spans="1:26">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spans="1:2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spans="1:26">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spans="1:26">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spans="1:26">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spans="1:26">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spans="1:26">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spans="1:26">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spans="1:26">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spans="1:26">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spans="1:26">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spans="1:2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spans="1:26">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spans="1:26">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spans="1:26">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spans="1:26">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spans="1:26">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spans="1:26">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spans="1:26">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spans="1:26">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spans="1:26">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spans="1:26">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spans="1:26">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spans="1:26">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spans="1:26">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spans="1:26">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spans="1:26">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spans="1:26">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spans="1:26">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spans="1:2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spans="1:26">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spans="1:26">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spans="1:26">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spans="1:26">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spans="1:26">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spans="1:26">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spans="1:2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spans="1:26">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spans="1:26">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conditionalFormatting sqref="A1:Z8 A9:F9 A10:Z27 A28:H28 A29:Z34 A35:F35 A36:Z1000 H9:Z9 H35:Z35 J28:Z28">
    <cfRule type="colorScale" priority="1">
      <colorScale>
        <cfvo type="min"/>
        <cfvo type="max"/>
        <color rgb="FFFFFFFF"/>
        <color rgb="FF57BB8A"/>
      </colorScale>
    </cfRule>
  </conditionalFormatting>
  <hyperlinks>
    <hyperlink ref="A1" location="'Objetos de dominio'!A1" display="Ir a Objetos de Dominio &gt;&gt;&gt;" xr:uid="{00000000-0004-0000-0000-000000000000}"/>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ummaryRight="0"/>
  </sheetPr>
  <dimension ref="A1:Z46"/>
  <sheetViews>
    <sheetView topLeftCell="A7" zoomScale="82" workbookViewId="0">
      <selection activeCell="A9" sqref="A9"/>
    </sheetView>
  </sheetViews>
  <sheetFormatPr baseColWidth="10" defaultColWidth="12.625" defaultRowHeight="12.9"/>
  <cols>
    <col min="1" max="1" width="28.25" bestFit="1" customWidth="1"/>
    <col min="2" max="2" width="199.875" customWidth="1"/>
    <col min="3" max="3" width="11.75" bestFit="1" customWidth="1"/>
    <col min="4" max="4" width="8.75" bestFit="1" customWidth="1"/>
    <col min="5" max="5" width="12.875" bestFit="1" customWidth="1"/>
    <col min="6" max="6" width="7.625" style="84" bestFit="1" customWidth="1"/>
    <col min="7" max="7" width="8.125" bestFit="1" customWidth="1"/>
  </cols>
  <sheetData>
    <row r="1" spans="1:26">
      <c r="A1" s="76" t="s">
        <v>0</v>
      </c>
    </row>
    <row r="2" spans="1:26" ht="25.5" customHeight="1">
      <c r="A2" s="547" t="s">
        <v>20</v>
      </c>
      <c r="B2" s="960" t="s">
        <v>21</v>
      </c>
      <c r="C2" s="547" t="s">
        <v>22</v>
      </c>
      <c r="D2" s="547" t="s">
        <v>23</v>
      </c>
      <c r="E2" s="547" t="s">
        <v>1123</v>
      </c>
      <c r="F2" s="506" t="s">
        <v>24</v>
      </c>
      <c r="G2" s="547" t="s">
        <v>25</v>
      </c>
    </row>
    <row r="3" spans="1:26" s="84" customFormat="1">
      <c r="A3" s="506" t="s">
        <v>260</v>
      </c>
      <c r="B3" s="507" t="s">
        <v>26</v>
      </c>
      <c r="C3" s="508">
        <v>1</v>
      </c>
      <c r="D3" s="757" t="s">
        <v>27</v>
      </c>
      <c r="E3" s="757" t="s">
        <v>27</v>
      </c>
      <c r="F3" s="757" t="s">
        <v>27</v>
      </c>
      <c r="G3" s="757" t="s">
        <v>27</v>
      </c>
    </row>
    <row r="4" spans="1:26" s="84" customFormat="1">
      <c r="A4" s="506" t="s">
        <v>28</v>
      </c>
      <c r="B4" s="507" t="s">
        <v>29</v>
      </c>
      <c r="C4" s="508">
        <v>1</v>
      </c>
      <c r="D4" s="961" t="s">
        <v>27</v>
      </c>
      <c r="E4" s="962" t="s">
        <v>27</v>
      </c>
      <c r="F4" s="757" t="s">
        <v>27</v>
      </c>
      <c r="G4" s="757" t="s">
        <v>27</v>
      </c>
    </row>
    <row r="5" spans="1:26" s="84" customFormat="1">
      <c r="A5" s="506" t="s">
        <v>30</v>
      </c>
      <c r="B5" s="507" t="s">
        <v>31</v>
      </c>
      <c r="C5" s="508">
        <v>1</v>
      </c>
      <c r="D5" s="755" t="s">
        <v>27</v>
      </c>
      <c r="E5" s="756" t="s">
        <v>27</v>
      </c>
      <c r="F5" s="757" t="s">
        <v>27</v>
      </c>
      <c r="G5" s="757" t="s">
        <v>27</v>
      </c>
    </row>
    <row r="6" spans="1:26" s="84" customFormat="1" ht="36.700000000000003" customHeight="1">
      <c r="A6" s="506" t="s">
        <v>11</v>
      </c>
      <c r="B6" s="507" t="s">
        <v>32</v>
      </c>
      <c r="C6" s="508">
        <v>1</v>
      </c>
      <c r="D6" s="755" t="s">
        <v>27</v>
      </c>
      <c r="E6" s="756" t="s">
        <v>27</v>
      </c>
      <c r="F6" s="757" t="s">
        <v>27</v>
      </c>
      <c r="G6" s="757" t="s">
        <v>27</v>
      </c>
    </row>
    <row r="7" spans="1:26" s="84" customFormat="1" ht="26.15" customHeight="1">
      <c r="A7" s="506" t="s">
        <v>751</v>
      </c>
      <c r="B7" s="507" t="s">
        <v>33</v>
      </c>
      <c r="C7" s="508">
        <v>1</v>
      </c>
      <c r="D7" s="755" t="s">
        <v>27</v>
      </c>
      <c r="E7" s="756" t="s">
        <v>27</v>
      </c>
      <c r="F7" s="757" t="s">
        <v>27</v>
      </c>
      <c r="G7" s="757" t="s">
        <v>27</v>
      </c>
    </row>
    <row r="8" spans="1:26" s="504" customFormat="1" ht="26.15" customHeight="1">
      <c r="A8" s="509" t="s">
        <v>34</v>
      </c>
      <c r="B8" s="591" t="s">
        <v>35</v>
      </c>
      <c r="C8" s="510">
        <v>1</v>
      </c>
      <c r="D8" s="758" t="s">
        <v>27</v>
      </c>
      <c r="E8" s="758" t="s">
        <v>27</v>
      </c>
      <c r="F8" s="758" t="s">
        <v>27</v>
      </c>
      <c r="G8" s="758" t="s">
        <v>27</v>
      </c>
    </row>
    <row r="9" spans="1:26" s="84" customFormat="1" ht="26.15" customHeight="1">
      <c r="A9" s="506" t="s">
        <v>1204</v>
      </c>
      <c r="B9" s="507" t="s">
        <v>1205</v>
      </c>
      <c r="C9" s="963">
        <v>1</v>
      </c>
      <c r="D9" s="964" t="s">
        <v>27</v>
      </c>
      <c r="E9" s="964" t="s">
        <v>27</v>
      </c>
      <c r="F9" s="964" t="s">
        <v>27</v>
      </c>
      <c r="G9" s="964" t="s">
        <v>27</v>
      </c>
    </row>
    <row r="10" spans="1:26" s="84" customFormat="1">
      <c r="A10" s="506" t="s">
        <v>36</v>
      </c>
      <c r="B10" s="507" t="s">
        <v>37</v>
      </c>
      <c r="C10" s="508">
        <v>2</v>
      </c>
      <c r="D10" s="757" t="s">
        <v>27</v>
      </c>
      <c r="E10" s="757" t="s">
        <v>27</v>
      </c>
      <c r="F10" s="757" t="s">
        <v>27</v>
      </c>
      <c r="G10" s="757" t="s">
        <v>27</v>
      </c>
    </row>
    <row r="11" spans="1:26" s="84" customFormat="1">
      <c r="A11" s="506" t="s">
        <v>38</v>
      </c>
      <c r="B11" s="507" t="s">
        <v>39</v>
      </c>
      <c r="C11" s="508">
        <v>2</v>
      </c>
      <c r="D11" s="755" t="s">
        <v>27</v>
      </c>
      <c r="E11" s="756" t="s">
        <v>27</v>
      </c>
      <c r="F11" s="757" t="s">
        <v>27</v>
      </c>
      <c r="G11" s="757" t="s">
        <v>27</v>
      </c>
    </row>
    <row r="12" spans="1:26" s="84" customFormat="1">
      <c r="A12" s="506" t="s">
        <v>10</v>
      </c>
      <c r="B12" s="507" t="s">
        <v>1345</v>
      </c>
      <c r="C12" s="508">
        <v>2</v>
      </c>
      <c r="D12" s="961" t="s">
        <v>27</v>
      </c>
      <c r="E12" s="964" t="s">
        <v>27</v>
      </c>
      <c r="F12" s="964" t="s">
        <v>27</v>
      </c>
      <c r="G12" s="964" t="s">
        <v>27</v>
      </c>
    </row>
    <row r="13" spans="1:26" s="505" customFormat="1">
      <c r="A13" s="506" t="s">
        <v>40</v>
      </c>
      <c r="B13" s="507" t="s">
        <v>41</v>
      </c>
      <c r="C13" s="508">
        <v>3</v>
      </c>
      <c r="D13" s="961" t="s">
        <v>27</v>
      </c>
      <c r="E13" s="756" t="s">
        <v>27</v>
      </c>
      <c r="F13" s="755" t="s">
        <v>27</v>
      </c>
      <c r="G13" s="757" t="s">
        <v>27</v>
      </c>
    </row>
    <row r="14" spans="1:26" s="84" customFormat="1" ht="26" customHeight="1">
      <c r="A14" s="506" t="s">
        <v>42</v>
      </c>
      <c r="B14" s="507" t="s">
        <v>43</v>
      </c>
      <c r="C14" s="508">
        <v>4</v>
      </c>
      <c r="D14" s="756" t="s">
        <v>27</v>
      </c>
      <c r="E14" s="756" t="s">
        <v>27</v>
      </c>
      <c r="F14" s="757" t="s">
        <v>27</v>
      </c>
      <c r="G14" s="757" t="s">
        <v>27</v>
      </c>
    </row>
    <row r="15" spans="1:26" s="84" customFormat="1">
      <c r="A15" s="506" t="s">
        <v>44</v>
      </c>
      <c r="B15" s="507" t="s">
        <v>45</v>
      </c>
      <c r="C15" s="508">
        <v>4</v>
      </c>
      <c r="D15" s="757" t="s">
        <v>27</v>
      </c>
      <c r="E15" s="757" t="s">
        <v>27</v>
      </c>
      <c r="F15" s="757" t="s">
        <v>27</v>
      </c>
      <c r="G15" s="757" t="s">
        <v>27</v>
      </c>
    </row>
    <row r="16" spans="1:26" s="84" customFormat="1" ht="25.85">
      <c r="A16" s="506" t="s">
        <v>195</v>
      </c>
      <c r="B16" s="507" t="s">
        <v>46</v>
      </c>
      <c r="C16" s="508">
        <v>4</v>
      </c>
      <c r="D16" s="755" t="s">
        <v>27</v>
      </c>
      <c r="E16" s="756" t="s">
        <v>27</v>
      </c>
      <c r="F16" s="757" t="s">
        <v>27</v>
      </c>
      <c r="G16" s="757" t="s">
        <v>27</v>
      </c>
      <c r="O16" s="479"/>
      <c r="P16" s="479"/>
      <c r="Q16" s="479"/>
      <c r="R16" s="479"/>
      <c r="S16" s="479"/>
      <c r="T16" s="479"/>
      <c r="U16" s="479"/>
      <c r="V16" s="479"/>
      <c r="W16" s="479"/>
      <c r="X16" s="479"/>
      <c r="Y16" s="479"/>
      <c r="Z16" s="479"/>
    </row>
    <row r="17" spans="1:8" s="84" customFormat="1">
      <c r="A17" s="506" t="s">
        <v>47</v>
      </c>
      <c r="B17" s="507" t="s">
        <v>48</v>
      </c>
      <c r="C17" s="508">
        <v>5</v>
      </c>
      <c r="D17" s="756" t="s">
        <v>27</v>
      </c>
      <c r="E17" s="756" t="s">
        <v>27</v>
      </c>
      <c r="F17" s="757" t="s">
        <v>27</v>
      </c>
      <c r="G17" s="757" t="s">
        <v>27</v>
      </c>
    </row>
    <row r="18" spans="1:8" s="84" customFormat="1" ht="26.15" customHeight="1">
      <c r="A18" s="965" t="s">
        <v>49</v>
      </c>
      <c r="B18" s="966" t="s">
        <v>50</v>
      </c>
      <c r="C18" s="967">
        <v>5</v>
      </c>
      <c r="D18" s="757" t="s">
        <v>27</v>
      </c>
      <c r="E18" s="757" t="s">
        <v>27</v>
      </c>
      <c r="F18" s="757" t="s">
        <v>27</v>
      </c>
      <c r="G18" s="757" t="s">
        <v>27</v>
      </c>
      <c r="H18" s="538"/>
    </row>
    <row r="19" spans="1:8" s="84" customFormat="1">
      <c r="A19" s="506" t="s">
        <v>51</v>
      </c>
      <c r="B19" s="507" t="s">
        <v>52</v>
      </c>
      <c r="C19" s="508">
        <v>5</v>
      </c>
      <c r="D19" s="961" t="s">
        <v>27</v>
      </c>
      <c r="E19" s="756" t="s">
        <v>27</v>
      </c>
      <c r="F19" s="757" t="s">
        <v>27</v>
      </c>
      <c r="G19" s="757" t="s">
        <v>27</v>
      </c>
    </row>
    <row r="20" spans="1:8" s="84" customFormat="1">
      <c r="A20" s="968" t="s">
        <v>53</v>
      </c>
      <c r="B20" s="968" t="s">
        <v>54</v>
      </c>
      <c r="C20" s="969">
        <v>5</v>
      </c>
      <c r="D20" s="756" t="s">
        <v>27</v>
      </c>
      <c r="E20" s="756" t="s">
        <v>27</v>
      </c>
      <c r="F20" s="756" t="s">
        <v>27</v>
      </c>
      <c r="G20" s="756" t="s">
        <v>27</v>
      </c>
    </row>
    <row r="21" spans="1:8" s="538" customFormat="1" ht="26" customHeight="1">
      <c r="A21" s="506" t="s">
        <v>12</v>
      </c>
      <c r="B21" s="507" t="s">
        <v>55</v>
      </c>
      <c r="C21" s="508">
        <v>6</v>
      </c>
      <c r="D21" s="755" t="s">
        <v>27</v>
      </c>
      <c r="E21" s="756" t="s">
        <v>27</v>
      </c>
      <c r="F21" s="757" t="s">
        <v>27</v>
      </c>
      <c r="G21" s="757" t="s">
        <v>27</v>
      </c>
    </row>
    <row r="22" spans="1:8" s="538" customFormat="1">
      <c r="A22" s="506" t="s">
        <v>58</v>
      </c>
      <c r="B22" s="507" t="s">
        <v>59</v>
      </c>
      <c r="C22" s="508">
        <v>6</v>
      </c>
      <c r="D22" s="961" t="s">
        <v>27</v>
      </c>
      <c r="E22" s="964" t="s">
        <v>27</v>
      </c>
      <c r="F22" s="964" t="s">
        <v>27</v>
      </c>
      <c r="G22" s="964" t="s">
        <v>27</v>
      </c>
    </row>
    <row r="23" spans="1:8" s="538" customFormat="1" ht="26" customHeight="1">
      <c r="A23" s="506" t="s">
        <v>56</v>
      </c>
      <c r="B23" s="507" t="s">
        <v>57</v>
      </c>
      <c r="C23" s="508">
        <v>7</v>
      </c>
      <c r="D23" s="961" t="s">
        <v>27</v>
      </c>
      <c r="E23" s="756" t="s">
        <v>27</v>
      </c>
      <c r="F23" s="757" t="s">
        <v>27</v>
      </c>
      <c r="G23" s="757" t="s">
        <v>27</v>
      </c>
    </row>
    <row r="24" spans="1:8" s="538" customFormat="1" ht="26" customHeight="1">
      <c r="A24" s="506" t="s">
        <v>60</v>
      </c>
      <c r="B24" s="507" t="s">
        <v>1346</v>
      </c>
      <c r="C24" s="508">
        <v>7</v>
      </c>
      <c r="D24" s="961" t="s">
        <v>27</v>
      </c>
      <c r="E24" s="964" t="s">
        <v>27</v>
      </c>
      <c r="F24" s="964" t="s">
        <v>27</v>
      </c>
      <c r="G24" s="964" t="s">
        <v>27</v>
      </c>
    </row>
    <row r="25" spans="1:8" s="538" customFormat="1"/>
    <row r="26" spans="1:8" s="84" customFormat="1"/>
    <row r="27" spans="1:8" s="84" customFormat="1" ht="26.15" customHeight="1">
      <c r="A27" s="202" t="s">
        <v>61</v>
      </c>
      <c r="D27" s="58"/>
    </row>
    <row r="28" spans="1:8" s="84" customFormat="1">
      <c r="A28" s="60" t="s">
        <v>62</v>
      </c>
    </row>
    <row r="29" spans="1:8" s="84" customFormat="1" ht="26.15" customHeight="1">
      <c r="A29" s="5" t="s">
        <v>63</v>
      </c>
    </row>
    <row r="30" spans="1:8" s="538" customFormat="1">
      <c r="A30" s="6" t="s">
        <v>64</v>
      </c>
    </row>
    <row r="31" spans="1:8" s="538" customFormat="1">
      <c r="A31" s="61" t="s">
        <v>65</v>
      </c>
    </row>
    <row r="32" spans="1:8" s="614" customFormat="1" ht="26.15" customHeight="1">
      <c r="A32" s="57" t="s">
        <v>8</v>
      </c>
    </row>
    <row r="33" spans="1:5" s="614" customFormat="1" ht="26.15" customHeight="1">
      <c r="A33" s="10" t="s">
        <v>66</v>
      </c>
    </row>
    <row r="34" spans="1:5" ht="26.15" customHeight="1">
      <c r="A34" s="207" t="s">
        <v>67</v>
      </c>
      <c r="E34" s="84"/>
    </row>
    <row r="36" spans="1:5" s="614" customFormat="1"/>
    <row r="46" spans="1:5">
      <c r="A46" s="970"/>
      <c r="B46" s="971"/>
      <c r="C46" s="971"/>
    </row>
  </sheetData>
  <mergeCells count="1">
    <mergeCell ref="A46:C46"/>
  </mergeCells>
  <hyperlinks>
    <hyperlink ref="A1" location="'Modelo de dominio'!A1" display="&lt;&lt;&lt;Modelo de Dominio" xr:uid="{00000000-0004-0000-0100-000000000000}"/>
    <hyperlink ref="D3" location="'M-Proveedor'!A1" display="Ir" xr:uid="{00000000-0004-0000-0100-000001000000}"/>
    <hyperlink ref="E3" location="'C-Proveedor'!A1" display="Ir" xr:uid="{00000000-0004-0000-0100-000002000000}"/>
    <hyperlink ref="F3" location="'E-Proveedor'!A1" display="Ir" xr:uid="{00000000-0004-0000-0100-000003000000}"/>
    <hyperlink ref="G3" location="'P-Proveedor'!A1" display="Ir" xr:uid="{00000000-0004-0000-0100-000004000000}"/>
    <hyperlink ref="D4" location="'M-UnidadMedida'!A1" display="Ir" xr:uid="{00000000-0004-0000-0100-000005000000}"/>
    <hyperlink ref="E4" location="'C-UnidadMedida'!A1" display="Ir" xr:uid="{00000000-0004-0000-0100-000006000000}"/>
    <hyperlink ref="F4" location="'E-UnidadMedida'!A1" display="Ir" xr:uid="{00000000-0004-0000-0100-000007000000}"/>
    <hyperlink ref="G4" location="'P-UnidadMedida'!A1" display="Ir" xr:uid="{00000000-0004-0000-0100-000008000000}"/>
    <hyperlink ref="D5" location="'M-TipoProducto'!A1" display="Ir" xr:uid="{00000000-0004-0000-0100-000009000000}"/>
    <hyperlink ref="E5" location="'C-TipoProducto'!A1" display="Ir" xr:uid="{00000000-0004-0000-0100-00000A000000}"/>
    <hyperlink ref="F5" location="'E-TipoProducto'!A1" display="Ir" xr:uid="{00000000-0004-0000-0100-00000B000000}"/>
    <hyperlink ref="G5" location="'P-TipoProducto'!A1" display="Ir" xr:uid="{00000000-0004-0000-0100-00000C000000}"/>
    <hyperlink ref="D6" location="'M-ClaseMovimiento'!A1" display="Ir" xr:uid="{00000000-0004-0000-0100-00000D000000}"/>
    <hyperlink ref="E6" location="'C-ClaseMovimiento'!A1" display="Ir" xr:uid="{00000000-0004-0000-0100-00000E000000}"/>
    <hyperlink ref="F6" location="'E-ClaseMovimiento'!A1" display="Ir" xr:uid="{00000000-0004-0000-0100-00000F000000}"/>
    <hyperlink ref="G6" location="'P-ClaseMovimiento'!A1" display="Ir" xr:uid="{00000000-0004-0000-0100-000010000000}"/>
    <hyperlink ref="D7" location="'M-Tamaño'!A1" display="Ir" xr:uid="{00000000-0004-0000-0100-000011000000}"/>
    <hyperlink ref="E7" location="'C-Tamaño'!A1" display="Ir" xr:uid="{00000000-0004-0000-0100-000012000000}"/>
    <hyperlink ref="F7" location="'E-Tamaño'!A1" display="Ir" xr:uid="{00000000-0004-0000-0100-000013000000}"/>
    <hyperlink ref="G7" location="'P-Tamaño'!A1" display="Ir" xr:uid="{00000000-0004-0000-0100-000014000000}"/>
    <hyperlink ref="D8" location="'M-CategoriaOrigen'!A1" display="Ir" xr:uid="{00000000-0004-0000-0100-000015000000}"/>
    <hyperlink ref="E8" location="'C-CategoriaOrigen'!A1" display="Ir" xr:uid="{00000000-0004-0000-0100-000016000000}"/>
    <hyperlink ref="F8" location="'E-CategoriaOrigen'!A1" display="Ir" xr:uid="{00000000-0004-0000-0100-000017000000}"/>
    <hyperlink ref="G8" location="'P-CategoriaOrigen'!A1" display="Ir" xr:uid="{00000000-0004-0000-0100-000018000000}"/>
    <hyperlink ref="D10" location="'M-Compra'!A1" display="Ir" xr:uid="{00000000-0004-0000-0100-000019000000}"/>
    <hyperlink ref="E10" location="'C-Compra'!A1" display="Ir" xr:uid="{00000000-0004-0000-0100-00001A000000}"/>
    <hyperlink ref="F10" location="'E-Compra'!A1" display="Ir" xr:uid="{00000000-0004-0000-0100-00001B000000}"/>
    <hyperlink ref="G10" location="'P-Compra'!A1" display="Ir" xr:uid="{00000000-0004-0000-0100-00001C000000}"/>
    <hyperlink ref="D11" location="'M-ProductoInterno'!A1" display="Ir" xr:uid="{00000000-0004-0000-0100-00001D000000}"/>
    <hyperlink ref="E11" location="'C-ProductoInterno'!A1" display="Ir" xr:uid="{00000000-0004-0000-0100-00001E000000}"/>
    <hyperlink ref="F11" location="'E-ProductoInterno'!A1" display="Ir" xr:uid="{00000000-0004-0000-0100-00001F000000}"/>
    <hyperlink ref="G11" location="'P-ProductoInterno'!A1" display="Ir" xr:uid="{00000000-0004-0000-0100-000020000000}"/>
    <hyperlink ref="D13" location="'M-DetalleCompra'!A1" display="Ir" xr:uid="{00000000-0004-0000-0100-000021000000}"/>
    <hyperlink ref="E13" location="'C-DetalleCompra'!A1" display="Ir" xr:uid="{00000000-0004-0000-0100-000022000000}"/>
    <hyperlink ref="F13" location="'E-DetalleCompra'!A1" display="Ir" xr:uid="{00000000-0004-0000-0100-000023000000}"/>
    <hyperlink ref="G13" location="'P-DetalleCompra'!A1" display="Ir" xr:uid="{00000000-0004-0000-0100-000024000000}"/>
    <hyperlink ref="D14" location="'M-Producto'!A1" display="Ir" xr:uid="{00000000-0004-0000-0100-000025000000}"/>
    <hyperlink ref="E14" location="'C-Producto'!A1" display="Ir" xr:uid="{00000000-0004-0000-0100-000026000000}"/>
    <hyperlink ref="F14" location="'E-Producto'!A1" display="Ir" xr:uid="{00000000-0004-0000-0100-000027000000}"/>
    <hyperlink ref="G14" location="'P-Producto'!A1" display="Ir" xr:uid="{00000000-0004-0000-0100-000028000000}"/>
    <hyperlink ref="D15" location="'M-Venta'!A1" display="Ir" xr:uid="{00000000-0004-0000-0100-000029000000}"/>
    <hyperlink ref="E15" location="'C-Venta'!A1" display="Ir" xr:uid="{00000000-0004-0000-0100-00002A000000}"/>
    <hyperlink ref="F15" location="'E-Venta'!A1" display="Ir" xr:uid="{00000000-0004-0000-0100-00002B000000}"/>
    <hyperlink ref="G15" location="'P-Venta'!A1" display="Ir" xr:uid="{00000000-0004-0000-0100-00002C000000}"/>
    <hyperlink ref="D16" location="'M-MovimientoInventario'!A1" display="Ir" xr:uid="{00000000-0004-0000-0100-00002D000000}"/>
    <hyperlink ref="E16" location="'C-MovimientoInventario'!A1" display="Ir" xr:uid="{00000000-0004-0000-0100-00002E000000}"/>
    <hyperlink ref="F16" location="'E-MovimientoInventario'!A1" display="Ir" xr:uid="{00000000-0004-0000-0100-00002F000000}"/>
    <hyperlink ref="G16" location="'P-MovimientoInventario'!A1" display="Ir" xr:uid="{00000000-0004-0000-0100-000030000000}"/>
    <hyperlink ref="D17" location="'M-HistoricoPrecio'!A1" display="Ir" xr:uid="{00000000-0004-0000-0100-000031000000}"/>
    <hyperlink ref="E17" location="'C-HistoricoPrecio'!A1" display="Ir" xr:uid="{00000000-0004-0000-0100-000032000000}"/>
    <hyperlink ref="F17" location="'E-HistoricoPrecio'!A1" display="Ir" xr:uid="{00000000-0004-0000-0100-000033000000}"/>
    <hyperlink ref="G17" location="'P-HistoricoPrecio'!A1" display="Ir" xr:uid="{00000000-0004-0000-0100-000034000000}"/>
    <hyperlink ref="D18" location="'M-DetalleVenta'!A1" display="Ir" xr:uid="{00000000-0004-0000-0100-000035000000}"/>
    <hyperlink ref="E18" location="'C-DetalleVenta'!A1" display="Ir" xr:uid="{00000000-0004-0000-0100-000036000000}"/>
    <hyperlink ref="F18" location="'E-DetalleVenta'!A1" display="Ir" xr:uid="{00000000-0004-0000-0100-000037000000}"/>
    <hyperlink ref="G18" location="'P-DetalleVenta'!A1" display="Ir" xr:uid="{00000000-0004-0000-0100-000038000000}"/>
    <hyperlink ref="D19" location="'M-DetalleReceta'!A1" display="Ir" xr:uid="{00000000-0004-0000-0100-000039000000}"/>
    <hyperlink ref="E19" location="'C-DetalleReceta'!A1" display="Ir" xr:uid="{00000000-0004-0000-0100-00003A000000}"/>
    <hyperlink ref="F19" location="'E-DetalleReceta'!A1" display="Ir" xr:uid="{00000000-0004-0000-0100-00003B000000}"/>
    <hyperlink ref="G19" location="'P-DetalleReceta'!A1" display="Ir" xr:uid="{00000000-0004-0000-0100-00003C000000}"/>
    <hyperlink ref="D20" location="'M-Cambio'!A1" display="Ir" xr:uid="{00000000-0004-0000-0100-00003D000000}"/>
    <hyperlink ref="E20" location="'C-Cambio'!A1" display="Ir" xr:uid="{00000000-0004-0000-0100-00003E000000}"/>
    <hyperlink ref="F20" location="'E-Cambio'!A1" display="Ir" xr:uid="{00000000-0004-0000-0100-00003F000000}"/>
    <hyperlink ref="G20" location="'P-Cambio'!A1" display="Ir" xr:uid="{00000000-0004-0000-0100-000040000000}"/>
    <hyperlink ref="D21" location="'M-Lote'!A1" display="Ir" xr:uid="{00000000-0004-0000-0100-000041000000}"/>
    <hyperlink ref="E21" location="'C-Lote'!A1" display="Ir" xr:uid="{00000000-0004-0000-0100-000042000000}"/>
    <hyperlink ref="F21" location="'E-Lote'!A1" display="Ir" xr:uid="{00000000-0004-0000-0100-000043000000}"/>
    <hyperlink ref="G21" location="'P-Lote'!A1" display="Ir" xr:uid="{00000000-0004-0000-0100-000044000000}"/>
    <hyperlink ref="D23" location="'M-Inventario'!A1" display="Ir" xr:uid="{00000000-0004-0000-0100-000045000000}"/>
    <hyperlink ref="E23" location="'C-Inventario'!A1" display="Ir" xr:uid="{00000000-0004-0000-0100-000046000000}"/>
    <hyperlink ref="F23" location="'E-Inventario'!A1" display="Ir" xr:uid="{00000000-0004-0000-0100-000047000000}"/>
    <hyperlink ref="G23" location="'P-Inventario'!A1" display="Ir" xr:uid="{00000000-0004-0000-0100-000048000000}"/>
    <hyperlink ref="D12" location="'M-TipoMovimiento'!A1" display="Ir" xr:uid="{00000000-0004-0000-0100-000049000000}"/>
    <hyperlink ref="D22" location="'M-ConsumoVenta'!A1" display="Ir" xr:uid="{00000000-0004-0000-0100-00004A000000}"/>
    <hyperlink ref="D24" location="'M-SalidaLote'!A1" display="Ir" xr:uid="{00000000-0004-0000-0100-00004B000000}"/>
    <hyperlink ref="D9" location="'M-Usuario'!A1" display="Ir" xr:uid="{1CD205D4-A8DB-4E70-9841-996B6884FB44}"/>
    <hyperlink ref="E9" location="'C-Usuario'!A1" display="Ir" xr:uid="{6D38435D-1646-41EC-946E-8BAEB948CF7E}"/>
    <hyperlink ref="F9" location="'E-Usuario'!A1" display="Ir" xr:uid="{8BA56637-9457-4144-A16D-FC808B4EF545}"/>
    <hyperlink ref="G9" location="'P-Usuario'!A1" display="Ir" xr:uid="{15D7133F-48AC-4A2E-ACC4-727BAB76FDD1}"/>
    <hyperlink ref="E12" location="'C-TipoMovimiento'!A1" display="Ir" xr:uid="{54ACB2B9-C76A-4093-9647-1E707ED5E437}"/>
    <hyperlink ref="F12" location="'E-TipoMovimiento'!A1" display="Ir" xr:uid="{2F42219A-2A77-4093-8220-0143930B5B14}"/>
    <hyperlink ref="G12" location="'P-TipoMovimiento'!A1" display="Ir" xr:uid="{15B77E8E-2C2B-4B52-B746-89ADD39F34D9}"/>
    <hyperlink ref="E22" location="'C-ConsumoVenta'!A1" display="Ir" xr:uid="{5D52E711-E105-41D1-8383-7356C9CBA774}"/>
    <hyperlink ref="F22" location="'E-ConsumoVenta'!A1" display="Ir" xr:uid="{D1075E5E-E361-4CDA-96F1-FE74213F2A02}"/>
    <hyperlink ref="G22" location="'P-ConsumoVenta'!A1" display="Ir" xr:uid="{B4F08089-1991-4B45-A050-A2609AB38CDF}"/>
    <hyperlink ref="E24" location="'C-SalidaLote'!A1" display="Ir" xr:uid="{CE9D5B20-41DF-4FF7-8E1F-3C76332ECF7E}"/>
    <hyperlink ref="F24" location="'E-SalidaLote'!A1" display="Ir" xr:uid="{E73E460C-16F1-419D-91FA-2E6052C4E7C6}"/>
    <hyperlink ref="G24" location="'P-SalidaLote'!A1" display="Ir" xr:uid="{B9AF2E58-D1ED-4E2C-963E-B1C35E32FCC5}"/>
  </hyperlink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ummaryRight="0"/>
  </sheetPr>
  <dimension ref="A1:G23"/>
  <sheetViews>
    <sheetView workbookViewId="0">
      <selection activeCell="A18" sqref="A18:G18"/>
    </sheetView>
  </sheetViews>
  <sheetFormatPr baseColWidth="10" defaultColWidth="12.625" defaultRowHeight="12.9"/>
  <cols>
    <col min="1" max="1" width="42.375" bestFit="1" customWidth="1"/>
    <col min="7" max="7" width="58.375" customWidth="1"/>
  </cols>
  <sheetData>
    <row r="1" spans="1:7" ht="15.45" customHeight="1">
      <c r="A1" s="973" t="s">
        <v>1745</v>
      </c>
      <c r="B1" s="973"/>
      <c r="C1" s="973"/>
      <c r="D1" s="973"/>
      <c r="E1" s="973"/>
      <c r="F1" s="973"/>
      <c r="G1" s="973"/>
    </row>
    <row r="2" spans="1:7" ht="29.05" customHeight="1">
      <c r="A2" s="972" t="s">
        <v>1746</v>
      </c>
      <c r="B2" s="975"/>
      <c r="C2" s="975"/>
      <c r="D2" s="975"/>
      <c r="E2" s="975"/>
      <c r="F2" s="975"/>
      <c r="G2" s="975"/>
    </row>
    <row r="3" spans="1:7" ht="15.45" customHeight="1">
      <c r="A3" s="972" t="s">
        <v>1747</v>
      </c>
      <c r="B3" s="975"/>
      <c r="C3" s="975"/>
      <c r="D3" s="975"/>
      <c r="E3" s="975"/>
      <c r="F3" s="975"/>
      <c r="G3" s="975"/>
    </row>
    <row r="4" spans="1:7" ht="15.45" customHeight="1">
      <c r="A4" s="976" t="s">
        <v>1748</v>
      </c>
      <c r="B4" s="975"/>
      <c r="C4" s="975"/>
      <c r="D4" s="975"/>
      <c r="E4" s="975"/>
      <c r="F4" s="975"/>
      <c r="G4" s="975"/>
    </row>
    <row r="5" spans="1:7" ht="14.45" customHeight="1">
      <c r="A5" s="972" t="s">
        <v>1749</v>
      </c>
      <c r="B5" s="975"/>
      <c r="C5" s="975"/>
      <c r="D5" s="975"/>
      <c r="E5" s="975"/>
      <c r="F5" s="975"/>
      <c r="G5" s="975"/>
    </row>
    <row r="6" spans="1:7" ht="14.45" customHeight="1">
      <c r="A6" s="975"/>
      <c r="B6" s="975"/>
      <c r="C6" s="975"/>
      <c r="D6" s="975"/>
      <c r="E6" s="975"/>
      <c r="F6" s="975"/>
      <c r="G6" s="975"/>
    </row>
    <row r="7" spans="1:7" ht="15.45" customHeight="1">
      <c r="A7" s="972" t="s">
        <v>1750</v>
      </c>
      <c r="B7" s="975"/>
      <c r="C7" s="975"/>
      <c r="D7" s="975"/>
      <c r="E7" s="975"/>
      <c r="F7" s="975"/>
      <c r="G7" s="975"/>
    </row>
    <row r="8" spans="1:7" ht="15.45" customHeight="1">
      <c r="A8" s="972" t="s">
        <v>1751</v>
      </c>
      <c r="B8" s="975"/>
      <c r="C8" s="975"/>
      <c r="D8" s="975"/>
      <c r="E8" s="975"/>
      <c r="F8" s="975"/>
      <c r="G8" s="975"/>
    </row>
    <row r="9" spans="1:7" ht="15.45" customHeight="1">
      <c r="A9" s="972" t="s">
        <v>1752</v>
      </c>
      <c r="B9" s="975"/>
      <c r="C9" s="975"/>
      <c r="D9" s="975"/>
      <c r="E9" s="975"/>
      <c r="F9" s="975"/>
      <c r="G9" s="975"/>
    </row>
    <row r="10" spans="1:7" ht="15.45" customHeight="1">
      <c r="A10" s="972" t="s">
        <v>1753</v>
      </c>
      <c r="B10" s="975"/>
      <c r="C10" s="975"/>
      <c r="D10" s="975"/>
      <c r="E10" s="975"/>
      <c r="F10" s="975"/>
      <c r="G10" s="975"/>
    </row>
    <row r="11" spans="1:7" ht="15.45" customHeight="1">
      <c r="A11" s="972" t="s">
        <v>1754</v>
      </c>
      <c r="B11" s="975"/>
      <c r="C11" s="975"/>
      <c r="D11" s="975"/>
      <c r="E11" s="975"/>
      <c r="F11" s="975"/>
      <c r="G11" s="975"/>
    </row>
    <row r="12" spans="1:7" ht="15.45" customHeight="1">
      <c r="A12" s="974" t="s">
        <v>1755</v>
      </c>
      <c r="B12" s="975"/>
      <c r="C12" s="975"/>
      <c r="D12" s="975"/>
      <c r="E12" s="975"/>
      <c r="F12" s="975"/>
      <c r="G12" s="975"/>
    </row>
    <row r="13" spans="1:7" ht="15.45" customHeight="1">
      <c r="A13" s="974" t="s">
        <v>1756</v>
      </c>
      <c r="B13" s="975"/>
      <c r="C13" s="975"/>
      <c r="D13" s="975"/>
      <c r="E13" s="975"/>
      <c r="F13" s="975"/>
      <c r="G13" s="975"/>
    </row>
    <row r="14" spans="1:7" ht="15.45" customHeight="1">
      <c r="A14" s="974" t="s">
        <v>1757</v>
      </c>
      <c r="B14" s="975"/>
      <c r="C14" s="975"/>
      <c r="D14" s="975"/>
      <c r="E14" s="975"/>
      <c r="F14" s="975"/>
      <c r="G14" s="975"/>
    </row>
    <row r="15" spans="1:7" ht="15.45" customHeight="1">
      <c r="A15" s="974" t="s">
        <v>1758</v>
      </c>
      <c r="B15" s="975"/>
      <c r="C15" s="975"/>
      <c r="D15" s="975"/>
      <c r="E15" s="975"/>
      <c r="F15" s="975"/>
      <c r="G15" s="975"/>
    </row>
    <row r="16" spans="1:7" ht="15.45" customHeight="1">
      <c r="A16" s="974" t="s">
        <v>1759</v>
      </c>
      <c r="B16" s="975"/>
      <c r="C16" s="975"/>
      <c r="D16" s="975"/>
      <c r="E16" s="975"/>
      <c r="F16" s="975"/>
      <c r="G16" s="975"/>
    </row>
    <row r="17" spans="1:7" ht="15.45" customHeight="1">
      <c r="A17" s="974" t="s">
        <v>1760</v>
      </c>
      <c r="B17" s="975"/>
      <c r="C17" s="975"/>
      <c r="D17" s="975"/>
      <c r="E17" s="975"/>
      <c r="F17" s="975"/>
      <c r="G17" s="975"/>
    </row>
    <row r="18" spans="1:7" ht="15.45" customHeight="1">
      <c r="A18" s="972" t="s">
        <v>1761</v>
      </c>
      <c r="B18" s="972"/>
      <c r="C18" s="972"/>
      <c r="D18" s="972"/>
      <c r="E18" s="972"/>
      <c r="F18" s="972"/>
      <c r="G18" s="972"/>
    </row>
    <row r="19" spans="1:7" ht="15.45" customHeight="1">
      <c r="A19" s="972" t="s">
        <v>1762</v>
      </c>
      <c r="B19" s="972"/>
      <c r="C19" s="972"/>
      <c r="D19" s="972"/>
      <c r="E19" s="972"/>
      <c r="F19" s="972"/>
      <c r="G19" s="972"/>
    </row>
    <row r="20" spans="1:7" ht="15.45" customHeight="1">
      <c r="A20" s="972" t="s">
        <v>1763</v>
      </c>
      <c r="B20" s="972"/>
      <c r="C20" s="972"/>
      <c r="D20" s="972"/>
      <c r="E20" s="972"/>
      <c r="F20" s="972"/>
      <c r="G20" s="972"/>
    </row>
    <row r="21" spans="1:7" ht="15.45" customHeight="1">
      <c r="A21" s="972" t="s">
        <v>1764</v>
      </c>
      <c r="B21" s="972"/>
      <c r="C21" s="972"/>
      <c r="D21" s="972"/>
      <c r="E21" s="972"/>
      <c r="F21" s="972"/>
      <c r="G21" s="972"/>
    </row>
    <row r="22" spans="1:7" ht="15.45" customHeight="1">
      <c r="A22" s="972" t="s">
        <v>1765</v>
      </c>
      <c r="B22" s="972"/>
      <c r="C22" s="972"/>
      <c r="D22" s="972"/>
      <c r="E22" s="972"/>
      <c r="F22" s="972"/>
      <c r="G22" s="972"/>
    </row>
    <row r="23" spans="1:7" ht="15.45" customHeight="1">
      <c r="A23" s="972" t="s">
        <v>1766</v>
      </c>
      <c r="B23" s="972"/>
      <c r="C23" s="972"/>
      <c r="D23" s="972"/>
      <c r="E23" s="972"/>
      <c r="F23" s="972"/>
      <c r="G23" s="972"/>
    </row>
  </sheetData>
  <mergeCells count="22">
    <mergeCell ref="A1:G1"/>
    <mergeCell ref="A17:G17"/>
    <mergeCell ref="A9:G9"/>
    <mergeCell ref="A8:G8"/>
    <mergeCell ref="A3:G3"/>
    <mergeCell ref="A12:G12"/>
    <mergeCell ref="A4:G4"/>
    <mergeCell ref="A2:G2"/>
    <mergeCell ref="A16:G16"/>
    <mergeCell ref="A15:G15"/>
    <mergeCell ref="A7:G7"/>
    <mergeCell ref="A11:G11"/>
    <mergeCell ref="A10:G10"/>
    <mergeCell ref="A5:G6"/>
    <mergeCell ref="A14:G14"/>
    <mergeCell ref="A13:G13"/>
    <mergeCell ref="A23:G23"/>
    <mergeCell ref="A18:G18"/>
    <mergeCell ref="A19:G19"/>
    <mergeCell ref="A20:G20"/>
    <mergeCell ref="A21:G21"/>
    <mergeCell ref="A22:G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84">
    <tabColor rgb="FF00FF00"/>
    <outlinePr summaryBelow="0" summaryRight="0"/>
  </sheetPr>
  <dimension ref="A1:G9"/>
  <sheetViews>
    <sheetView workbookViewId="0">
      <selection activeCell="B1" sqref="B1"/>
    </sheetView>
  </sheetViews>
  <sheetFormatPr baseColWidth="10" defaultColWidth="12.625" defaultRowHeight="15.8" customHeight="1"/>
  <cols>
    <col min="1" max="1" width="18.375" customWidth="1"/>
    <col min="2" max="2" width="21.75" customWidth="1"/>
    <col min="3" max="3" width="21.75" style="614" customWidth="1"/>
    <col min="4" max="4" width="24.875" customWidth="1"/>
    <col min="5" max="5" width="24.875" style="614" customWidth="1"/>
    <col min="6" max="6" width="23" customWidth="1"/>
    <col min="7" max="7" width="18.125" bestFit="1" customWidth="1"/>
  </cols>
  <sheetData>
    <row r="1" spans="1:7" ht="12.75" customHeight="1">
      <c r="A1" s="76" t="s">
        <v>0</v>
      </c>
      <c r="B1" s="132" t="s">
        <v>1</v>
      </c>
      <c r="C1" s="225"/>
      <c r="D1" s="82"/>
      <c r="E1" s="640"/>
      <c r="F1" s="82"/>
    </row>
    <row r="2" spans="1:7" ht="62.5" customHeight="1">
      <c r="A2" s="232" t="s">
        <v>846</v>
      </c>
      <c r="B2" s="232" t="s">
        <v>847</v>
      </c>
      <c r="C2" s="232" t="s">
        <v>1125</v>
      </c>
      <c r="D2" s="232" t="s">
        <v>848</v>
      </c>
      <c r="E2" s="232" t="s">
        <v>1126</v>
      </c>
      <c r="F2" s="232"/>
      <c r="G2" s="58"/>
    </row>
    <row r="3" spans="1:7" ht="38.25" customHeight="1">
      <c r="A3" s="277" t="s">
        <v>8</v>
      </c>
      <c r="B3" s="278" t="s">
        <v>1124</v>
      </c>
      <c r="C3" s="278" t="s">
        <v>1046</v>
      </c>
      <c r="D3" s="278" t="s">
        <v>708</v>
      </c>
      <c r="E3" s="278" t="s">
        <v>643</v>
      </c>
      <c r="F3" s="278"/>
      <c r="G3" s="71"/>
    </row>
    <row r="4" spans="1:7" ht="12.75" customHeight="1">
      <c r="A4" s="211" t="s">
        <v>14</v>
      </c>
      <c r="B4" s="211" t="s">
        <v>15</v>
      </c>
      <c r="C4" s="211" t="s">
        <v>15</v>
      </c>
      <c r="D4" s="211" t="s">
        <v>15</v>
      </c>
      <c r="E4" s="211" t="s">
        <v>15</v>
      </c>
      <c r="F4" s="279"/>
      <c r="G4" s="68"/>
    </row>
    <row r="5" spans="1:7" ht="25.5" customHeight="1">
      <c r="A5" s="280" t="s">
        <v>16</v>
      </c>
      <c r="B5" s="212" t="s">
        <v>849</v>
      </c>
      <c r="C5" s="212" t="s">
        <v>1127</v>
      </c>
      <c r="D5" s="212" t="s">
        <v>1143</v>
      </c>
      <c r="E5" s="212" t="s">
        <v>1128</v>
      </c>
      <c r="F5" s="281" t="s">
        <v>1129</v>
      </c>
      <c r="G5" s="281" t="s">
        <v>1142</v>
      </c>
    </row>
    <row r="6" spans="1:7" ht="12.75" customHeight="1">
      <c r="A6" s="212">
        <v>1</v>
      </c>
      <c r="B6" s="212" t="s">
        <v>850</v>
      </c>
      <c r="C6" s="212" t="s">
        <v>1130</v>
      </c>
      <c r="D6" s="212">
        <v>3053086510</v>
      </c>
      <c r="E6" s="212" t="s">
        <v>15</v>
      </c>
      <c r="F6" s="212" t="str">
        <f t="shared" ref="F6:G9" si="0">B6</f>
        <v>Colanta</v>
      </c>
      <c r="G6" s="212" t="str">
        <f t="shared" si="0"/>
        <v>900100001-1</v>
      </c>
    </row>
    <row r="7" spans="1:7" ht="12.75" customHeight="1">
      <c r="A7" s="212">
        <v>2</v>
      </c>
      <c r="B7" s="212" t="s">
        <v>851</v>
      </c>
      <c r="C7" s="212" t="s">
        <v>1131</v>
      </c>
      <c r="D7" s="212">
        <v>3139562216</v>
      </c>
      <c r="E7" s="212" t="s">
        <v>15</v>
      </c>
      <c r="F7" s="212" t="str">
        <f t="shared" si="0"/>
        <v>Harinera del valle</v>
      </c>
      <c r="G7" s="212" t="str">
        <f t="shared" si="0"/>
        <v>900100002-2</v>
      </c>
    </row>
    <row r="8" spans="1:7" ht="12.75" customHeight="1">
      <c r="A8" s="212">
        <v>3</v>
      </c>
      <c r="B8" s="212" t="s">
        <v>852</v>
      </c>
      <c r="C8" s="212" t="s">
        <v>1132</v>
      </c>
      <c r="D8" s="212">
        <v>3108582230</v>
      </c>
      <c r="E8" s="212" t="s">
        <v>15</v>
      </c>
      <c r="F8" s="212" t="str">
        <f t="shared" si="0"/>
        <v>Postobon</v>
      </c>
      <c r="G8" s="212" t="str">
        <f t="shared" si="0"/>
        <v>900100003-3</v>
      </c>
    </row>
    <row r="9" spans="1:7" ht="12.75" customHeight="1">
      <c r="A9" s="562">
        <v>4</v>
      </c>
      <c r="B9" s="562" t="s">
        <v>853</v>
      </c>
      <c r="C9" s="562" t="s">
        <v>1133</v>
      </c>
      <c r="D9" s="562">
        <v>3201234567</v>
      </c>
      <c r="E9" s="562" t="s">
        <v>15</v>
      </c>
      <c r="F9" s="562" t="str">
        <f t="shared" si="0"/>
        <v>Central de Abastos</v>
      </c>
      <c r="G9" s="562" t="str">
        <f t="shared" si="0"/>
        <v>900100004-4</v>
      </c>
    </row>
  </sheetData>
  <hyperlinks>
    <hyperlink ref="A1" location="'Modelo de dominio'!A1" display="&lt;&lt;&lt;Modelo de Dominio" xr:uid="{00000000-0004-0000-3500-000000000000}"/>
    <hyperlink ref="B1" location="'Objetos de dominio'!A1" display="&lt;&lt;&lt;Objetos de Dominio" xr:uid="{00000000-0004-0000-3500-000001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85">
    <tabColor rgb="FF00FF00"/>
    <outlinePr summaryBelow="0" summaryRight="0"/>
  </sheetPr>
  <dimension ref="A1:WQJ28"/>
  <sheetViews>
    <sheetView topLeftCell="B3" zoomScale="54" workbookViewId="0">
      <selection activeCell="Q35" sqref="Q35"/>
    </sheetView>
  </sheetViews>
  <sheetFormatPr baseColWidth="10" defaultColWidth="12.625" defaultRowHeight="12.9"/>
  <cols>
    <col min="1" max="1" width="27.75" bestFit="1" customWidth="1"/>
    <col min="2" max="2" width="60.25" bestFit="1" customWidth="1"/>
    <col min="3" max="3" width="34.375" bestFit="1" customWidth="1"/>
    <col min="4" max="4" width="20" bestFit="1" customWidth="1"/>
    <col min="5" max="5" width="11.625" bestFit="1" customWidth="1"/>
    <col min="6" max="6" width="27" bestFit="1" customWidth="1"/>
    <col min="7" max="7" width="27.375" bestFit="1" customWidth="1"/>
    <col min="8" max="8" width="19.75" bestFit="1" customWidth="1"/>
    <col min="9" max="9" width="52" bestFit="1" customWidth="1"/>
    <col min="10" max="10" width="23.25" bestFit="1" customWidth="1"/>
    <col min="11" max="11" width="21.75" bestFit="1" customWidth="1"/>
    <col min="12" max="12" width="18.75" bestFit="1" customWidth="1"/>
    <col min="13" max="13" width="39.375" bestFit="1" customWidth="1"/>
    <col min="14" max="14" width="15.375" bestFit="1" customWidth="1"/>
    <col min="15" max="15" width="31.25" bestFit="1" customWidth="1"/>
    <col min="16" max="16" width="28.25" bestFit="1" customWidth="1"/>
    <col min="17" max="17" width="113.875" bestFit="1" customWidth="1"/>
    <col min="18" max="18" width="65.125" bestFit="1" customWidth="1"/>
    <col min="19" max="19" width="23.875" bestFit="1" customWidth="1"/>
    <col min="20" max="20" width="27.375" bestFit="1" customWidth="1"/>
    <col min="21" max="21" width="15.25" bestFit="1" customWidth="1"/>
    <col min="22" max="22" width="21.625" customWidth="1"/>
    <col min="23" max="23" width="23" customWidth="1"/>
    <col min="25" max="25" width="17.75" customWidth="1"/>
    <col min="26" max="26" width="25.875" bestFit="1" customWidth="1"/>
  </cols>
  <sheetData>
    <row r="1" spans="1:26" ht="13.75" customHeight="1">
      <c r="A1" s="2" t="s">
        <v>0</v>
      </c>
      <c r="B1" s="132" t="s">
        <v>1</v>
      </c>
      <c r="C1" s="25"/>
      <c r="D1" s="25"/>
      <c r="E1" s="25"/>
      <c r="F1" s="25"/>
      <c r="G1" s="25"/>
      <c r="H1" s="25"/>
      <c r="I1" s="25"/>
      <c r="J1" s="25"/>
      <c r="K1" s="25"/>
      <c r="L1" s="25"/>
      <c r="M1" s="25"/>
      <c r="N1" s="25"/>
      <c r="O1" s="25"/>
      <c r="P1" s="25"/>
      <c r="Q1" s="25"/>
      <c r="R1" s="25"/>
      <c r="S1" s="25"/>
      <c r="T1" s="25"/>
      <c r="U1" s="25"/>
    </row>
    <row r="2" spans="1:26" ht="14.3" customHeight="1">
      <c r="A2" s="7" t="s">
        <v>20</v>
      </c>
      <c r="B2" s="1031" t="s">
        <v>260</v>
      </c>
      <c r="C2" s="1032"/>
      <c r="D2" s="1032"/>
      <c r="E2" s="1032"/>
      <c r="F2" s="1032"/>
      <c r="G2" s="1032"/>
      <c r="H2" s="1032"/>
      <c r="I2" s="1032"/>
      <c r="J2" s="1032"/>
      <c r="K2" s="1032"/>
      <c r="L2" s="1032"/>
      <c r="M2" s="1032"/>
      <c r="N2" s="1032"/>
      <c r="O2" s="1032"/>
      <c r="P2" s="1032"/>
      <c r="Q2" s="1032"/>
      <c r="R2" s="1032"/>
      <c r="S2" s="1032"/>
      <c r="T2" s="1032"/>
      <c r="U2" s="1033"/>
    </row>
    <row r="3" spans="1:26" ht="14.3" customHeight="1">
      <c r="A3" s="7" t="s">
        <v>79</v>
      </c>
      <c r="B3" s="1041" t="str">
        <f>HYPERLINK("#'Objetos de dominio'!B3", 'Objetos de dominio'!B3)</f>
        <v>Son las personas o empresas que le venden a la pizzería los insumos que necesita para funcionar.</v>
      </c>
      <c r="C3" s="1032"/>
      <c r="D3" s="1032"/>
      <c r="E3" s="1032"/>
      <c r="F3" s="1032"/>
      <c r="G3" s="1032"/>
      <c r="H3" s="1032"/>
      <c r="I3" s="1032"/>
      <c r="J3" s="1032"/>
      <c r="K3" s="1032"/>
      <c r="L3" s="1032"/>
      <c r="M3" s="1032"/>
      <c r="N3" s="1032"/>
      <c r="O3" s="1032"/>
      <c r="P3" s="1032"/>
      <c r="Q3" s="1032"/>
      <c r="R3" s="1032"/>
      <c r="S3" s="1032"/>
      <c r="T3" s="1032"/>
      <c r="U3" s="1033"/>
    </row>
    <row r="4" spans="1:26" ht="14.3"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6" t="str">
        <f>HYPERLINK("#'C-Proveedor'!A18", 'C-Proveedor'!A18)</f>
        <v>Registrar proveedor</v>
      </c>
      <c r="W4" s="1026" t="str">
        <f>HYPERLINK("#'C-Proveedor'!A22", 'C-Proveedor'!A22)</f>
        <v>Modificar proveedor</v>
      </c>
      <c r="X4" s="1027"/>
      <c r="Y4" s="688" t="str">
        <f>HYPERLINK("#'C-Proveedor'!A25", 'C-Proveedor'!A25)</f>
        <v>Retirar proveedor</v>
      </c>
      <c r="Z4" s="686" t="str">
        <f>HYPERLINK("#'C-Proveedor'!A28", 'C-Proveedor'!A28)</f>
        <v>Consultar proveedores activos</v>
      </c>
    </row>
    <row r="5" spans="1:26" ht="13.75" customHeight="1">
      <c r="A5" s="135" t="str">
        <f>HYPERLINK("#'M-Proveedor'!A5", 'M-Proveedor'!A5)</f>
        <v>Id</v>
      </c>
      <c r="B5" s="135" t="str">
        <f>HYPERLINK("#'M-Proveedor'!A2", 'M-Proveedor'!A2)</f>
        <v xml:space="preserve">Identificador unico del proveedor dentro de la pizzeria </v>
      </c>
      <c r="C5" s="13" t="s">
        <v>15</v>
      </c>
      <c r="D5" s="13" t="s">
        <v>854</v>
      </c>
      <c r="E5" s="13" t="s">
        <v>15</v>
      </c>
      <c r="F5" s="9"/>
      <c r="G5" s="9"/>
      <c r="H5" s="9"/>
      <c r="I5" s="9"/>
      <c r="J5" s="9"/>
      <c r="K5" s="9"/>
      <c r="L5" s="9"/>
      <c r="M5" s="9"/>
      <c r="N5" s="13" t="s">
        <v>100</v>
      </c>
      <c r="O5" s="13" t="s">
        <v>100</v>
      </c>
      <c r="P5" s="9"/>
      <c r="Q5" s="13" t="s">
        <v>100</v>
      </c>
      <c r="R5" s="13" t="s">
        <v>100</v>
      </c>
      <c r="S5" s="13" t="s">
        <v>100</v>
      </c>
      <c r="T5" s="9"/>
      <c r="U5" s="481" t="s">
        <v>15</v>
      </c>
      <c r="V5" s="684" t="s">
        <v>101</v>
      </c>
      <c r="W5" s="526" t="s">
        <v>101</v>
      </c>
      <c r="X5" s="526" t="s">
        <v>273</v>
      </c>
      <c r="Y5" s="687" t="s">
        <v>101</v>
      </c>
      <c r="Z5" s="684" t="s">
        <v>274</v>
      </c>
    </row>
    <row r="6" spans="1:26" ht="13.75" customHeight="1">
      <c r="A6" s="648" t="str">
        <f>HYPERLINK("#'M-Proveedor'!B5", 'M-Proveedor'!B5)</f>
        <v>Nombre Empresa</v>
      </c>
      <c r="B6" s="648" t="str">
        <f>HYPERLINK("#'M-Proveedor'!B2", 'M-Proveedor'!B2)</f>
        <v xml:space="preserve">Nombre de la empresa a la que pertenece el proveedor  </v>
      </c>
      <c r="C6" s="13" t="s">
        <v>100</v>
      </c>
      <c r="D6" s="9" t="s">
        <v>280</v>
      </c>
      <c r="E6" s="13" t="s">
        <v>15</v>
      </c>
      <c r="F6" s="12">
        <v>1</v>
      </c>
      <c r="G6" s="12">
        <v>60</v>
      </c>
      <c r="H6" s="9"/>
      <c r="I6" s="9"/>
      <c r="J6" s="9"/>
      <c r="K6" s="9"/>
      <c r="L6" s="9"/>
      <c r="M6" s="13" t="s">
        <v>855</v>
      </c>
      <c r="N6" s="13" t="s">
        <v>100</v>
      </c>
      <c r="O6" s="13" t="s">
        <v>100</v>
      </c>
      <c r="P6" s="9"/>
      <c r="Q6" s="13" t="s">
        <v>15</v>
      </c>
      <c r="R6" s="13" t="s">
        <v>15</v>
      </c>
      <c r="S6" s="13" t="s">
        <v>100</v>
      </c>
      <c r="T6" s="9"/>
      <c r="U6" s="112" t="s">
        <v>100</v>
      </c>
      <c r="V6" s="582" t="s">
        <v>101</v>
      </c>
      <c r="W6" s="600" t="s">
        <v>276</v>
      </c>
      <c r="X6" s="600" t="s">
        <v>277</v>
      </c>
      <c r="Y6" s="557" t="s">
        <v>276</v>
      </c>
      <c r="Z6" s="582" t="s">
        <v>278</v>
      </c>
    </row>
    <row r="7" spans="1:26" s="614" customFormat="1" ht="13.75" customHeight="1">
      <c r="A7" s="761" t="str">
        <f>HYPERLINK("#'M-Proveedor'!C5", 'M-Proveedor'!C5)</f>
        <v>NIT</v>
      </c>
      <c r="B7" s="762" t="str">
        <f>HYPERLINK("#'M-Proveedor'!C2", 'M-Proveedor'!C2)</f>
        <v>Numero de identificacion tributaria (NIT) del proveedor; no se puede repetir entre proveedores</v>
      </c>
      <c r="C7" s="649" t="s">
        <v>100</v>
      </c>
      <c r="D7" s="642" t="s">
        <v>280</v>
      </c>
      <c r="E7" s="641" t="s">
        <v>15</v>
      </c>
      <c r="F7" s="643">
        <v>1</v>
      </c>
      <c r="G7" s="643">
        <v>15</v>
      </c>
      <c r="H7" s="642"/>
      <c r="I7" s="642"/>
      <c r="J7" s="642"/>
      <c r="K7" s="642"/>
      <c r="L7" s="642"/>
      <c r="M7" s="641" t="s">
        <v>1134</v>
      </c>
      <c r="N7" s="641" t="s">
        <v>100</v>
      </c>
      <c r="O7" s="641" t="s">
        <v>100</v>
      </c>
      <c r="P7" s="642"/>
      <c r="Q7" s="641" t="s">
        <v>15</v>
      </c>
      <c r="R7" s="641" t="s">
        <v>15</v>
      </c>
      <c r="S7" s="641" t="s">
        <v>100</v>
      </c>
      <c r="T7" s="642"/>
      <c r="U7" s="112" t="s">
        <v>100</v>
      </c>
      <c r="V7" s="582" t="s">
        <v>101</v>
      </c>
      <c r="W7" s="600" t="s">
        <v>276</v>
      </c>
      <c r="X7" s="600" t="s">
        <v>277</v>
      </c>
      <c r="Y7" s="557" t="s">
        <v>276</v>
      </c>
      <c r="Z7" s="582" t="s">
        <v>278</v>
      </c>
    </row>
    <row r="8" spans="1:26" ht="13.75" customHeight="1">
      <c r="A8" s="761" t="str">
        <f>HYPERLINK("#'M-Proveedor'!D5", 'M-Proveedor'!D5)</f>
        <v>Contacto</v>
      </c>
      <c r="B8" s="762" t="str">
        <f>HYPERLINK("#'M-Proveedor'!D2", 'M-Proveedor'!D2)</f>
        <v xml:space="preserve">Forma de comunicacion directa con el proveedor </v>
      </c>
      <c r="C8" s="650" t="s">
        <v>100</v>
      </c>
      <c r="D8" s="15" t="s">
        <v>280</v>
      </c>
      <c r="E8" s="14" t="s">
        <v>15</v>
      </c>
      <c r="F8" s="75">
        <v>1</v>
      </c>
      <c r="G8" s="75">
        <v>10</v>
      </c>
      <c r="H8" s="14"/>
      <c r="I8" s="15"/>
      <c r="J8" s="14"/>
      <c r="K8" s="15"/>
      <c r="L8" s="15"/>
      <c r="M8" s="15" t="s">
        <v>856</v>
      </c>
      <c r="N8" s="14" t="s">
        <v>100</v>
      </c>
      <c r="O8" s="14" t="s">
        <v>100</v>
      </c>
      <c r="P8" s="15"/>
      <c r="Q8" s="14" t="s">
        <v>15</v>
      </c>
      <c r="R8" s="14" t="s">
        <v>15</v>
      </c>
      <c r="S8" s="14" t="s">
        <v>100</v>
      </c>
      <c r="T8" s="15"/>
      <c r="U8" s="483" t="s">
        <v>100</v>
      </c>
      <c r="V8" s="582" t="s">
        <v>101</v>
      </c>
      <c r="W8" s="600" t="s">
        <v>276</v>
      </c>
      <c r="X8" s="600" t="s">
        <v>277</v>
      </c>
      <c r="Y8" s="557" t="s">
        <v>276</v>
      </c>
      <c r="Z8" s="582" t="s">
        <v>278</v>
      </c>
    </row>
    <row r="9" spans="1:26" s="614" customFormat="1" ht="13.75" customHeight="1">
      <c r="A9" s="763" t="str">
        <f>HYPERLINK("#'M-Proveedor'!E5", 'M-Proveedor'!E5)</f>
        <v>Activo</v>
      </c>
      <c r="B9" s="764" t="str">
        <f>HYPERLINK("#'M-Proveedor'!E2", 'M-Proveedor'!E2)</f>
        <v>Indica si el proveedor esta activo y disponible para nuevas compras</v>
      </c>
      <c r="C9" s="689" t="s">
        <v>100</v>
      </c>
      <c r="D9" s="651" t="s">
        <v>643</v>
      </c>
      <c r="E9" s="652" t="s">
        <v>15</v>
      </c>
      <c r="F9" s="653"/>
      <c r="G9" s="653"/>
      <c r="H9" s="652"/>
      <c r="I9" s="651"/>
      <c r="J9" s="652"/>
      <c r="K9" s="651"/>
      <c r="L9" s="651"/>
      <c r="M9" s="651" t="s">
        <v>1135</v>
      </c>
      <c r="N9" s="652" t="s">
        <v>100</v>
      </c>
      <c r="O9" s="652" t="s">
        <v>100</v>
      </c>
      <c r="P9" s="651"/>
      <c r="Q9" s="652" t="s">
        <v>100</v>
      </c>
      <c r="R9" s="652" t="s">
        <v>100</v>
      </c>
      <c r="S9" s="652" t="s">
        <v>100</v>
      </c>
      <c r="T9" s="651" t="s">
        <v>15</v>
      </c>
      <c r="U9" s="651" t="s">
        <v>100</v>
      </c>
      <c r="V9" s="534" t="s">
        <v>276</v>
      </c>
      <c r="W9" s="644" t="s">
        <v>276</v>
      </c>
      <c r="X9" s="644" t="s">
        <v>273</v>
      </c>
      <c r="Y9" s="645" t="s">
        <v>276</v>
      </c>
      <c r="Z9" s="534" t="s">
        <v>274</v>
      </c>
    </row>
    <row r="12" spans="1:26" ht="14.3" customHeight="1">
      <c r="A12" s="16" t="s">
        <v>109</v>
      </c>
      <c r="B12" s="16" t="s">
        <v>79</v>
      </c>
      <c r="C12" s="16" t="s">
        <v>110</v>
      </c>
    </row>
    <row r="13" spans="1:26" ht="13.75" customHeight="1">
      <c r="A13" s="391" t="s">
        <v>111</v>
      </c>
      <c r="B13" s="390" t="s">
        <v>857</v>
      </c>
      <c r="C13" s="136" t="str">
        <f>HYPERLINK("#'C-Proveedor'!A6", 'C-Proveedor'!A6)</f>
        <v>Nombre Empresa</v>
      </c>
    </row>
    <row r="14" spans="1:26" ht="13.6">
      <c r="A14" s="391" t="s">
        <v>1061</v>
      </c>
      <c r="B14" s="390" t="s">
        <v>1136</v>
      </c>
      <c r="C14" s="136" t="str">
        <f>HYPERLINK("#'C-Proveedor'!A7", 'C-Proveedor'!A7)</f>
        <v>NIT</v>
      </c>
    </row>
    <row r="15" spans="1:26" ht="13.75" customHeight="1" thickBot="1"/>
    <row r="16" spans="1:26" ht="14.3" customHeight="1">
      <c r="A16" s="1037" t="s">
        <v>113</v>
      </c>
      <c r="B16" s="1038"/>
      <c r="C16" s="1042" t="s">
        <v>79</v>
      </c>
      <c r="D16" s="1043"/>
      <c r="E16" s="1043"/>
      <c r="F16" s="1038"/>
      <c r="G16" s="1042" t="s">
        <v>114</v>
      </c>
      <c r="H16" s="1029"/>
      <c r="I16" s="1030"/>
      <c r="J16" s="1028" t="s">
        <v>115</v>
      </c>
      <c r="K16" s="1029"/>
      <c r="L16" s="1029"/>
      <c r="M16" s="1029"/>
      <c r="N16" s="1030"/>
      <c r="O16" s="1028" t="s">
        <v>116</v>
      </c>
      <c r="P16" s="1030"/>
      <c r="Q16" s="1028" t="s">
        <v>117</v>
      </c>
      <c r="R16" s="1030"/>
    </row>
    <row r="17" spans="1:18 16000:16000" ht="14.3" customHeight="1">
      <c r="A17" s="1039"/>
      <c r="B17" s="1040"/>
      <c r="C17" s="1044"/>
      <c r="D17" s="1045"/>
      <c r="E17" s="1045"/>
      <c r="F17" s="1040"/>
      <c r="G17" s="517" t="s">
        <v>118</v>
      </c>
      <c r="H17" s="517" t="s">
        <v>8</v>
      </c>
      <c r="I17" s="517" t="s">
        <v>79</v>
      </c>
      <c r="J17" s="544" t="s">
        <v>119</v>
      </c>
      <c r="K17" s="1034" t="s">
        <v>79</v>
      </c>
      <c r="L17" s="1035"/>
      <c r="M17" s="1035"/>
      <c r="N17" s="1036"/>
      <c r="O17" s="284" t="s">
        <v>120</v>
      </c>
      <c r="P17" s="544" t="s">
        <v>79</v>
      </c>
      <c r="Q17" s="544" t="s">
        <v>121</v>
      </c>
      <c r="R17" s="188" t="s">
        <v>122</v>
      </c>
    </row>
    <row r="18" spans="1:18 16000:16000" ht="76.75" customHeight="1">
      <c r="A18" s="1011" t="str">
        <f>HYPERLINK("#'C-Proveedor'!V4", 'E-Proveedor'!B7)</f>
        <v>Registrar proveedor</v>
      </c>
      <c r="B18" s="1012"/>
      <c r="C18" s="1011" t="str">
        <f>'E-Proveedor'!C7</f>
        <v>Permite imcorporar un crear un proveedor</v>
      </c>
      <c r="D18" s="1017"/>
      <c r="E18" s="1017"/>
      <c r="F18" s="1012"/>
      <c r="G18" s="1020" t="s">
        <v>123</v>
      </c>
      <c r="H18" s="1020" t="s">
        <v>260</v>
      </c>
      <c r="I18" s="1023" t="s">
        <v>858</v>
      </c>
      <c r="J18" s="1020" t="s">
        <v>260</v>
      </c>
      <c r="K18" s="1011" t="s">
        <v>859</v>
      </c>
      <c r="L18" s="1017"/>
      <c r="M18" s="1017"/>
      <c r="N18" s="1012"/>
      <c r="O18" s="765" t="str">
        <f>HYPERLINK("#'P-Proveedor'!A5", 'P-Proveedor'!A5)</f>
        <v>P-PROV-001</v>
      </c>
      <c r="P18" s="511" t="str">
        <f>'P-Proveedor'!B5</f>
        <v>Asegurar que los datos requeridos para registrar un proveedor sean válidos de acuerdo con el tipo de dato, obligatoriedad, formato, longitud y rango correspondiente.</v>
      </c>
      <c r="Q18" s="543" t="s">
        <v>860</v>
      </c>
      <c r="R18" s="543" t="s">
        <v>127</v>
      </c>
    </row>
    <row r="19" spans="1:18 16000:16000" ht="51.65">
      <c r="A19" s="1013"/>
      <c r="B19" s="1014"/>
      <c r="C19" s="1013"/>
      <c r="D19" s="1018"/>
      <c r="E19" s="1018"/>
      <c r="F19" s="1014"/>
      <c r="G19" s="1021"/>
      <c r="H19" s="1021"/>
      <c r="I19" s="1024"/>
      <c r="J19" s="1021"/>
      <c r="K19" s="1013"/>
      <c r="L19" s="1018"/>
      <c r="M19" s="1018"/>
      <c r="N19" s="1014"/>
      <c r="O19" s="765" t="str">
        <f>HYPERLINK("#'P-Proveedor'!A6", 'P-Proveedor'!A6)</f>
        <v>P-PROV-002</v>
      </c>
      <c r="P19" s="511" t="str">
        <f>'P-Proveedor'!B6</f>
        <v>Asegurar que el identificador generado para el proveedor no esté siendo utilizado por otro proveedor.</v>
      </c>
      <c r="Q19" s="543" t="s">
        <v>861</v>
      </c>
      <c r="R19" s="543" t="s">
        <v>661</v>
      </c>
    </row>
    <row r="20" spans="1:18 16000:16000" ht="25.5" customHeight="1">
      <c r="A20" s="1013"/>
      <c r="B20" s="1014"/>
      <c r="C20" s="1013"/>
      <c r="D20" s="1018"/>
      <c r="E20" s="1018"/>
      <c r="F20" s="1014"/>
      <c r="G20" s="1021"/>
      <c r="H20" s="1021"/>
      <c r="I20" s="1024"/>
      <c r="J20" s="1021"/>
      <c r="K20" s="1013"/>
      <c r="L20" s="1018"/>
      <c r="M20" s="1018"/>
      <c r="N20" s="1014"/>
      <c r="O20" s="765" t="str">
        <f>HYPERLINK("#'P-Proveedor'!A7", 'P-Proveedor'!A7)</f>
        <v>P-PROV-003</v>
      </c>
      <c r="P20" s="511" t="str">
        <f>'P-Proveedor'!B7</f>
        <v>Asegurar que no exista otro proveedor registrado con el mismo NIT.</v>
      </c>
      <c r="Q20" s="543" t="s">
        <v>1395</v>
      </c>
      <c r="R20" s="543" t="s">
        <v>1396</v>
      </c>
    </row>
    <row r="21" spans="1:18 16000:16000" ht="22.75" customHeight="1">
      <c r="A21" s="1015"/>
      <c r="B21" s="1016"/>
      <c r="C21" s="1015"/>
      <c r="D21" s="1019"/>
      <c r="E21" s="1019"/>
      <c r="F21" s="1016"/>
      <c r="G21" s="1022"/>
      <c r="H21" s="1022"/>
      <c r="I21" s="1025"/>
      <c r="J21" s="1022"/>
      <c r="K21" s="1015"/>
      <c r="L21" s="1019"/>
      <c r="M21" s="1019"/>
      <c r="N21" s="1016"/>
      <c r="O21" s="765" t="str">
        <f>HYPERLINK("#'P-Proveedor'!A14", 'P-Proveedor'!A14)</f>
        <v>P-PROV-010</v>
      </c>
      <c r="P21" s="511" t="str">
        <f>'P-Proveedor'!B14</f>
        <v>Asegurar que no exista otro proveedor registrado con el mismo nombre de empresa.</v>
      </c>
      <c r="Q21" s="543" t="s">
        <v>1397</v>
      </c>
      <c r="R21" s="543" t="s">
        <v>1398</v>
      </c>
    </row>
    <row r="22" spans="1:18 16000:16000" ht="38.75">
      <c r="A22" s="999" t="str">
        <f>HYPERLINK("#'C-Proveedor'!W4", 'E-Proveedor'!B11)</f>
        <v>Modificar proveedor</v>
      </c>
      <c r="B22" s="1000"/>
      <c r="C22" s="999" t="str">
        <f>'E-Proveedor'!C11</f>
        <v>Actualizar la información de un proveedor existente sin afectar la trazabilidad de las compras históricas asociadas a este.</v>
      </c>
      <c r="D22" s="1005"/>
      <c r="E22" s="1005"/>
      <c r="F22" s="1000"/>
      <c r="G22" s="1008" t="s">
        <v>123</v>
      </c>
      <c r="H22" s="1008" t="s">
        <v>260</v>
      </c>
      <c r="I22" s="1008" t="s">
        <v>862</v>
      </c>
      <c r="J22" s="1008" t="s">
        <v>260</v>
      </c>
      <c r="K22" s="999" t="s">
        <v>863</v>
      </c>
      <c r="L22" s="1005"/>
      <c r="M22" s="1005"/>
      <c r="N22" s="1000"/>
      <c r="O22" s="766" t="str">
        <f>HYPERLINK("#'P-Proveedor'!A8", 'P-Proveedor'!A8)</f>
        <v>P-PROV-004</v>
      </c>
      <c r="P22" s="863" t="str">
        <f>'P-Proveedor'!B8</f>
        <v>Asegurar que el proveedor que se desea actualizar se encuentre registrado en el sistema.</v>
      </c>
      <c r="Q22" s="863" t="s">
        <v>864</v>
      </c>
      <c r="R22" s="863" t="s">
        <v>865</v>
      </c>
    </row>
    <row r="23" spans="1:18 16000:16000" ht="77.45">
      <c r="A23" s="1001"/>
      <c r="B23" s="1002"/>
      <c r="C23" s="1001"/>
      <c r="D23" s="1006"/>
      <c r="E23" s="1006"/>
      <c r="F23" s="1002"/>
      <c r="G23" s="1009"/>
      <c r="H23" s="1009"/>
      <c r="I23" s="1009"/>
      <c r="J23" s="1009"/>
      <c r="K23" s="1001"/>
      <c r="L23" s="1006"/>
      <c r="M23" s="1006"/>
      <c r="N23" s="1002"/>
      <c r="O23" s="766" t="str">
        <f>HYPERLINK("#'P-Proveedor'!A5", 'P-Proveedor'!A5)</f>
        <v>P-PROV-001</v>
      </c>
      <c r="P23" s="863" t="str">
        <f>'P-Proveedor'!B5</f>
        <v>Asegurar que los datos requeridos para registrar un proveedor sean válidos de acuerdo con el tipo de dato, obligatoriedad, formato, longitud y rango correspondiente.</v>
      </c>
      <c r="Q23" s="863" t="s">
        <v>1399</v>
      </c>
      <c r="R23" s="863" t="s">
        <v>1400</v>
      </c>
    </row>
    <row r="24" spans="1:18 16000:16000" ht="51.65">
      <c r="A24" s="1003"/>
      <c r="B24" s="1004"/>
      <c r="C24" s="1003"/>
      <c r="D24" s="1007"/>
      <c r="E24" s="1007"/>
      <c r="F24" s="1004"/>
      <c r="G24" s="1010"/>
      <c r="H24" s="1010"/>
      <c r="I24" s="1010"/>
      <c r="J24" s="1010"/>
      <c r="K24" s="1003"/>
      <c r="L24" s="1007"/>
      <c r="M24" s="1007"/>
      <c r="N24" s="1004"/>
      <c r="O24" s="766" t="str">
        <f>HYPERLINK("#'P-Proveedor'!A9", 'P-Proveedor'!A9)</f>
        <v>P-PROV-005</v>
      </c>
      <c r="P24" s="863" t="str">
        <f>'P-Proveedor'!B9</f>
        <v>Asegurar que la información modificada del proveedor no genere duplicidad con otro proveedor registrado.</v>
      </c>
      <c r="Q24" s="863" t="s">
        <v>866</v>
      </c>
      <c r="R24" s="863" t="s">
        <v>867</v>
      </c>
    </row>
    <row r="25" spans="1:18 16000:16000" ht="25.5" customHeight="1">
      <c r="A25" s="978" t="str">
        <f>HYPERLINK("#'C-Proveedor'!Y4", 'E-Proveedor'!B14)</f>
        <v>Retirar proveedor</v>
      </c>
      <c r="B25" s="979"/>
      <c r="C25" s="978" t="str">
        <f>'E-Proveedor'!C14</f>
        <v>Permite retirar un proveedor con el que la pizzeria ya no trabaja: queda inactivo y no se puede usar en nuevas compras, pero se conservan sus compras.</v>
      </c>
      <c r="D25" s="984"/>
      <c r="E25" s="984"/>
      <c r="F25" s="979"/>
      <c r="G25" s="996" t="s">
        <v>16</v>
      </c>
      <c r="H25" s="996" t="s">
        <v>299</v>
      </c>
      <c r="I25" s="996" t="s">
        <v>868</v>
      </c>
      <c r="J25" s="996" t="s">
        <v>260</v>
      </c>
      <c r="K25" s="987" t="s">
        <v>869</v>
      </c>
      <c r="L25" s="988"/>
      <c r="M25" s="988"/>
      <c r="N25" s="989"/>
      <c r="O25" s="767" t="str">
        <f>HYPERLINK("#'P-Proveedor'!A10", 'P-Proveedor'!A10)</f>
        <v>P-PROV-006</v>
      </c>
      <c r="P25" s="598" t="str">
        <f>'P-Proveedor'!B10</f>
        <v>Asegurar que el proveedor que se desea retirar se encuentre registrado en el sistema.</v>
      </c>
      <c r="Q25" s="598" t="s">
        <v>870</v>
      </c>
      <c r="R25" s="598" t="s">
        <v>871</v>
      </c>
    </row>
    <row r="26" spans="1:18 16000:16000" s="614" customFormat="1" ht="25.5" customHeight="1">
      <c r="A26" s="980"/>
      <c r="B26" s="981"/>
      <c r="C26" s="980"/>
      <c r="D26" s="985"/>
      <c r="E26" s="985"/>
      <c r="F26" s="981"/>
      <c r="G26" s="997"/>
      <c r="H26" s="997"/>
      <c r="I26" s="997"/>
      <c r="J26" s="997"/>
      <c r="K26" s="990"/>
      <c r="L26" s="991"/>
      <c r="M26" s="991"/>
      <c r="N26" s="992"/>
      <c r="O26" s="767" t="str">
        <f>HYPERLINK("#'P-Proveedor'!A15", 'P-Proveedor'!A15)</f>
        <v>P-PROV-011</v>
      </c>
      <c r="P26" s="598" t="str">
        <f>'P-Proveedor'!B15</f>
        <v>Asegurar que el proveedor que se desea retirar no se encuentre ya retirado.</v>
      </c>
      <c r="Q26" s="598" t="s">
        <v>1401</v>
      </c>
      <c r="R26" s="598" t="s">
        <v>1402</v>
      </c>
      <c r="WQJ26"/>
    </row>
    <row r="27" spans="1:18 16000:16000" s="614" customFormat="1" ht="25.5" customHeight="1">
      <c r="A27" s="982"/>
      <c r="B27" s="983"/>
      <c r="C27" s="982"/>
      <c r="D27" s="986"/>
      <c r="E27" s="986"/>
      <c r="F27" s="983"/>
      <c r="G27" s="998"/>
      <c r="H27" s="998"/>
      <c r="I27" s="998"/>
      <c r="J27" s="998"/>
      <c r="K27" s="993"/>
      <c r="L27" s="994"/>
      <c r="M27" s="994"/>
      <c r="N27" s="995"/>
      <c r="O27" s="767" t="str">
        <f>HYPERLINK("#'P-Proveedor'!A11", 'P-Proveedor'!A11)</f>
        <v>P-PROV-007</v>
      </c>
      <c r="P27" s="598" t="str">
        <f>'P-Proveedor'!B11</f>
        <v>Asegurar que al retirar un proveedor se conserven sus compras registradas: el retiro solo cambia su estado a inactivo y no borra informacion.</v>
      </c>
      <c r="Q27" s="598" t="s">
        <v>1403</v>
      </c>
      <c r="R27" s="598" t="s">
        <v>1404</v>
      </c>
      <c r="WQJ27"/>
    </row>
    <row r="28" spans="1:18 16000:16000" s="614" customFormat="1" ht="25.5" customHeight="1">
      <c r="A28" s="977" t="str">
        <f>HYPERLINK("#'C-Proveedor'!Z4", 'E-Proveedor'!B17)</f>
        <v>Consultar proveedores activos</v>
      </c>
      <c r="B28" s="977"/>
      <c r="C28" s="977" t="str">
        <f>'E-Proveedor'!C17</f>
        <v>Permite consultar los proveedores activos, ordenados por nombre de empresa, para seleccionarlos al registrar una compra.</v>
      </c>
      <c r="D28" s="977"/>
      <c r="E28" s="977"/>
      <c r="F28" s="977"/>
      <c r="G28" s="977" t="s">
        <v>1405</v>
      </c>
      <c r="H28" s="977"/>
      <c r="I28" s="977" t="s">
        <v>1407</v>
      </c>
      <c r="J28" s="977" t="s">
        <v>1408</v>
      </c>
      <c r="K28" s="977" t="s">
        <v>1409</v>
      </c>
      <c r="L28" s="977"/>
      <c r="M28" s="977"/>
      <c r="N28" s="977"/>
      <c r="O28" s="776" t="str">
        <f>HYPERLINK("#'P-Proveedor'!A16", 'P-Proveedor'!A16)</f>
        <v>P-PROV-012</v>
      </c>
      <c r="P28" s="512" t="str">
        <f>'P-Proveedor'!B16</f>
        <v>Asegurar que solo se consulten los proveedores activos, que son los disponibles para registrar nuevas compras.</v>
      </c>
      <c r="Q28" s="512" t="s">
        <v>1410</v>
      </c>
      <c r="R28" s="512" t="s">
        <v>1411</v>
      </c>
      <c r="WQJ28"/>
    </row>
  </sheetData>
  <mergeCells count="35">
    <mergeCell ref="W4:X4"/>
    <mergeCell ref="J16:N16"/>
    <mergeCell ref="B2:U2"/>
    <mergeCell ref="K17:N17"/>
    <mergeCell ref="O16:P16"/>
    <mergeCell ref="A16:B17"/>
    <mergeCell ref="B3:U3"/>
    <mergeCell ref="G16:I16"/>
    <mergeCell ref="Q16:R16"/>
    <mergeCell ref="C16:F17"/>
    <mergeCell ref="A18:B21"/>
    <mergeCell ref="C18:F21"/>
    <mergeCell ref="K18:N21"/>
    <mergeCell ref="G18:G21"/>
    <mergeCell ref="H18:H21"/>
    <mergeCell ref="I18:I21"/>
    <mergeCell ref="J18:J21"/>
    <mergeCell ref="A22:B24"/>
    <mergeCell ref="C22:F24"/>
    <mergeCell ref="K22:N24"/>
    <mergeCell ref="G22:G24"/>
    <mergeCell ref="H22:H24"/>
    <mergeCell ref="I22:I24"/>
    <mergeCell ref="J22:J24"/>
    <mergeCell ref="A28:B28"/>
    <mergeCell ref="C28:F28"/>
    <mergeCell ref="K28:N28"/>
    <mergeCell ref="A25:B27"/>
    <mergeCell ref="C25:F27"/>
    <mergeCell ref="K25:N27"/>
    <mergeCell ref="G25:G27"/>
    <mergeCell ref="H25:H27"/>
    <mergeCell ref="I25:I27"/>
    <mergeCell ref="J25:J27"/>
    <mergeCell ref="G28:J28"/>
  </mergeCells>
  <hyperlinks>
    <hyperlink ref="A1" location="'Modelo de dominio'!A1" display="&lt;&lt;&lt;Modelo de Dominio" xr:uid="{00000000-0004-0000-3600-000000000000}"/>
    <hyperlink ref="B1" location="'Objetos de dominio'!A1" display="&lt;&lt;&lt;Objetos de Dominio" xr:uid="{00000000-0004-0000-3600-000001000000}"/>
    <hyperlink ref="C13" location="'C-Proveedor'!A6" display="Nombre Empresa" xr:uid="{00000000-0004-0000-3600-000002000000}"/>
    <hyperlink ref="C14" location="'C-Proveedor'!A6" display="Nombre Empresa" xr:uid="{AE1981B1-7D2B-4F85-8977-1511CF868B8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86">
    <outlinePr summaryBelow="0" summaryRight="0"/>
  </sheetPr>
  <dimension ref="A1:WQJ999"/>
  <sheetViews>
    <sheetView workbookViewId="0">
      <selection activeCell="L11" sqref="L11"/>
    </sheetView>
  </sheetViews>
  <sheetFormatPr baseColWidth="10" defaultColWidth="12.625" defaultRowHeight="12.9"/>
  <cols>
    <col min="1" max="1" width="17" bestFit="1" customWidth="1"/>
    <col min="2" max="2" width="9.375" bestFit="1" customWidth="1"/>
    <col min="3" max="3" width="22.125" bestFit="1" customWidth="1"/>
    <col min="4" max="4" width="26.375" bestFit="1" customWidth="1"/>
    <col min="5" max="5" width="11.875" bestFit="1" customWidth="1"/>
    <col min="6" max="6" width="12.25" bestFit="1" customWidth="1"/>
    <col min="7" max="7" width="17.375" bestFit="1" customWidth="1"/>
    <col min="8" max="8" width="13.75" bestFit="1" customWidth="1"/>
    <col min="9" max="9" width="11.875" bestFit="1" customWidth="1"/>
    <col min="10" max="10" width="19.875" bestFit="1" customWidth="1"/>
  </cols>
  <sheetData>
    <row r="1" spans="1:25 16000:16000" ht="18.350000000000001" customHeight="1">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16000:16000" ht="13.75" customHeight="1">
      <c r="A2" s="51" t="s">
        <v>209</v>
      </c>
      <c r="B2" s="1062" t="s">
        <v>260</v>
      </c>
      <c r="C2" s="1032"/>
      <c r="D2" s="1032"/>
      <c r="E2" s="1032"/>
      <c r="F2" s="1032"/>
      <c r="G2" s="1032"/>
      <c r="H2" s="1032"/>
      <c r="I2" s="1032"/>
      <c r="J2" s="1033"/>
      <c r="K2" s="73"/>
      <c r="L2" s="73"/>
      <c r="M2" s="73"/>
      <c r="N2" s="73"/>
      <c r="O2" s="73"/>
      <c r="P2" s="73"/>
      <c r="Q2" s="73"/>
      <c r="R2" s="73"/>
      <c r="S2" s="73"/>
      <c r="T2" s="73"/>
      <c r="U2" s="73"/>
      <c r="V2" s="73"/>
      <c r="W2" s="73"/>
      <c r="X2" s="73"/>
      <c r="Y2" s="73"/>
    </row>
    <row r="3" spans="1:25 16000:16000" ht="13.75" customHeight="1">
      <c r="A3" s="52" t="s">
        <v>210</v>
      </c>
      <c r="B3" s="1063" t="str">
        <f>'C-Proveedor'!B3</f>
        <v>Son las personas o empresas que le venden a la pizzería los insumos que necesita para funcionar.</v>
      </c>
      <c r="C3" s="1032"/>
      <c r="D3" s="1032"/>
      <c r="E3" s="1032"/>
      <c r="F3" s="1032"/>
      <c r="G3" s="1032"/>
      <c r="H3" s="1032"/>
      <c r="I3" s="1032"/>
      <c r="J3" s="1033"/>
      <c r="K3" s="73"/>
      <c r="L3" s="73"/>
      <c r="M3" s="73"/>
      <c r="N3" s="73"/>
      <c r="O3" s="73"/>
      <c r="P3" s="73"/>
      <c r="Q3" s="73"/>
      <c r="R3" s="73"/>
      <c r="S3" s="73"/>
      <c r="T3" s="73"/>
      <c r="U3" s="73"/>
      <c r="V3" s="73"/>
      <c r="W3" s="73"/>
      <c r="X3" s="73"/>
      <c r="Y3" s="73"/>
    </row>
    <row r="4" spans="1:25 16000:16000" ht="13.75" customHeight="1">
      <c r="A4" s="589" t="s">
        <v>211</v>
      </c>
      <c r="B4" s="1064" t="s">
        <v>212</v>
      </c>
      <c r="C4" s="1033"/>
      <c r="D4" s="64" t="s">
        <v>213</v>
      </c>
      <c r="E4" s="1069" t="s">
        <v>214</v>
      </c>
      <c r="F4" s="1033"/>
      <c r="G4" s="65" t="s">
        <v>215</v>
      </c>
      <c r="H4" s="387" t="s">
        <v>216</v>
      </c>
      <c r="I4" s="386" t="s">
        <v>217</v>
      </c>
      <c r="J4" s="388" t="s">
        <v>218</v>
      </c>
      <c r="K4" s="73"/>
      <c r="L4" s="73"/>
      <c r="M4" s="73"/>
      <c r="N4" s="73"/>
      <c r="O4" s="73"/>
      <c r="P4" s="73"/>
      <c r="Q4" s="73"/>
      <c r="R4" s="73"/>
      <c r="S4" s="73"/>
      <c r="T4" s="73"/>
      <c r="U4" s="73"/>
      <c r="V4" s="73"/>
      <c r="W4" s="73"/>
      <c r="X4" s="73"/>
      <c r="Y4" s="73"/>
    </row>
    <row r="5" spans="1:25 16000:16000" ht="13.75" customHeight="1">
      <c r="A5" s="1071" t="s">
        <v>211</v>
      </c>
      <c r="B5" s="1064" t="s">
        <v>219</v>
      </c>
      <c r="C5" s="1064" t="s">
        <v>79</v>
      </c>
      <c r="D5" s="1070" t="s">
        <v>220</v>
      </c>
      <c r="E5" s="1069" t="s">
        <v>221</v>
      </c>
      <c r="F5" s="1033"/>
      <c r="G5" s="65" t="s">
        <v>222</v>
      </c>
      <c r="H5" s="1067" t="s">
        <v>223</v>
      </c>
      <c r="I5" s="1068" t="s">
        <v>224</v>
      </c>
      <c r="J5" s="1065" t="s">
        <v>225</v>
      </c>
      <c r="K5" s="73"/>
      <c r="L5" s="73"/>
      <c r="M5" s="73"/>
      <c r="N5" s="73"/>
      <c r="O5" s="73"/>
      <c r="P5" s="73"/>
      <c r="Q5" s="73"/>
      <c r="R5" s="73"/>
      <c r="S5" s="73"/>
      <c r="T5" s="73"/>
      <c r="U5" s="73"/>
      <c r="V5" s="73"/>
      <c r="W5" s="73"/>
      <c r="X5" s="73"/>
      <c r="Y5" s="73"/>
    </row>
    <row r="6" spans="1:25 16000:16000" ht="13.75" customHeight="1">
      <c r="A6" s="1066"/>
      <c r="B6" s="1066"/>
      <c r="C6" s="1066"/>
      <c r="D6" s="1066"/>
      <c r="E6" s="124" t="s">
        <v>226</v>
      </c>
      <c r="F6" s="124" t="s">
        <v>79</v>
      </c>
      <c r="G6" s="125" t="s">
        <v>227</v>
      </c>
      <c r="H6" s="1066"/>
      <c r="I6" s="1066"/>
      <c r="J6" s="1066"/>
      <c r="K6" s="73"/>
      <c r="L6" s="73"/>
      <c r="M6" s="73"/>
      <c r="N6" s="73"/>
      <c r="O6" s="73"/>
      <c r="P6" s="73"/>
      <c r="Q6" s="73"/>
      <c r="R6" s="73"/>
      <c r="S6" s="73"/>
      <c r="T6" s="73"/>
      <c r="U6" s="73"/>
      <c r="V6" s="73"/>
      <c r="W6" s="73"/>
      <c r="X6" s="73"/>
      <c r="Y6" s="73"/>
    </row>
    <row r="7" spans="1:25 16000:16000" ht="12.9" customHeight="1">
      <c r="A7" s="1055" t="s">
        <v>228</v>
      </c>
      <c r="B7" s="1055" t="s">
        <v>1387</v>
      </c>
      <c r="C7" s="1055" t="s">
        <v>872</v>
      </c>
      <c r="D7" s="1055" t="s">
        <v>260</v>
      </c>
      <c r="E7" s="1046" t="s">
        <v>873</v>
      </c>
      <c r="F7" s="1046" t="s">
        <v>874</v>
      </c>
      <c r="G7" s="769" t="str">
        <f>HYPERLINK("#'P-Proveedor'!A5", "P-PROV-001")</f>
        <v>P-PROV-001</v>
      </c>
      <c r="H7" s="1055"/>
      <c r="I7" s="1055" t="s">
        <v>875</v>
      </c>
      <c r="J7" s="1055"/>
      <c r="K7" s="73"/>
      <c r="L7" s="73"/>
      <c r="M7" s="73"/>
      <c r="N7" s="73"/>
      <c r="O7" s="73"/>
      <c r="P7" s="73"/>
      <c r="Q7" s="73"/>
      <c r="R7" s="73"/>
      <c r="S7" s="73"/>
      <c r="T7" s="73"/>
      <c r="U7" s="73"/>
      <c r="V7" s="73"/>
      <c r="W7" s="73"/>
      <c r="X7" s="73"/>
      <c r="Y7" s="73"/>
    </row>
    <row r="8" spans="1:25 16000:16000">
      <c r="A8" s="1047"/>
      <c r="B8" s="1047"/>
      <c r="C8" s="1047"/>
      <c r="D8" s="1047"/>
      <c r="E8" s="1047"/>
      <c r="F8" s="1047"/>
      <c r="G8" s="769" t="str">
        <f>HYPERLINK("#'P-Proveedor'!A6", "P-PROV-002")</f>
        <v>P-PROV-002</v>
      </c>
      <c r="H8" s="1047"/>
      <c r="I8" s="1047"/>
      <c r="J8" s="1047"/>
      <c r="K8" s="73"/>
      <c r="L8" s="73"/>
      <c r="M8" s="73"/>
      <c r="N8" s="73"/>
      <c r="O8" s="73"/>
      <c r="P8" s="73"/>
      <c r="Q8" s="73"/>
      <c r="R8" s="73"/>
      <c r="S8" s="73"/>
      <c r="T8" s="73"/>
      <c r="U8" s="73"/>
      <c r="V8" s="73"/>
      <c r="W8" s="73"/>
      <c r="X8" s="73"/>
      <c r="Y8" s="73"/>
    </row>
    <row r="9" spans="1:25 16000:16000">
      <c r="A9" s="1047"/>
      <c r="B9" s="1047"/>
      <c r="C9" s="1047"/>
      <c r="D9" s="1047"/>
      <c r="E9" s="1047"/>
      <c r="F9" s="1047"/>
      <c r="G9" s="769" t="str">
        <f>HYPERLINK("#'P-Proveedor'!A7", "P-PROV-003")</f>
        <v>P-PROV-003</v>
      </c>
      <c r="H9" s="1047"/>
      <c r="I9" s="1047"/>
      <c r="J9" s="1047"/>
      <c r="K9" s="73"/>
      <c r="L9" s="73"/>
      <c r="M9" s="73"/>
      <c r="N9" s="73"/>
      <c r="O9" s="73"/>
      <c r="P9" s="73"/>
      <c r="Q9" s="73"/>
      <c r="R9" s="73"/>
      <c r="S9" s="73"/>
      <c r="T9" s="73"/>
      <c r="U9" s="73"/>
      <c r="V9" s="73"/>
      <c r="W9" s="73"/>
      <c r="X9" s="73"/>
      <c r="Y9" s="73"/>
    </row>
    <row r="10" spans="1:25 16000:16000" ht="12.9" customHeight="1">
      <c r="A10" s="1048"/>
      <c r="B10" s="1048"/>
      <c r="C10" s="1048"/>
      <c r="D10" s="1048"/>
      <c r="E10" s="1048"/>
      <c r="F10" s="1048"/>
      <c r="G10" s="769" t="str">
        <f>HYPERLINK("#'P-Proveedor'!A14", "P-PROV-010")</f>
        <v>P-PROV-010</v>
      </c>
      <c r="H10" s="1048"/>
      <c r="I10" s="1048"/>
      <c r="J10" s="1048"/>
      <c r="K10" s="73"/>
      <c r="L10" s="73"/>
      <c r="M10" s="73"/>
      <c r="N10" s="73"/>
      <c r="O10" s="73"/>
      <c r="P10" s="73"/>
      <c r="Q10" s="73"/>
      <c r="R10" s="73"/>
      <c r="S10" s="73"/>
      <c r="T10" s="73"/>
      <c r="U10" s="73"/>
      <c r="V10" s="73"/>
      <c r="W10" s="73"/>
      <c r="X10" s="73"/>
      <c r="Y10" s="73"/>
    </row>
    <row r="11" spans="1:25 16000:16000" ht="116.15" customHeight="1">
      <c r="A11" s="1056" t="s">
        <v>228</v>
      </c>
      <c r="B11" s="1056" t="s">
        <v>876</v>
      </c>
      <c r="C11" s="1056" t="s">
        <v>877</v>
      </c>
      <c r="D11" s="1056" t="s">
        <v>260</v>
      </c>
      <c r="E11" s="1056" t="s">
        <v>873</v>
      </c>
      <c r="F11" s="1056" t="s">
        <v>878</v>
      </c>
      <c r="G11" s="770" t="str">
        <f>HYPERLINK("#'P-Proveedor'!A8", "P-PROV-004")</f>
        <v>P-PROV-004</v>
      </c>
      <c r="H11" s="1059"/>
      <c r="I11" s="1059" t="s">
        <v>879</v>
      </c>
      <c r="J11" s="1059"/>
      <c r="K11" s="73"/>
      <c r="L11" s="73"/>
      <c r="M11" s="73"/>
      <c r="N11" s="73"/>
      <c r="O11" s="73"/>
      <c r="P11" s="73"/>
      <c r="Q11" s="73"/>
      <c r="R11" s="73"/>
      <c r="S11" s="73"/>
      <c r="T11" s="73"/>
      <c r="U11" s="73"/>
      <c r="V11" s="73"/>
      <c r="W11" s="73"/>
      <c r="X11" s="73"/>
      <c r="Y11" s="73"/>
    </row>
    <row r="12" spans="1:25 16000:16000" ht="12.9" customHeight="1">
      <c r="A12" s="1057"/>
      <c r="B12" s="1057"/>
      <c r="C12" s="1057"/>
      <c r="D12" s="1057"/>
      <c r="E12" s="1057"/>
      <c r="F12" s="1057"/>
      <c r="G12" s="770" t="str">
        <f>HYPERLINK("#'P-Proveedor'!A5", "P-PROV-001")</f>
        <v>P-PROV-001</v>
      </c>
      <c r="H12" s="1060"/>
      <c r="I12" s="1060"/>
      <c r="J12" s="1060"/>
      <c r="K12" s="73"/>
      <c r="L12" s="73"/>
      <c r="M12" s="73"/>
      <c r="N12" s="73"/>
      <c r="O12" s="73"/>
      <c r="P12" s="73"/>
      <c r="Q12" s="73"/>
      <c r="R12" s="73"/>
      <c r="S12" s="73"/>
      <c r="T12" s="73"/>
      <c r="U12" s="73"/>
      <c r="V12" s="73"/>
      <c r="W12" s="73"/>
      <c r="X12" s="73"/>
      <c r="Y12" s="73"/>
    </row>
    <row r="13" spans="1:25 16000:16000">
      <c r="A13" s="1058"/>
      <c r="B13" s="1058"/>
      <c r="C13" s="1058"/>
      <c r="D13" s="1058"/>
      <c r="E13" s="1058"/>
      <c r="F13" s="1058"/>
      <c r="G13" s="770" t="str">
        <f>HYPERLINK("#'P-Proveedor'!A9", "P-PROV-005")</f>
        <v>P-PROV-005</v>
      </c>
      <c r="H13" s="1061"/>
      <c r="I13" s="1061"/>
      <c r="J13" s="1061"/>
      <c r="K13" s="73"/>
      <c r="L13" s="73"/>
      <c r="M13" s="73"/>
      <c r="N13" s="73"/>
      <c r="O13" s="73"/>
      <c r="P13" s="73"/>
      <c r="Q13" s="73"/>
      <c r="R13" s="73"/>
      <c r="S13" s="73"/>
      <c r="T13" s="73"/>
      <c r="U13" s="73"/>
      <c r="V13" s="73"/>
      <c r="W13" s="73"/>
      <c r="X13" s="73"/>
      <c r="Y13" s="73"/>
    </row>
    <row r="14" spans="1:25 16000:16000" ht="129.1" customHeight="1">
      <c r="A14" s="1049" t="s">
        <v>228</v>
      </c>
      <c r="B14" s="1049" t="s">
        <v>880</v>
      </c>
      <c r="C14" s="1049" t="s">
        <v>1388</v>
      </c>
      <c r="D14" s="1049" t="s">
        <v>260</v>
      </c>
      <c r="E14" s="1052" t="s">
        <v>881</v>
      </c>
      <c r="F14" s="1049" t="s">
        <v>882</v>
      </c>
      <c r="G14" s="769" t="str">
        <f>HYPERLINK("#'P-Proveedor'!A10", "P-PROV-006")</f>
        <v>P-PROV-006</v>
      </c>
      <c r="H14" s="1046"/>
      <c r="I14" s="1046" t="s">
        <v>1389</v>
      </c>
      <c r="J14" s="1046"/>
      <c r="K14" s="73"/>
      <c r="L14" s="73"/>
      <c r="M14" s="73"/>
      <c r="N14" s="73"/>
      <c r="O14" s="73"/>
      <c r="P14" s="73"/>
      <c r="Q14" s="73"/>
      <c r="R14" s="73"/>
      <c r="S14" s="73"/>
      <c r="T14" s="73"/>
      <c r="U14" s="73"/>
      <c r="V14" s="73"/>
      <c r="W14" s="73"/>
      <c r="X14" s="73"/>
      <c r="Y14" s="73"/>
    </row>
    <row r="15" spans="1:25 16000:16000" s="614" customFormat="1">
      <c r="A15" s="1050"/>
      <c r="B15" s="1050"/>
      <c r="C15" s="1050"/>
      <c r="D15" s="1050"/>
      <c r="E15" s="1053"/>
      <c r="F15" s="1050"/>
      <c r="G15" s="769" t="str">
        <f>HYPERLINK("#'P-Proveedor'!A15", "P-PROV-011")</f>
        <v>P-PROV-011</v>
      </c>
      <c r="H15" s="1047"/>
      <c r="I15" s="1047"/>
      <c r="J15" s="1047"/>
      <c r="K15" s="297"/>
      <c r="L15" s="297"/>
      <c r="M15" s="297"/>
      <c r="N15" s="297"/>
      <c r="O15" s="297"/>
      <c r="P15" s="297"/>
      <c r="Q15" s="297"/>
      <c r="R15" s="297"/>
      <c r="S15" s="297"/>
      <c r="T15" s="297"/>
      <c r="U15" s="297"/>
      <c r="V15" s="297"/>
      <c r="W15" s="297"/>
      <c r="X15" s="297"/>
      <c r="Y15" s="297"/>
      <c r="WQJ15"/>
    </row>
    <row r="16" spans="1:25 16000:16000" s="614" customFormat="1">
      <c r="A16" s="1051"/>
      <c r="B16" s="1051"/>
      <c r="C16" s="1051"/>
      <c r="D16" s="1051"/>
      <c r="E16" s="1054"/>
      <c r="F16" s="1051"/>
      <c r="G16" s="769" t="str">
        <f>HYPERLINK("#'P-Proveedor'!A11", "P-PROV-007")</f>
        <v>P-PROV-007</v>
      </c>
      <c r="H16" s="1048"/>
      <c r="I16" s="1048"/>
      <c r="J16" s="1048"/>
      <c r="K16" s="297"/>
      <c r="L16" s="297"/>
      <c r="M16" s="297"/>
      <c r="N16" s="297"/>
      <c r="O16" s="297"/>
      <c r="P16" s="297"/>
      <c r="Q16" s="297"/>
      <c r="R16" s="297"/>
      <c r="S16" s="297"/>
      <c r="T16" s="297"/>
      <c r="U16" s="297"/>
      <c r="V16" s="297"/>
      <c r="W16" s="297"/>
      <c r="X16" s="297"/>
      <c r="Y16" s="297"/>
      <c r="WQJ16"/>
    </row>
    <row r="17" spans="1:25 16000:16000" s="614" customFormat="1" ht="77.45">
      <c r="A17" s="864" t="s">
        <v>228</v>
      </c>
      <c r="B17" s="864" t="s">
        <v>1390</v>
      </c>
      <c r="C17" s="864" t="s">
        <v>1391</v>
      </c>
      <c r="D17" s="864"/>
      <c r="E17" s="865" t="s">
        <v>1392</v>
      </c>
      <c r="F17" s="864" t="s">
        <v>1393</v>
      </c>
      <c r="G17" s="770" t="str">
        <f>HYPERLINK("#'P-Proveedor'!A16", "P-PROV-012")</f>
        <v>P-PROV-012</v>
      </c>
      <c r="H17" s="866"/>
      <c r="I17" s="866" t="s">
        <v>1394</v>
      </c>
      <c r="J17" s="866"/>
      <c r="K17" s="297"/>
      <c r="L17" s="297"/>
      <c r="M17" s="297"/>
      <c r="N17" s="297"/>
      <c r="O17" s="297"/>
      <c r="P17" s="297"/>
      <c r="Q17" s="297"/>
      <c r="R17" s="297"/>
      <c r="S17" s="297"/>
      <c r="T17" s="297"/>
      <c r="U17" s="297"/>
      <c r="V17" s="297"/>
      <c r="W17" s="297"/>
      <c r="X17" s="297"/>
      <c r="Y17" s="297"/>
      <c r="WQJ17"/>
    </row>
    <row r="18" spans="1:25 16000:16000">
      <c r="G18" s="140"/>
      <c r="H18" s="73"/>
      <c r="J18" s="73"/>
      <c r="K18" s="73"/>
      <c r="L18" s="73"/>
      <c r="M18" s="73"/>
      <c r="N18" s="73"/>
      <c r="O18" s="73"/>
      <c r="P18" s="73"/>
      <c r="Q18" s="73"/>
      <c r="R18" s="73"/>
      <c r="S18" s="73"/>
      <c r="T18" s="73"/>
      <c r="U18" s="73"/>
      <c r="V18" s="73"/>
      <c r="W18" s="73"/>
      <c r="X18" s="73"/>
      <c r="Y18" s="73"/>
    </row>
    <row r="19" spans="1:25 16000:16000">
      <c r="A19" s="73"/>
      <c r="B19" s="73"/>
      <c r="C19" s="73"/>
      <c r="D19" s="73"/>
      <c r="E19" s="73"/>
      <c r="F19" s="73"/>
      <c r="G19" s="56"/>
      <c r="H19" s="73"/>
      <c r="I19" s="73"/>
      <c r="J19" s="73"/>
      <c r="K19" s="73"/>
      <c r="L19" s="73"/>
      <c r="M19" s="73"/>
      <c r="N19" s="73"/>
      <c r="O19" s="73"/>
      <c r="P19" s="73"/>
      <c r="Q19" s="73"/>
      <c r="R19" s="73"/>
      <c r="S19" s="73"/>
      <c r="T19" s="73"/>
      <c r="U19" s="73"/>
      <c r="V19" s="73"/>
      <c r="W19" s="73"/>
      <c r="X19" s="73"/>
      <c r="Y19" s="73"/>
    </row>
    <row r="20" spans="1:25 16000:16000">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spans="1:25 16000:16000">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1:25 16000:16000">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1:25 16000:16000">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16000:16000">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16000:16000">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16000:16000">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16000:16000">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16000:16000">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16000:16000">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16000:1600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16000:16000">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16000:16000">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spans="1:2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sheetData>
  <mergeCells count="39">
    <mergeCell ref="A14:A16"/>
    <mergeCell ref="B14:B16"/>
    <mergeCell ref="E4:F4"/>
    <mergeCell ref="B5:B6"/>
    <mergeCell ref="D5:D6"/>
    <mergeCell ref="E5:F5"/>
    <mergeCell ref="A5:A6"/>
    <mergeCell ref="A7:A10"/>
    <mergeCell ref="B7:B10"/>
    <mergeCell ref="C7:C10"/>
    <mergeCell ref="D7:D10"/>
    <mergeCell ref="B2:J2"/>
    <mergeCell ref="B3:J3"/>
    <mergeCell ref="B4:C4"/>
    <mergeCell ref="J5:J6"/>
    <mergeCell ref="H5:H6"/>
    <mergeCell ref="C5:C6"/>
    <mergeCell ref="I5:I6"/>
    <mergeCell ref="I7:I10"/>
    <mergeCell ref="J7:J10"/>
    <mergeCell ref="A11:A13"/>
    <mergeCell ref="B11:B13"/>
    <mergeCell ref="C11:C13"/>
    <mergeCell ref="D11:D13"/>
    <mergeCell ref="E11:E13"/>
    <mergeCell ref="F11:F13"/>
    <mergeCell ref="H11:H13"/>
    <mergeCell ref="I11:I13"/>
    <mergeCell ref="J11:J13"/>
    <mergeCell ref="E7:E10"/>
    <mergeCell ref="F7:F10"/>
    <mergeCell ref="H7:H10"/>
    <mergeCell ref="I14:I16"/>
    <mergeCell ref="J14:J16"/>
    <mergeCell ref="C14:C16"/>
    <mergeCell ref="D14:D16"/>
    <mergeCell ref="E14:E16"/>
    <mergeCell ref="F14:F16"/>
    <mergeCell ref="H14:H16"/>
  </mergeCells>
  <hyperlinks>
    <hyperlink ref="A1" location="'Modelo de dominio'!A1" display="&lt;&lt;&lt;Modelo de Dominio" xr:uid="{00000000-0004-0000-3700-000000000000}"/>
    <hyperlink ref="B1" location="'Objetos de dominio'!A1" display="&lt;&lt;&lt;Objetos de Dominio" xr:uid="{00000000-0004-0000-3700-000001000000}"/>
    <hyperlink ref="B3" location="'Objetos de dominio'!B5" display="Objeto de dominio que representa a un proveedor de la pizzeria" xr:uid="{00000000-0004-0000-37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87">
    <outlinePr summaryBelow="0" summaryRight="0"/>
  </sheetPr>
  <dimension ref="A1:Z999"/>
  <sheetViews>
    <sheetView workbookViewId="0">
      <selection activeCell="F13" sqref="F13"/>
    </sheetView>
  </sheetViews>
  <sheetFormatPr baseColWidth="10" defaultColWidth="12.625" defaultRowHeight="15.8" customHeight="1"/>
  <cols>
    <col min="1" max="1" width="16.125" customWidth="1"/>
    <col min="2" max="2" width="56.625" customWidth="1"/>
    <col min="3" max="3" width="57.875" customWidth="1"/>
    <col min="4" max="4" width="19.375" customWidth="1"/>
    <col min="5" max="26" width="44.625" customWidth="1"/>
  </cols>
  <sheetData>
    <row r="1" spans="1:26" ht="12.75" customHeight="1">
      <c r="A1" s="49" t="s">
        <v>0</v>
      </c>
      <c r="B1" s="132" t="s">
        <v>1</v>
      </c>
      <c r="C1" s="73"/>
      <c r="D1" s="73"/>
      <c r="E1" s="73"/>
      <c r="F1" s="73"/>
      <c r="G1" s="73"/>
      <c r="H1" s="73"/>
      <c r="I1" s="73"/>
      <c r="J1" s="73"/>
      <c r="K1" s="73"/>
      <c r="L1" s="73"/>
      <c r="M1" s="73"/>
      <c r="N1" s="73"/>
      <c r="O1" s="73"/>
      <c r="P1" s="73"/>
      <c r="Q1" s="73"/>
      <c r="R1" s="73"/>
      <c r="S1" s="73"/>
      <c r="T1" s="73"/>
      <c r="U1" s="73"/>
      <c r="V1" s="73"/>
      <c r="W1" s="73"/>
      <c r="X1" s="73"/>
      <c r="Y1" s="73"/>
      <c r="Z1" s="73"/>
    </row>
    <row r="2" spans="1:26" ht="28.55" customHeight="1">
      <c r="A2" s="69" t="s">
        <v>233</v>
      </c>
      <c r="B2" s="1073" t="s">
        <v>260</v>
      </c>
      <c r="C2" s="1033"/>
      <c r="D2" s="201"/>
      <c r="E2" s="73"/>
      <c r="F2" s="73"/>
      <c r="G2" s="73"/>
      <c r="H2" s="73"/>
      <c r="I2" s="73"/>
      <c r="J2" s="73"/>
      <c r="K2" s="73"/>
      <c r="L2" s="73"/>
      <c r="M2" s="73"/>
      <c r="N2" s="73"/>
      <c r="O2" s="73"/>
      <c r="P2" s="73"/>
      <c r="Q2" s="73"/>
      <c r="R2" s="73"/>
      <c r="S2" s="73"/>
      <c r="T2" s="73"/>
      <c r="U2" s="73"/>
      <c r="V2" s="73"/>
      <c r="W2" s="73"/>
      <c r="X2" s="73"/>
      <c r="Y2" s="73"/>
      <c r="Z2" s="73"/>
    </row>
    <row r="3" spans="1:26" ht="14.3" customHeight="1">
      <c r="A3" s="69" t="s">
        <v>21</v>
      </c>
      <c r="B3" s="1072" t="str">
        <f>'C-Proveedor'!B3</f>
        <v>Son las personas o empresas que le venden a la pizzería los insumos que necesita para funcionar.</v>
      </c>
      <c r="C3" s="1033"/>
      <c r="D3" s="201"/>
      <c r="E3" s="73"/>
      <c r="F3" s="73"/>
      <c r="G3" s="73"/>
      <c r="H3" s="73"/>
      <c r="I3" s="73"/>
      <c r="J3" s="73"/>
      <c r="K3" s="73"/>
      <c r="L3" s="73"/>
      <c r="M3" s="73"/>
      <c r="N3" s="73"/>
      <c r="O3" s="73"/>
      <c r="P3" s="73"/>
      <c r="Q3" s="73"/>
      <c r="R3" s="73"/>
      <c r="S3" s="73"/>
      <c r="T3" s="73"/>
      <c r="U3" s="73"/>
      <c r="V3" s="73"/>
      <c r="W3" s="73"/>
      <c r="X3" s="73"/>
      <c r="Y3" s="73"/>
      <c r="Z3" s="73"/>
    </row>
    <row r="4" spans="1:26" ht="28.55" customHeight="1">
      <c r="A4" s="70" t="s">
        <v>234</v>
      </c>
      <c r="B4" s="70" t="s">
        <v>235</v>
      </c>
      <c r="C4" s="70" t="s">
        <v>236</v>
      </c>
      <c r="D4" s="70" t="s">
        <v>237</v>
      </c>
      <c r="E4" s="73"/>
      <c r="F4" s="73"/>
      <c r="G4" s="73"/>
      <c r="H4" s="73"/>
      <c r="I4" s="73"/>
      <c r="J4" s="73"/>
      <c r="K4" s="73"/>
      <c r="L4" s="73"/>
      <c r="M4" s="73"/>
      <c r="N4" s="73"/>
      <c r="O4" s="73"/>
      <c r="P4" s="73"/>
      <c r="Q4" s="73"/>
      <c r="R4" s="73"/>
      <c r="S4" s="73"/>
      <c r="T4" s="73"/>
      <c r="U4" s="73"/>
      <c r="V4" s="73"/>
      <c r="W4" s="73"/>
      <c r="X4" s="73"/>
      <c r="Y4" s="73"/>
      <c r="Z4" s="73"/>
    </row>
    <row r="5" spans="1:26" ht="45.7" customHeight="1">
      <c r="A5" s="298" t="s">
        <v>883</v>
      </c>
      <c r="B5" s="298" t="s">
        <v>884</v>
      </c>
      <c r="C5" s="298" t="s">
        <v>260</v>
      </c>
      <c r="D5" s="298"/>
      <c r="E5" s="73"/>
      <c r="F5" s="73"/>
      <c r="G5" s="73"/>
      <c r="H5" s="73"/>
      <c r="I5" s="73"/>
      <c r="J5" s="73"/>
      <c r="K5" s="73"/>
      <c r="L5" s="73"/>
      <c r="M5" s="73"/>
      <c r="N5" s="73"/>
      <c r="O5" s="73"/>
      <c r="P5" s="73"/>
      <c r="Q5" s="73"/>
      <c r="R5" s="73"/>
      <c r="S5" s="73"/>
      <c r="T5" s="73"/>
      <c r="U5" s="73"/>
      <c r="V5" s="73"/>
      <c r="W5" s="73"/>
      <c r="X5" s="73"/>
      <c r="Y5" s="73"/>
      <c r="Z5" s="73"/>
    </row>
    <row r="6" spans="1:26" ht="48.25" customHeight="1">
      <c r="A6" s="298" t="s">
        <v>885</v>
      </c>
      <c r="B6" s="298" t="s">
        <v>886</v>
      </c>
      <c r="C6" s="298" t="s">
        <v>260</v>
      </c>
      <c r="D6" s="298"/>
      <c r="E6" s="73"/>
      <c r="F6" s="73"/>
      <c r="G6" s="73"/>
      <c r="H6" s="73"/>
      <c r="I6" s="73"/>
      <c r="J6" s="73"/>
      <c r="K6" s="73"/>
      <c r="L6" s="73"/>
      <c r="M6" s="73"/>
      <c r="N6" s="73"/>
      <c r="O6" s="73"/>
      <c r="P6" s="73"/>
      <c r="Q6" s="73"/>
      <c r="R6" s="73"/>
      <c r="S6" s="73"/>
      <c r="T6" s="73"/>
      <c r="U6" s="73"/>
      <c r="V6" s="73"/>
      <c r="W6" s="73"/>
      <c r="X6" s="73"/>
      <c r="Y6" s="73"/>
      <c r="Z6" s="73"/>
    </row>
    <row r="7" spans="1:26" ht="39.75" customHeight="1">
      <c r="A7" s="298" t="s">
        <v>887</v>
      </c>
      <c r="B7" s="298" t="s">
        <v>1378</v>
      </c>
      <c r="C7" s="298" t="s">
        <v>260</v>
      </c>
      <c r="D7" s="298"/>
      <c r="E7" s="73"/>
      <c r="F7" s="73"/>
      <c r="G7" s="73"/>
      <c r="H7" s="73"/>
      <c r="I7" s="73"/>
      <c r="J7" s="73"/>
      <c r="K7" s="73"/>
      <c r="L7" s="73"/>
      <c r="M7" s="73"/>
      <c r="N7" s="73"/>
      <c r="O7" s="73"/>
      <c r="P7" s="73"/>
      <c r="Q7" s="73"/>
      <c r="R7" s="73"/>
      <c r="S7" s="73"/>
      <c r="T7" s="73"/>
      <c r="U7" s="73"/>
      <c r="V7" s="73"/>
      <c r="W7" s="73"/>
      <c r="X7" s="73"/>
      <c r="Y7" s="73"/>
      <c r="Z7" s="73"/>
    </row>
    <row r="8" spans="1:26" ht="36.700000000000003" customHeight="1">
      <c r="A8" s="298" t="s">
        <v>888</v>
      </c>
      <c r="B8" s="298" t="s">
        <v>889</v>
      </c>
      <c r="C8" s="298" t="s">
        <v>260</v>
      </c>
      <c r="D8" s="298"/>
      <c r="E8" s="73"/>
      <c r="F8" s="73"/>
      <c r="G8" s="73"/>
      <c r="H8" s="73"/>
      <c r="I8" s="73"/>
      <c r="J8" s="73"/>
      <c r="K8" s="73"/>
      <c r="L8" s="73"/>
      <c r="M8" s="73"/>
      <c r="N8" s="73"/>
      <c r="O8" s="73"/>
      <c r="P8" s="73"/>
      <c r="Q8" s="73"/>
      <c r="R8" s="73"/>
      <c r="S8" s="73"/>
      <c r="T8" s="73"/>
      <c r="U8" s="73"/>
      <c r="V8" s="73"/>
      <c r="W8" s="73"/>
      <c r="X8" s="73"/>
      <c r="Y8" s="73"/>
      <c r="Z8" s="73"/>
    </row>
    <row r="9" spans="1:26" ht="46.55" customHeight="1">
      <c r="A9" s="298" t="s">
        <v>890</v>
      </c>
      <c r="B9" s="298" t="s">
        <v>891</v>
      </c>
      <c r="C9" s="298" t="s">
        <v>260</v>
      </c>
      <c r="D9" s="298"/>
      <c r="E9" s="73"/>
      <c r="F9" s="73"/>
      <c r="G9" s="73"/>
      <c r="H9" s="73"/>
      <c r="I9" s="73"/>
      <c r="J9" s="73"/>
      <c r="K9" s="73"/>
      <c r="L9" s="73"/>
      <c r="M9" s="73"/>
      <c r="N9" s="73"/>
      <c r="O9" s="73"/>
      <c r="P9" s="73"/>
      <c r="Q9" s="73"/>
      <c r="R9" s="73"/>
      <c r="S9" s="73"/>
      <c r="T9" s="73"/>
      <c r="U9" s="73"/>
      <c r="V9" s="73"/>
      <c r="W9" s="73"/>
      <c r="X9" s="73"/>
      <c r="Y9" s="73"/>
      <c r="Z9" s="73"/>
    </row>
    <row r="10" spans="1:26" ht="36" customHeight="1">
      <c r="A10" s="298" t="s">
        <v>892</v>
      </c>
      <c r="B10" s="298" t="s">
        <v>1379</v>
      </c>
      <c r="C10" s="298" t="s">
        <v>260</v>
      </c>
      <c r="D10" s="292"/>
      <c r="E10" s="73"/>
      <c r="F10" s="73"/>
      <c r="G10" s="73"/>
      <c r="H10" s="73"/>
      <c r="I10" s="73"/>
      <c r="J10" s="73"/>
      <c r="K10" s="73"/>
      <c r="L10" s="73"/>
      <c r="M10" s="73"/>
      <c r="N10" s="73"/>
      <c r="O10" s="73"/>
      <c r="P10" s="73"/>
      <c r="Q10" s="73"/>
      <c r="R10" s="73"/>
      <c r="S10" s="73"/>
      <c r="T10" s="73"/>
      <c r="U10" s="73"/>
      <c r="V10" s="73"/>
      <c r="W10" s="73"/>
      <c r="X10" s="73"/>
      <c r="Y10" s="73"/>
      <c r="Z10" s="73"/>
    </row>
    <row r="11" spans="1:26" ht="41.95" customHeight="1">
      <c r="A11" s="298" t="s">
        <v>893</v>
      </c>
      <c r="B11" s="298" t="s">
        <v>1380</v>
      </c>
      <c r="C11" s="291" t="s">
        <v>260</v>
      </c>
      <c r="D11" s="771"/>
      <c r="E11" s="73"/>
      <c r="F11" s="73"/>
      <c r="G11" s="73"/>
      <c r="H11" s="73"/>
      <c r="I11" s="73"/>
      <c r="J11" s="73"/>
      <c r="K11" s="73"/>
      <c r="L11" s="73"/>
      <c r="M11" s="73"/>
      <c r="N11" s="73"/>
      <c r="O11" s="73"/>
      <c r="P11" s="73"/>
      <c r="Q11" s="73"/>
      <c r="R11" s="73"/>
      <c r="S11" s="73"/>
      <c r="T11" s="73"/>
      <c r="U11" s="73"/>
      <c r="V11" s="73"/>
      <c r="W11" s="73"/>
      <c r="X11" s="73"/>
      <c r="Y11" s="73"/>
      <c r="Z11" s="73"/>
    </row>
    <row r="12" spans="1:26" ht="45" customHeight="1">
      <c r="A12" s="292" t="s">
        <v>894</v>
      </c>
      <c r="B12" s="292" t="s">
        <v>895</v>
      </c>
      <c r="C12" s="292" t="s">
        <v>260</v>
      </c>
      <c r="D12" s="867"/>
      <c r="E12" s="73"/>
      <c r="F12" s="73"/>
      <c r="G12" s="73"/>
      <c r="H12" s="73"/>
      <c r="I12" s="73"/>
      <c r="J12" s="73"/>
      <c r="K12" s="73"/>
      <c r="L12" s="73"/>
      <c r="M12" s="73"/>
      <c r="N12" s="73"/>
      <c r="O12" s="73"/>
      <c r="P12" s="73"/>
      <c r="Q12" s="73"/>
      <c r="R12" s="73"/>
      <c r="S12" s="73"/>
      <c r="T12" s="73"/>
      <c r="U12" s="73"/>
      <c r="V12" s="73"/>
      <c r="W12" s="73"/>
      <c r="X12" s="73"/>
      <c r="Y12" s="73"/>
      <c r="Z12" s="73"/>
    </row>
    <row r="13" spans="1:26" ht="12.9">
      <c r="A13" s="539" t="s">
        <v>896</v>
      </c>
      <c r="B13" s="212" t="s">
        <v>897</v>
      </c>
      <c r="C13" s="539" t="s">
        <v>260</v>
      </c>
      <c r="D13" s="539"/>
      <c r="E13" s="73"/>
      <c r="F13" s="73"/>
      <c r="G13" s="73"/>
      <c r="H13" s="73"/>
      <c r="I13" s="73"/>
      <c r="J13" s="73"/>
      <c r="K13" s="73"/>
      <c r="L13" s="73"/>
      <c r="M13" s="73"/>
      <c r="N13" s="73"/>
      <c r="O13" s="73"/>
      <c r="P13" s="73"/>
      <c r="Q13" s="73"/>
      <c r="R13" s="73"/>
      <c r="S13" s="73"/>
      <c r="T13" s="73"/>
      <c r="U13" s="73"/>
      <c r="V13" s="73"/>
      <c r="W13" s="73"/>
      <c r="X13" s="73"/>
      <c r="Y13" s="73"/>
      <c r="Z13" s="73"/>
    </row>
    <row r="14" spans="1:26" ht="25.85">
      <c r="A14" s="539" t="s">
        <v>1381</v>
      </c>
      <c r="B14" s="212" t="s">
        <v>1382</v>
      </c>
      <c r="C14" s="539" t="s">
        <v>260</v>
      </c>
      <c r="D14" s="539"/>
      <c r="E14" s="73"/>
      <c r="F14" s="73"/>
      <c r="G14" s="73"/>
      <c r="H14" s="73"/>
      <c r="I14" s="73"/>
      <c r="J14" s="73"/>
      <c r="K14" s="73"/>
      <c r="L14" s="73"/>
      <c r="M14" s="73"/>
      <c r="N14" s="73"/>
      <c r="O14" s="73"/>
      <c r="P14" s="73"/>
      <c r="Q14" s="73"/>
      <c r="R14" s="73"/>
      <c r="S14" s="73"/>
      <c r="T14" s="73"/>
      <c r="U14" s="73"/>
      <c r="V14" s="73"/>
      <c r="W14" s="73"/>
      <c r="X14" s="73"/>
      <c r="Y14" s="73"/>
      <c r="Z14" s="73"/>
    </row>
    <row r="15" spans="1:26" ht="25.85">
      <c r="A15" s="539" t="s">
        <v>1383</v>
      </c>
      <c r="B15" s="212" t="s">
        <v>1384</v>
      </c>
      <c r="C15" s="539" t="s">
        <v>260</v>
      </c>
      <c r="D15" s="539"/>
      <c r="E15" s="73"/>
      <c r="F15" s="73"/>
      <c r="G15" s="73"/>
      <c r="H15" s="73"/>
      <c r="I15" s="73"/>
      <c r="J15" s="73"/>
      <c r="K15" s="73"/>
      <c r="L15" s="73"/>
      <c r="M15" s="73"/>
      <c r="N15" s="73"/>
      <c r="O15" s="73"/>
      <c r="P15" s="73"/>
      <c r="Q15" s="73"/>
      <c r="R15" s="73"/>
      <c r="S15" s="73"/>
      <c r="T15" s="73"/>
      <c r="U15" s="73"/>
      <c r="V15" s="73"/>
      <c r="W15" s="73"/>
      <c r="X15" s="73"/>
      <c r="Y15" s="73"/>
      <c r="Z15" s="73"/>
    </row>
    <row r="16" spans="1:26" ht="25.85">
      <c r="A16" s="539" t="s">
        <v>1385</v>
      </c>
      <c r="B16" s="212" t="s">
        <v>1386</v>
      </c>
      <c r="C16" s="539" t="s">
        <v>260</v>
      </c>
      <c r="D16" s="539"/>
      <c r="E16" s="73"/>
      <c r="F16" s="73"/>
      <c r="G16" s="73"/>
      <c r="H16" s="73"/>
      <c r="I16" s="73"/>
      <c r="J16" s="73"/>
      <c r="K16" s="73"/>
      <c r="L16" s="73"/>
      <c r="M16" s="73"/>
      <c r="N16" s="73"/>
      <c r="O16" s="73"/>
      <c r="P16" s="73"/>
      <c r="Q16" s="73"/>
      <c r="R16" s="73"/>
      <c r="S16" s="73"/>
      <c r="T16" s="73"/>
      <c r="U16" s="73"/>
      <c r="V16" s="73"/>
      <c r="W16" s="73"/>
      <c r="X16" s="73"/>
      <c r="Y16" s="73"/>
      <c r="Z16" s="73"/>
    </row>
    <row r="17" spans="1:26" ht="12.75" customHeight="1">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2.75" customHeight="1">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2.75" customHeight="1">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2.75" customHeight="1">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2.75" customHeight="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2.75" customHeight="1">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2.7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2.7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2.7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2.7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2.7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2.7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2.7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2.7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2.7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2.7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2.7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2.7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2.7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2.7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2.7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2.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2.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2.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2.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2.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2.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2.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2.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2.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2.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2.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2.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2.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2.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2.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2.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2.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2.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2.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2.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2.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2.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2.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2.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2.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2.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2.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2.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2.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2.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2.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2.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2.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2.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2.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2.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2.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2.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2.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2.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2.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2.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2.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2.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2.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2.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2.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2.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2.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2.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2.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2.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2.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2.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2.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2.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2.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2.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2.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2.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2.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2.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2.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2.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2.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2.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2.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2.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2.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2.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2.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2.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2.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2.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2.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2.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2.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2.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2.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2.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2.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2.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2.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2.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2.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2.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2.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2.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2.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2.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2.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2.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2.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2.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2.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2.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2.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2.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2.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2.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2.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2.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2.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2.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2.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2.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2.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2.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2.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2.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2.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2.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2.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2.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2.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2.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2.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2.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2.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2.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2.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2.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2.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2.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2.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2.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2.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2.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2.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2.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2.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2.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2.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2.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2.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2.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2.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2.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2.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2.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2.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2.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2.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2.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2.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2.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2.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2.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2.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2.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2.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2.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2.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2.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2.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2.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2.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2.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2.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2.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2.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2.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2.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2.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2.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2.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2.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2.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2.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2.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2.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2.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2.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2.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2.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2.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2.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2.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2.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2.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2.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2.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2.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2.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2.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2.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2.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2.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2.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2.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2.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2.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2.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2.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2.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2.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2.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2.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2.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2.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2.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2.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2.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2.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2.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2.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2.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2.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2.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2.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2.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2.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2.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2.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2.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2.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2.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2.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2.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2.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2.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2.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2.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2.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2.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2.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2.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2.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2.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2.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2.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2.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2.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2.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2.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2.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2.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2.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2.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2.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2.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2.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2.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2.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2.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2.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2.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2.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2.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2.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2.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2.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2.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2.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2.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2.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2.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2.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2.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2.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2.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2.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2.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2.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2.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2.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2.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2.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2.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2.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2.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2.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2.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2.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2.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2.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2.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2.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2.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2.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2.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2.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2.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2.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2.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2.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2.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2.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2.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2.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2.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2.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2.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2.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2.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2.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2.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2.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2.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2.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2.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2.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2.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2.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2.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2.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2.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2.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2.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2.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2.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2.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2.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2.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2.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2.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2.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2.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2.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2.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2.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2.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2.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2.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2.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2.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2.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2.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2.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2.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2.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2.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2.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2.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2.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2.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2.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2.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2.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2.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2.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2.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2.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2.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2.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2.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2.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2.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2.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2.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2.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2.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2.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2.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2.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2.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2.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2.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2.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2.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2.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2.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2.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2.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2.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2.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2.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2.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2.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2.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2.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2.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2.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2.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2.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2.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2.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2.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2.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2.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2.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2.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2.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2.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2.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2.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2.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2.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2.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2.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2.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2.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2.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2.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2.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2.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2.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2.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2.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2.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2.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2.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2.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2.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2.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2.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2.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2.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2.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2.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2.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2.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2.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2.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2.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2.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2.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2.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2.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2.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2.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2.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2.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2.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2.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2.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2.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2.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2.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2.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2.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2.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2.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2.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2.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2.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2.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2.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2.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2.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2.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2.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2.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2.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2.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2.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2.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2.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2.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2.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2.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2.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2.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2.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2.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2.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2.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2.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2.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2.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2.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2.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2.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2.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2.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2.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2.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2.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2.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2.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2.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2.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2.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2.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2.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2.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2.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2.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2.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2.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2.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2.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2.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2.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2.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2.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2.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2.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2.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2.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2.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2.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2.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2.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2.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2.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2.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2.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2.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2.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2.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2.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2.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2.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2.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2.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2.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2.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2.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2.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2.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2.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2.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2.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2.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2.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2.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2.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2.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2.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2.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2.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2.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2.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2.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2.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2.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2.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2.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2.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2.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2.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2.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2.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2.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2.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2.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2.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2.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2.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2.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2.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2.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2.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2.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2.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2.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2.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2.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2.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2.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2.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2.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2.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2.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2.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2.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2.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2.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2.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2.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2.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2.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2.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2.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2.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2.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2.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2.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2.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2.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2.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2.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2.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2.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2.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2.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2.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2.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2.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2.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2.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2.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2.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2.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2.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2.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2.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2.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2.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2.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2.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2.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2.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2.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2.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2.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2.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2.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2.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2.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2.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2.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2.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2.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2.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2.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2.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2.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2.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2.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2.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2.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2.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2.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2.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2.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2.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2.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2.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2.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2.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2.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2.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2.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2.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2.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2.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2.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2.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2.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2.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2.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2.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2.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2.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2.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2.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2.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2.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2.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2.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2.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2.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2.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2.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2.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2.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2.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2.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2.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2.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2.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2.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2.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2.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2.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2.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2.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2.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2.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2.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2.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2.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2.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2.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2.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2.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2.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2.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2.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2.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2.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2.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2.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2.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2.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2.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2.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2.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2.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2.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2.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2.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2.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2.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2.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2.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2.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2.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2.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2.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2.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2.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2.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2.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2.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2.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2.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2.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2.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2.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2.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2.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2.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2.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2.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2.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2.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2.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2.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2.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2.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2.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2.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2.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2.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2.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2.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2.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2.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2.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2.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2.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2.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2.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2.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2.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2.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2.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2.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2.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2.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2.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2.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2.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2.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2.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2.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2.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2.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2.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2.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2.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2.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2.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2.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2.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2.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2.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2.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2.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2.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2.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2.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2.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2.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2.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2.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2.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2.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2.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2.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2.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2.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2.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2.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2.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2.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2.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2.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2.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2.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2.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2.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2.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2.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2.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2.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2.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2.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2.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2.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2.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2.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2.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2.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2.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2.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2.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2.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2.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2.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2.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2.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2.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2.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2.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2.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2.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2.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2.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2.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2.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2.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2.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2.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2.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2.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2.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2.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2.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2.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2.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2.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2.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2.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2.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2.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2.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2.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2.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2.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2.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2.7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2.7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2.7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2.7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2.7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2.7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2.7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2.7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2.7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2.7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2.7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2.7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2.7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2.7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2.7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2.7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2.7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2.7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2.7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2.7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2.7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2.7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2.7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2.7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2.7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2.7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2.7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2.7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2.7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2.7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2.7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2.7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2.7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2.7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2.7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2.7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2.7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2.7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2.7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2.7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2.7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2.7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2.7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2.7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2.7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2.7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2.7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2.7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2.7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2.7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2.7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2.7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2.7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2.7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2.7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2.7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2.7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2.7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2.7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2.7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2.7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2.7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2.7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2.7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2.7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2.7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2.7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2.7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2.7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2.7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2.7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2.7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2.7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2.7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2.7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2.7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2.7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2.7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2.7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2.7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2.7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2.7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2.7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2.7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2.7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2.7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2.7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2.7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2.7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2.7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2.7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2.7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2.7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2.7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2.7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2.7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2.7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2.7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2.7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2.7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2.7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2.7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2.7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2.7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2.7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2.7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2.7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2.7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2.7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2.7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2.7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2.7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2.7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2.7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2.7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2.7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2.7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2.7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2.7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2.7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2.7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2.7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2.7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2.7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2.7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2.7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2.7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2.7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2.7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2.7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2.7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2.7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2.7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2.7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2.7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2.7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2.7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4.3" customHeight="1">
      <c r="A999" s="73"/>
      <c r="B999" s="73"/>
      <c r="C999" s="73"/>
      <c r="D999" s="27"/>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2">
    <mergeCell ref="B3:C3"/>
    <mergeCell ref="B2:C2"/>
  </mergeCells>
  <hyperlinks>
    <hyperlink ref="A1" location="'Modelo de dominio'!A1" display="&lt;&lt;&lt;Modelo de Dominio" xr:uid="{00000000-0004-0000-3800-000000000000}"/>
    <hyperlink ref="B1" location="'Objetos de dominio'!A1" display="&lt;&lt;&lt;Objetos de Dominio" xr:uid="{00000000-0004-0000-3800-000001000000}"/>
    <hyperlink ref="B3" location="'Objetos de dominio'!B5" display="Objeto de dominio que representa a un proveedor de la pizzeria" xr:uid="{00000000-0004-0000-38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100">
    <tabColor theme="2"/>
    <outlinePr summaryBelow="0" summaryRight="0"/>
  </sheetPr>
  <dimension ref="A1:E10"/>
  <sheetViews>
    <sheetView workbookViewId="0"/>
  </sheetViews>
  <sheetFormatPr baseColWidth="10" defaultColWidth="12.625" defaultRowHeight="15.8" customHeight="1"/>
  <cols>
    <col min="1" max="1" width="19.75" customWidth="1"/>
    <col min="2" max="3" width="21.375" customWidth="1"/>
    <col min="4" max="4" width="20.375" customWidth="1"/>
  </cols>
  <sheetData>
    <row r="1" spans="1:5" ht="12.75" customHeight="1">
      <c r="A1" s="76" t="s">
        <v>0</v>
      </c>
      <c r="B1" s="132" t="s">
        <v>1</v>
      </c>
      <c r="C1" s="34"/>
    </row>
    <row r="2" spans="1:5" ht="62.5" customHeight="1">
      <c r="A2" s="86" t="s">
        <v>1007</v>
      </c>
      <c r="B2" s="85" t="s">
        <v>356</v>
      </c>
      <c r="C2" s="85" t="s">
        <v>1008</v>
      </c>
      <c r="D2" s="85"/>
      <c r="E2" s="71"/>
    </row>
    <row r="3" spans="1:5" ht="57.25" customHeight="1">
      <c r="A3" s="78" t="s">
        <v>8</v>
      </c>
      <c r="B3" s="79" t="s">
        <v>1009</v>
      </c>
      <c r="C3" s="79" t="s">
        <v>708</v>
      </c>
      <c r="D3" s="79"/>
      <c r="E3" s="71"/>
    </row>
    <row r="4" spans="1:5" ht="12.75" customHeight="1">
      <c r="A4" s="80" t="s">
        <v>14</v>
      </c>
      <c r="B4" s="80" t="s">
        <v>15</v>
      </c>
      <c r="C4" s="80" t="s">
        <v>15</v>
      </c>
      <c r="D4" s="80"/>
      <c r="E4" s="68"/>
    </row>
    <row r="5" spans="1:5" ht="12.75" customHeight="1">
      <c r="A5" s="87" t="s">
        <v>16</v>
      </c>
      <c r="B5" s="88" t="s">
        <v>28</v>
      </c>
      <c r="C5" s="88" t="s">
        <v>803</v>
      </c>
      <c r="D5" s="89" t="s">
        <v>111</v>
      </c>
    </row>
    <row r="6" spans="1:5" ht="12.75" customHeight="1">
      <c r="A6" s="81">
        <v>1</v>
      </c>
      <c r="B6" s="81" t="s">
        <v>1010</v>
      </c>
      <c r="C6" s="81" t="s">
        <v>1011</v>
      </c>
      <c r="D6" s="81" t="str">
        <f>B6</f>
        <v>g</v>
      </c>
    </row>
    <row r="7" spans="1:5" ht="12.75" customHeight="1">
      <c r="A7" s="81">
        <v>2</v>
      </c>
      <c r="B7" s="81" t="s">
        <v>1012</v>
      </c>
      <c r="C7" s="81" t="s">
        <v>1011</v>
      </c>
      <c r="D7" s="81" t="str">
        <f>B7</f>
        <v>kg</v>
      </c>
    </row>
    <row r="8" spans="1:5" ht="12.75" customHeight="1">
      <c r="A8" s="81">
        <v>3</v>
      </c>
      <c r="B8" s="81" t="s">
        <v>1013</v>
      </c>
      <c r="C8" s="81" t="s">
        <v>1014</v>
      </c>
      <c r="D8" s="81" t="str">
        <f>B8</f>
        <v>ml</v>
      </c>
    </row>
    <row r="9" spans="1:5" ht="12.75" customHeight="1">
      <c r="A9" s="81">
        <v>4</v>
      </c>
      <c r="B9" s="81" t="s">
        <v>1015</v>
      </c>
      <c r="C9" s="81" t="s">
        <v>1014</v>
      </c>
      <c r="D9" s="81" t="str">
        <f>B9</f>
        <v>l</v>
      </c>
    </row>
    <row r="10" spans="1:5" ht="12.75" customHeight="1">
      <c r="A10" s="81">
        <v>5</v>
      </c>
      <c r="B10" s="81" t="s">
        <v>1016</v>
      </c>
      <c r="C10" s="81" t="s">
        <v>1137</v>
      </c>
      <c r="D10" s="81" t="str">
        <f>B10</f>
        <v>und</v>
      </c>
    </row>
  </sheetData>
  <hyperlinks>
    <hyperlink ref="A1" location="'Modelo de dominio'!A1" display="&lt;&lt;&lt;Modelo de Dominio" xr:uid="{00000000-0004-0000-4700-000000000000}"/>
    <hyperlink ref="B1" location="'Objetos de dominio'!A1" display="&lt;&lt;&lt;Objetos de Dominio" xr:uid="{00000000-0004-0000-4700-000001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101">
    <tabColor theme="0"/>
    <outlinePr summaryBelow="0" summaryRight="0"/>
  </sheetPr>
  <dimension ref="A1:W21"/>
  <sheetViews>
    <sheetView zoomScale="75" workbookViewId="0">
      <selection activeCell="S7" sqref="S7"/>
    </sheetView>
  </sheetViews>
  <sheetFormatPr baseColWidth="10" defaultColWidth="12.625" defaultRowHeight="12.9"/>
  <cols>
    <col min="1" max="1" width="27.75" bestFit="1" customWidth="1"/>
    <col min="2" max="2" width="59.125" bestFit="1" customWidth="1"/>
    <col min="3" max="3" width="34.375" bestFit="1" customWidth="1"/>
    <col min="4" max="4" width="22.375" bestFit="1" customWidth="1"/>
    <col min="5" max="5" width="11.625" bestFit="1" customWidth="1"/>
    <col min="6" max="6" width="27" bestFit="1" customWidth="1"/>
    <col min="7" max="7" width="27.375" bestFit="1" customWidth="1"/>
    <col min="8" max="8" width="19.75" bestFit="1" customWidth="1"/>
    <col min="9" max="9" width="70.875" bestFit="1" customWidth="1"/>
    <col min="10" max="10" width="23.25" bestFit="1" customWidth="1"/>
    <col min="11" max="11" width="21.75" bestFit="1" customWidth="1"/>
    <col min="12" max="12" width="18.75" bestFit="1" customWidth="1"/>
    <col min="13" max="13" width="43.375" bestFit="1" customWidth="1"/>
    <col min="14" max="14" width="15.375" bestFit="1" customWidth="1"/>
    <col min="15" max="15" width="31.25" bestFit="1" customWidth="1"/>
    <col min="16" max="16" width="28.25" bestFit="1" customWidth="1"/>
    <col min="17" max="17" width="69.375" bestFit="1" customWidth="1"/>
    <col min="18" max="18" width="61.375" bestFit="1" customWidth="1"/>
    <col min="19" max="19" width="23.875" bestFit="1" customWidth="1"/>
    <col min="20" max="20" width="27.375" bestFit="1" customWidth="1"/>
    <col min="21" max="21" width="15.25" bestFit="1" customWidth="1"/>
    <col min="22" max="22" width="32.75" customWidth="1"/>
    <col min="23" max="23" width="25.375" customWidth="1"/>
  </cols>
  <sheetData>
    <row r="1" spans="1:23" ht="13.75" customHeight="1">
      <c r="A1" s="2" t="s">
        <v>0</v>
      </c>
      <c r="B1" s="132" t="s">
        <v>1</v>
      </c>
      <c r="C1" s="25"/>
      <c r="D1" s="25"/>
      <c r="E1" s="25"/>
      <c r="F1" s="25"/>
      <c r="G1" s="25"/>
      <c r="H1" s="25"/>
      <c r="I1" s="25"/>
      <c r="J1" s="25"/>
      <c r="K1" s="25"/>
      <c r="L1" s="25"/>
      <c r="M1" s="25"/>
      <c r="N1" s="25"/>
      <c r="O1" s="25"/>
      <c r="P1" s="25"/>
      <c r="Q1" s="25"/>
      <c r="R1" s="25"/>
      <c r="S1" s="25"/>
      <c r="T1" s="25"/>
      <c r="U1" s="25"/>
    </row>
    <row r="2" spans="1:23" ht="14.3" customHeight="1">
      <c r="A2" s="7" t="s">
        <v>20</v>
      </c>
      <c r="B2" s="1074" t="s">
        <v>28</v>
      </c>
      <c r="C2" s="1032"/>
      <c r="D2" s="1032"/>
      <c r="E2" s="1032"/>
      <c r="F2" s="1032"/>
      <c r="G2" s="1032"/>
      <c r="H2" s="1032"/>
      <c r="I2" s="1032"/>
      <c r="J2" s="1032"/>
      <c r="K2" s="1032"/>
      <c r="L2" s="1032"/>
      <c r="M2" s="1032"/>
      <c r="N2" s="1032"/>
      <c r="O2" s="1032"/>
      <c r="P2" s="1032"/>
      <c r="Q2" s="1032"/>
      <c r="R2" s="1032"/>
      <c r="S2" s="1032"/>
      <c r="T2" s="1032"/>
      <c r="U2" s="1033"/>
    </row>
    <row r="3" spans="1:23" ht="14.3" customHeight="1">
      <c r="A3" s="7" t="s">
        <v>79</v>
      </c>
      <c r="B3" s="1084" t="str">
        <f>HYPERLINK("#'Objetos de dominio'!B4", 'Objetos de dominio'!B4)</f>
        <v>Es la unidad con la que se mide cada ingrediente o producto, por ejemplo kilos, litros o unidades.</v>
      </c>
      <c r="C3" s="1032"/>
      <c r="D3" s="1032"/>
      <c r="E3" s="1032"/>
      <c r="F3" s="1032"/>
      <c r="G3" s="1032"/>
      <c r="H3" s="1032"/>
      <c r="I3" s="1032"/>
      <c r="J3" s="1032"/>
      <c r="K3" s="1032"/>
      <c r="L3" s="1032"/>
      <c r="M3" s="1032"/>
      <c r="N3" s="1032"/>
      <c r="O3" s="1032"/>
      <c r="P3" s="1032"/>
      <c r="Q3" s="1032"/>
      <c r="R3" s="1032"/>
      <c r="S3" s="1032"/>
      <c r="T3" s="1032"/>
      <c r="U3" s="1033"/>
    </row>
    <row r="4" spans="1:23" ht="14.3"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16" t="str">
        <f>HYPERLINK("#'C-UnidadMedida'!A17", 'C-UnidadMedida'!A17)</f>
        <v>Consultar unidades de medida disponibles</v>
      </c>
      <c r="W4" s="605" t="str">
        <f>HYPERLINK("#'C-UnidadMedida'!A19", 'C-UnidadMedida'!A19)</f>
        <v>Eliminar unidad de medida</v>
      </c>
    </row>
    <row r="5" spans="1:23" ht="14.3" customHeight="1">
      <c r="A5" s="135" t="str">
        <f>HYPERLINK("#'M-UnidadMedida'!A5", 'M-UnidadMedida'!A5)</f>
        <v>Id</v>
      </c>
      <c r="B5" s="135" t="str">
        <f>HYPERLINK("#'M-UnidadMedida'!A2", 'M-UnidadMedida'!A2)</f>
        <v xml:space="preserve">Identificador unico de unidad de medida dentro del sistema </v>
      </c>
      <c r="C5" s="146" t="s">
        <v>15</v>
      </c>
      <c r="D5" s="146" t="s">
        <v>854</v>
      </c>
      <c r="E5" s="146" t="s">
        <v>15</v>
      </c>
      <c r="F5" s="146"/>
      <c r="G5" s="146"/>
      <c r="H5" s="146"/>
      <c r="I5" s="146"/>
      <c r="J5" s="146"/>
      <c r="K5" s="146"/>
      <c r="L5" s="146"/>
      <c r="M5" s="146"/>
      <c r="N5" s="146" t="s">
        <v>100</v>
      </c>
      <c r="O5" s="146" t="s">
        <v>100</v>
      </c>
      <c r="P5" s="146"/>
      <c r="Q5" s="146"/>
      <c r="R5" s="146"/>
      <c r="S5" s="146" t="s">
        <v>100</v>
      </c>
      <c r="T5" s="146"/>
      <c r="U5" s="482" t="s">
        <v>15</v>
      </c>
      <c r="V5" s="516" t="s">
        <v>274</v>
      </c>
      <c r="W5" s="605" t="s">
        <v>101</v>
      </c>
    </row>
    <row r="6" spans="1:23" ht="14.3" customHeight="1">
      <c r="A6" s="135" t="str">
        <f>HYPERLINK("#'M-UnidadMedida'!B5", 'M-UnidadMedida'!B5)</f>
        <v>UnidadMedida</v>
      </c>
      <c r="B6" s="135" t="str">
        <f>HYPERLINK("#'M-UnidadMedida'!B2", 'M-UnidadMedida'!B2)</f>
        <v xml:space="preserve">Unidad de medida </v>
      </c>
      <c r="C6" s="146" t="s">
        <v>100</v>
      </c>
      <c r="D6" s="146" t="s">
        <v>280</v>
      </c>
      <c r="E6" s="146" t="s">
        <v>15</v>
      </c>
      <c r="F6" s="146">
        <v>1</v>
      </c>
      <c r="G6" s="146">
        <v>4</v>
      </c>
      <c r="H6" s="146"/>
      <c r="I6" s="146"/>
      <c r="J6" s="146"/>
      <c r="K6" s="146"/>
      <c r="L6" s="146"/>
      <c r="M6" s="146" t="s">
        <v>1017</v>
      </c>
      <c r="N6" s="146" t="s">
        <v>100</v>
      </c>
      <c r="O6" s="146" t="s">
        <v>100</v>
      </c>
      <c r="P6" s="146"/>
      <c r="Q6" s="146" t="s">
        <v>15</v>
      </c>
      <c r="R6" s="146" t="s">
        <v>15</v>
      </c>
      <c r="S6" s="146" t="s">
        <v>100</v>
      </c>
      <c r="T6" s="146"/>
      <c r="U6" s="482" t="s">
        <v>100</v>
      </c>
      <c r="V6" s="516" t="s">
        <v>278</v>
      </c>
      <c r="W6" s="605" t="s">
        <v>276</v>
      </c>
    </row>
    <row r="7" spans="1:23" ht="42.8" customHeight="1">
      <c r="A7" s="135" t="str">
        <f>HYPERLINK("#'M-UnidadMedida'!C5", 'M-UnidadMedida'!C5)</f>
        <v>TipoMedida</v>
      </c>
      <c r="B7" s="135" t="str">
        <f>HYPERLINK("#'M-UnidadMedida'!C2", 'M-UnidadMedida'!C2)</f>
        <v xml:space="preserve">Tipo de medida a la que corresponde cada unidad de medida </v>
      </c>
      <c r="C7" s="146" t="s">
        <v>100</v>
      </c>
      <c r="D7" s="146" t="s">
        <v>280</v>
      </c>
      <c r="E7" s="146" t="s">
        <v>15</v>
      </c>
      <c r="F7" s="146">
        <v>1</v>
      </c>
      <c r="G7" s="146">
        <v>10</v>
      </c>
      <c r="H7" s="146"/>
      <c r="I7" s="146"/>
      <c r="J7" s="146"/>
      <c r="K7" s="146"/>
      <c r="L7" s="146"/>
      <c r="M7" s="147" t="s">
        <v>1138</v>
      </c>
      <c r="N7" s="146" t="s">
        <v>100</v>
      </c>
      <c r="O7" s="146" t="s">
        <v>100</v>
      </c>
      <c r="P7" s="146"/>
      <c r="Q7" s="146" t="s">
        <v>15</v>
      </c>
      <c r="R7" s="146" t="s">
        <v>15</v>
      </c>
      <c r="S7" s="146" t="s">
        <v>100</v>
      </c>
      <c r="T7" s="146"/>
      <c r="U7" s="482" t="s">
        <v>100</v>
      </c>
      <c r="V7" s="516" t="s">
        <v>274</v>
      </c>
      <c r="W7" s="605" t="s">
        <v>276</v>
      </c>
    </row>
    <row r="10" spans="1:23" ht="14.3" customHeight="1">
      <c r="A10" s="16" t="s">
        <v>109</v>
      </c>
      <c r="B10" s="16" t="s">
        <v>79</v>
      </c>
      <c r="C10" s="16" t="s">
        <v>110</v>
      </c>
    </row>
    <row r="11" spans="1:23" ht="13.75" customHeight="1">
      <c r="A11" s="391" t="s">
        <v>111</v>
      </c>
      <c r="B11" s="390" t="s">
        <v>1018</v>
      </c>
      <c r="C11" s="136" t="str">
        <f>HYPERLINK("#'C-UnidadMedida'!A6", 'C-UnidadMedida'!A6)</f>
        <v>UnidadMedida</v>
      </c>
    </row>
    <row r="14" spans="1:23" ht="13.75" customHeight="1" thickBot="1"/>
    <row r="15" spans="1:23" ht="14.3" customHeight="1">
      <c r="A15" s="1037" t="s">
        <v>113</v>
      </c>
      <c r="B15" s="1038"/>
      <c r="C15" s="1042" t="s">
        <v>79</v>
      </c>
      <c r="D15" s="1043"/>
      <c r="E15" s="1043"/>
      <c r="F15" s="1038"/>
      <c r="G15" s="1042" t="s">
        <v>114</v>
      </c>
      <c r="H15" s="1029"/>
      <c r="I15" s="1030"/>
      <c r="J15" s="1028" t="s">
        <v>115</v>
      </c>
      <c r="K15" s="1029"/>
      <c r="L15" s="1029"/>
      <c r="M15" s="1029"/>
      <c r="N15" s="1030"/>
      <c r="O15" s="1028" t="s">
        <v>116</v>
      </c>
      <c r="P15" s="1030"/>
      <c r="Q15" s="1028" t="s">
        <v>117</v>
      </c>
      <c r="R15" s="1030"/>
    </row>
    <row r="16" spans="1:23" ht="14.3" customHeight="1">
      <c r="A16" s="1039"/>
      <c r="B16" s="1040"/>
      <c r="C16" s="1044"/>
      <c r="D16" s="1045"/>
      <c r="E16" s="1045"/>
      <c r="F16" s="1040"/>
      <c r="G16" s="517" t="s">
        <v>118</v>
      </c>
      <c r="H16" s="517" t="s">
        <v>8</v>
      </c>
      <c r="I16" s="517" t="s">
        <v>79</v>
      </c>
      <c r="J16" s="691" t="s">
        <v>119</v>
      </c>
      <c r="K16" s="1034" t="s">
        <v>79</v>
      </c>
      <c r="L16" s="1035"/>
      <c r="M16" s="1035"/>
      <c r="N16" s="1036"/>
      <c r="O16" s="693" t="s">
        <v>120</v>
      </c>
      <c r="P16" s="544" t="s">
        <v>79</v>
      </c>
      <c r="Q16" s="544" t="s">
        <v>121</v>
      </c>
      <c r="R16" s="188" t="s">
        <v>122</v>
      </c>
    </row>
    <row r="17" spans="1:18" ht="45.7" customHeight="1">
      <c r="A17" s="1088" t="str">
        <f>HYPERLINK("#'C-UnidadMedida'!V4", 'E-UnidadMedida'!B7)</f>
        <v>Consultar unidades de medida disponibles</v>
      </c>
      <c r="B17" s="1077"/>
      <c r="C17" s="1075" t="str">
        <f>'E-UnidadMedida'!C7</f>
        <v>Permite consultar las unidades de medida precargadas en el sistema para seleccionar la unidad adecuada al registrar cantidades de productos, ingredientes, compras, recetas o movimientos de inventario.</v>
      </c>
      <c r="D17" s="1076"/>
      <c r="E17" s="1076"/>
      <c r="F17" s="1077"/>
      <c r="G17" s="1088" t="s">
        <v>123</v>
      </c>
      <c r="H17" s="1088" t="s">
        <v>28</v>
      </c>
      <c r="I17" s="1091" t="s">
        <v>1019</v>
      </c>
      <c r="J17" s="1082" t="s">
        <v>1020</v>
      </c>
      <c r="K17" s="1081" t="s">
        <v>1021</v>
      </c>
      <c r="L17" s="1076"/>
      <c r="M17" s="1076"/>
      <c r="N17" s="1076"/>
      <c r="O17" s="772" t="str">
        <f>HYPERLINK("#'P-UnidadMedida'!A5", 'P-UnidadMedida'!A5)</f>
        <v>P-UM-001</v>
      </c>
      <c r="P17" s="690" t="str">
        <f>'P-UnidadMedida'!B5</f>
        <v>Asegurar que solo se consulten las unidades de medida del catalogo definido por la pizzeria (g, kg, ml, l y und), cada una con su tipo de medida (Peso, Volumen o Unidad).</v>
      </c>
      <c r="Q17" s="578" t="s">
        <v>1350</v>
      </c>
      <c r="R17" s="578" t="s">
        <v>1351</v>
      </c>
    </row>
    <row r="18" spans="1:18" s="614" customFormat="1" ht="14.95" customHeight="1">
      <c r="A18" s="1078"/>
      <c r="B18" s="1080"/>
      <c r="C18" s="1078"/>
      <c r="D18" s="1079"/>
      <c r="E18" s="1079"/>
      <c r="F18" s="1080"/>
      <c r="G18" s="1089"/>
      <c r="H18" s="1089"/>
      <c r="I18" s="1078"/>
      <c r="J18" s="1083"/>
      <c r="K18" s="1079"/>
      <c r="L18" s="1079"/>
      <c r="M18" s="1079"/>
      <c r="N18" s="1080"/>
      <c r="O18" s="773" t="str">
        <f>HYPERLINK("#'P-UnidadMedida'!A6", 'P-UnidadMedida'!A6)</f>
        <v>P-UM-002</v>
      </c>
      <c r="P18" s="516" t="str">
        <f>'P-UnidadMedida'!B6</f>
        <v>Asegurar que la unidad de medida exista con el identificador indicado</v>
      </c>
      <c r="Q18" s="516" t="s">
        <v>1022</v>
      </c>
      <c r="R18" s="516" t="s">
        <v>1023</v>
      </c>
    </row>
    <row r="19" spans="1:18">
      <c r="A19" s="1085" t="str">
        <f>HYPERLINK("#'C-UnidadMedida'!W4", 'E-UnidadMedida'!B9)</f>
        <v>Eliminar unidad de medida</v>
      </c>
      <c r="B19" s="1077"/>
      <c r="C19" s="1085" t="str">
        <f>'E-UnidadMedida'!C9</f>
        <v>Permite eliminar una unidad de medida que no este siendo utilizada por ningun otro registro de la pizzeria.</v>
      </c>
      <c r="D19" s="1076"/>
      <c r="E19" s="1076"/>
      <c r="F19" s="1077"/>
      <c r="G19" s="1085" t="s">
        <v>16</v>
      </c>
      <c r="H19" s="1085" t="s">
        <v>299</v>
      </c>
      <c r="I19" s="1085" t="s">
        <v>1024</v>
      </c>
      <c r="J19" s="1092" t="s">
        <v>28</v>
      </c>
      <c r="K19" s="1085" t="s">
        <v>1025</v>
      </c>
      <c r="L19" s="1076"/>
      <c r="M19" s="1076"/>
      <c r="N19" s="1077"/>
      <c r="O19" s="774" t="str">
        <f>HYPERLINK("#'P-UnidadMedida'!A7", 'P-UnidadMedida'!A7)</f>
        <v>P-UM-003</v>
      </c>
      <c r="P19" s="605" t="str">
        <f>'P-UnidadMedida'!B7</f>
        <v>Asegurar que la unidad de medida que se desea eliminar se encuentre registrada en el sistema.</v>
      </c>
      <c r="Q19" s="605" t="s">
        <v>1026</v>
      </c>
      <c r="R19" s="605" t="s">
        <v>1027</v>
      </c>
    </row>
    <row r="20" spans="1:18" ht="25.5" customHeight="1">
      <c r="A20" s="1086"/>
      <c r="B20" s="1087"/>
      <c r="C20" s="1086"/>
      <c r="D20" s="971"/>
      <c r="E20" s="971"/>
      <c r="F20" s="1087"/>
      <c r="G20" s="1090"/>
      <c r="H20" s="1090"/>
      <c r="I20" s="1090"/>
      <c r="J20" s="1090"/>
      <c r="K20" s="1086"/>
      <c r="L20" s="971"/>
      <c r="M20" s="971"/>
      <c r="N20" s="1087"/>
      <c r="O20" s="774" t="str">
        <f>HYPERLINK("#'P-UnidadMedida'!A8", 'P-UnidadMedida'!A8)</f>
        <v>P-UM-004</v>
      </c>
      <c r="P20" s="605" t="str">
        <f>'P-UnidadMedida'!B8</f>
        <v>Asegurar que la unidad de medida que se desea eliminar no este siendo utilizada por productos internos, lotes o registros de inventario que requieran conservarla.</v>
      </c>
      <c r="Q20" s="605" t="s">
        <v>1352</v>
      </c>
      <c r="R20" s="528" t="s">
        <v>1353</v>
      </c>
    </row>
    <row r="21" spans="1:18" ht="25.5" customHeight="1">
      <c r="A21" s="1078"/>
      <c r="B21" s="1080"/>
      <c r="C21" s="1078"/>
      <c r="D21" s="1079"/>
      <c r="E21" s="1079"/>
      <c r="F21" s="1080"/>
      <c r="G21" s="1089"/>
      <c r="H21" s="1089"/>
      <c r="I21" s="1089"/>
      <c r="J21" s="1089"/>
      <c r="K21" s="1078"/>
      <c r="L21" s="1079"/>
      <c r="M21" s="1079"/>
      <c r="N21" s="1080"/>
      <c r="O21" s="774" t="str">
        <f>HYPERLINK("#'P-UnidadMedida'!A9", 'P-UnidadMedida'!A9)</f>
        <v>P-UM-005</v>
      </c>
      <c r="P21" s="605" t="str">
        <f>'P-UnidadMedida'!B9</f>
        <v>Asegurar que la unidad de medida que se desea eliminar no este siendo utilizada por detalles de receta, detalles de compra, cambios o consumos de venta que requieran conservarla.</v>
      </c>
      <c r="Q21" s="605" t="s">
        <v>1354</v>
      </c>
      <c r="R21" s="528" t="s">
        <v>1353</v>
      </c>
    </row>
  </sheetData>
  <mergeCells count="23">
    <mergeCell ref="A19:B21"/>
    <mergeCell ref="G17:G18"/>
    <mergeCell ref="O15:P15"/>
    <mergeCell ref="H19:H21"/>
    <mergeCell ref="A17:B18"/>
    <mergeCell ref="I19:I21"/>
    <mergeCell ref="G15:I15"/>
    <mergeCell ref="H17:H18"/>
    <mergeCell ref="J15:N15"/>
    <mergeCell ref="C19:F21"/>
    <mergeCell ref="K16:N16"/>
    <mergeCell ref="I17:I18"/>
    <mergeCell ref="K19:N21"/>
    <mergeCell ref="J19:J21"/>
    <mergeCell ref="G19:G21"/>
    <mergeCell ref="B2:U2"/>
    <mergeCell ref="C17:F18"/>
    <mergeCell ref="A15:B16"/>
    <mergeCell ref="Q15:R15"/>
    <mergeCell ref="K17:N18"/>
    <mergeCell ref="J17:J18"/>
    <mergeCell ref="C15:F16"/>
    <mergeCell ref="B3:U3"/>
  </mergeCells>
  <hyperlinks>
    <hyperlink ref="A1" location="'Modelo de dominio'!A1" display="&lt;&lt;&lt;Modelo de Dominio" xr:uid="{00000000-0004-0000-4800-000000000000}"/>
    <hyperlink ref="B1" location="'Objetos de dominio'!A1" display="&lt;&lt;&lt;Objetos de Dominio" xr:uid="{00000000-0004-0000-4800-000001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102">
    <outlinePr summaryBelow="0" summaryRight="0"/>
  </sheetPr>
  <dimension ref="A1:X996"/>
  <sheetViews>
    <sheetView topLeftCell="C1" workbookViewId="0">
      <selection activeCell="G11" sqref="G11"/>
    </sheetView>
  </sheetViews>
  <sheetFormatPr baseColWidth="10" defaultColWidth="12.625" defaultRowHeight="12.9"/>
  <cols>
    <col min="1" max="1" width="17" bestFit="1" customWidth="1"/>
    <col min="2" max="2" width="35.75" bestFit="1" customWidth="1"/>
    <col min="3" max="3" width="170.75" bestFit="1" customWidth="1"/>
    <col min="4" max="4" width="26.375" customWidth="1"/>
    <col min="5" max="6" width="10.375" bestFit="1" customWidth="1"/>
    <col min="7" max="7" width="17.375" bestFit="1" customWidth="1"/>
    <col min="8" max="8" width="11.875" bestFit="1" customWidth="1"/>
    <col min="9" max="9" width="19.875" bestFit="1" customWidth="1"/>
  </cols>
  <sheetData>
    <row r="1" spans="1:24">
      <c r="A1" s="49" t="s">
        <v>0</v>
      </c>
      <c r="B1" s="50" t="s">
        <v>1</v>
      </c>
      <c r="C1" s="73"/>
      <c r="D1" s="73"/>
      <c r="E1" s="73"/>
      <c r="F1" s="73"/>
      <c r="G1" s="73"/>
      <c r="H1" s="73"/>
      <c r="I1" s="73"/>
      <c r="J1" s="73"/>
      <c r="K1" s="73"/>
      <c r="L1" s="73"/>
      <c r="M1" s="73"/>
      <c r="N1" s="73"/>
      <c r="O1" s="73"/>
      <c r="P1" s="73"/>
      <c r="Q1" s="73"/>
      <c r="R1" s="73"/>
      <c r="S1" s="73"/>
      <c r="T1" s="73"/>
      <c r="U1" s="73"/>
      <c r="V1" s="73"/>
      <c r="W1" s="73"/>
      <c r="X1" s="73"/>
    </row>
    <row r="2" spans="1:24" ht="13.75" customHeight="1">
      <c r="A2" s="285" t="s">
        <v>209</v>
      </c>
      <c r="B2" s="1093" t="s">
        <v>28</v>
      </c>
      <c r="C2" s="1032"/>
      <c r="D2" s="1032"/>
      <c r="E2" s="1032"/>
      <c r="F2" s="1032"/>
      <c r="G2" s="1032"/>
      <c r="H2" s="1032"/>
      <c r="I2" s="1033"/>
      <c r="J2" s="73"/>
      <c r="K2" s="73"/>
      <c r="L2" s="73"/>
      <c r="M2" s="73"/>
      <c r="N2" s="73"/>
      <c r="O2" s="73"/>
      <c r="P2" s="73"/>
      <c r="Q2" s="73"/>
      <c r="R2" s="73"/>
      <c r="S2" s="73"/>
      <c r="T2" s="73"/>
      <c r="U2" s="73"/>
      <c r="V2" s="73"/>
      <c r="W2" s="73"/>
      <c r="X2" s="73"/>
    </row>
    <row r="3" spans="1:24" ht="13.75" customHeight="1">
      <c r="A3" s="286" t="s">
        <v>210</v>
      </c>
      <c r="B3" s="1107" t="str">
        <f>'C-UnidadMedida'!B3</f>
        <v>Es la unidad con la que se mide cada ingrediente o producto, por ejemplo kilos, litros o unidades.</v>
      </c>
      <c r="C3" s="1032"/>
      <c r="D3" s="1032"/>
      <c r="E3" s="1032"/>
      <c r="F3" s="1032"/>
      <c r="G3" s="1032"/>
      <c r="H3" s="1032"/>
      <c r="I3" s="1033"/>
      <c r="J3" s="73"/>
      <c r="K3" s="73"/>
      <c r="L3" s="73"/>
      <c r="M3" s="73"/>
      <c r="N3" s="73"/>
      <c r="O3" s="73"/>
      <c r="P3" s="73"/>
      <c r="Q3" s="73"/>
      <c r="R3" s="73"/>
      <c r="S3" s="73"/>
      <c r="T3" s="73"/>
      <c r="U3" s="73"/>
      <c r="V3" s="73"/>
      <c r="W3" s="73"/>
      <c r="X3" s="73"/>
    </row>
    <row r="4" spans="1:24" ht="13.75" customHeight="1">
      <c r="A4" s="575" t="s">
        <v>211</v>
      </c>
      <c r="B4" s="1100" t="s">
        <v>212</v>
      </c>
      <c r="C4" s="1033"/>
      <c r="D4" s="226" t="s">
        <v>213</v>
      </c>
      <c r="E4" s="1106" t="s">
        <v>214</v>
      </c>
      <c r="F4" s="1033"/>
      <c r="G4" s="53" t="s">
        <v>215</v>
      </c>
      <c r="H4" s="377" t="s">
        <v>217</v>
      </c>
      <c r="I4" s="380" t="s">
        <v>218</v>
      </c>
      <c r="J4" s="73"/>
      <c r="K4" s="73"/>
      <c r="L4" s="73"/>
      <c r="M4" s="73"/>
      <c r="N4" s="73"/>
      <c r="O4" s="73"/>
      <c r="P4" s="73"/>
      <c r="Q4" s="73"/>
      <c r="R4" s="73"/>
      <c r="S4" s="73"/>
      <c r="T4" s="73"/>
      <c r="U4" s="73"/>
      <c r="V4" s="73"/>
      <c r="W4" s="73"/>
      <c r="X4" s="73"/>
    </row>
    <row r="5" spans="1:24" ht="13.75" customHeight="1">
      <c r="A5" s="1110" t="s">
        <v>211</v>
      </c>
      <c r="B5" s="1100" t="s">
        <v>219</v>
      </c>
      <c r="C5" s="1100" t="s">
        <v>79</v>
      </c>
      <c r="D5" s="1101" t="s">
        <v>220</v>
      </c>
      <c r="E5" s="1106" t="s">
        <v>221</v>
      </c>
      <c r="F5" s="1033"/>
      <c r="G5" s="53" t="s">
        <v>222</v>
      </c>
      <c r="H5" s="1103" t="s">
        <v>224</v>
      </c>
      <c r="I5" s="1097" t="s">
        <v>225</v>
      </c>
      <c r="J5" s="73"/>
      <c r="K5" s="73"/>
      <c r="L5" s="73"/>
      <c r="M5" s="73"/>
      <c r="N5" s="73"/>
      <c r="O5" s="73"/>
      <c r="P5" s="73"/>
      <c r="Q5" s="73"/>
      <c r="R5" s="73"/>
      <c r="S5" s="73"/>
      <c r="T5" s="73"/>
      <c r="U5" s="73"/>
      <c r="V5" s="73"/>
      <c r="W5" s="73"/>
      <c r="X5" s="73"/>
    </row>
    <row r="6" spans="1:24" ht="13.75" customHeight="1">
      <c r="A6" s="1066"/>
      <c r="B6" s="1066"/>
      <c r="C6" s="1066"/>
      <c r="D6" s="1066"/>
      <c r="E6" s="126" t="s">
        <v>226</v>
      </c>
      <c r="F6" s="126" t="s">
        <v>79</v>
      </c>
      <c r="G6" s="127" t="s">
        <v>227</v>
      </c>
      <c r="H6" s="1066"/>
      <c r="I6" s="1066"/>
      <c r="J6" s="73"/>
      <c r="K6" s="73"/>
      <c r="L6" s="73"/>
      <c r="M6" s="73"/>
      <c r="N6" s="73"/>
      <c r="O6" s="73"/>
      <c r="P6" s="73"/>
      <c r="Q6" s="73"/>
      <c r="R6" s="73"/>
      <c r="S6" s="73"/>
      <c r="T6" s="73"/>
      <c r="U6" s="73"/>
      <c r="V6" s="73"/>
      <c r="W6" s="73"/>
      <c r="X6" s="73"/>
    </row>
    <row r="7" spans="1:24" ht="63.7" customHeight="1">
      <c r="A7" s="1094" t="s">
        <v>228</v>
      </c>
      <c r="B7" s="1098" t="s">
        <v>1028</v>
      </c>
      <c r="C7" s="1098" t="s">
        <v>1029</v>
      </c>
      <c r="D7" s="1094" t="s">
        <v>28</v>
      </c>
      <c r="E7" s="1099"/>
      <c r="F7" s="1105"/>
      <c r="G7" s="759" t="str">
        <f>HYPERLINK("#'P-UnidadMedida'!A5", "P-UM-001")</f>
        <v>P-UM-001</v>
      </c>
      <c r="H7" s="1095" t="s">
        <v>1355</v>
      </c>
      <c r="I7" s="1108"/>
      <c r="J7" s="73"/>
      <c r="K7" s="73"/>
      <c r="L7" s="73"/>
      <c r="M7" s="73"/>
      <c r="N7" s="73"/>
      <c r="O7" s="73"/>
      <c r="P7" s="73"/>
      <c r="Q7" s="73"/>
      <c r="R7" s="73"/>
      <c r="S7" s="73"/>
      <c r="T7" s="73"/>
      <c r="U7" s="73"/>
      <c r="V7" s="73"/>
      <c r="W7" s="73"/>
      <c r="X7" s="73"/>
    </row>
    <row r="8" spans="1:24" s="614" customFormat="1" ht="26.5" customHeight="1">
      <c r="A8" s="1089"/>
      <c r="B8" s="1089"/>
      <c r="C8" s="1089"/>
      <c r="D8" s="1089"/>
      <c r="E8" s="1089"/>
      <c r="F8" s="1078"/>
      <c r="G8" s="759" t="str">
        <f>HYPERLINK("#'P-UnidadMedida'!A6", "P-UM-002")</f>
        <v>P-UM-002</v>
      </c>
      <c r="H8" s="1080"/>
      <c r="I8" s="1089"/>
      <c r="J8" s="297"/>
      <c r="K8" s="297"/>
      <c r="L8" s="297"/>
      <c r="M8" s="297"/>
      <c r="N8" s="297"/>
      <c r="O8" s="297"/>
      <c r="P8" s="297"/>
      <c r="Q8" s="297"/>
      <c r="R8" s="297"/>
      <c r="S8" s="297"/>
      <c r="T8" s="297"/>
      <c r="U8" s="297"/>
      <c r="V8" s="297"/>
      <c r="W8" s="297"/>
      <c r="X8" s="297"/>
    </row>
    <row r="9" spans="1:24">
      <c r="A9" s="1104" t="s">
        <v>228</v>
      </c>
      <c r="B9" s="1104" t="s">
        <v>1030</v>
      </c>
      <c r="C9" s="1096" t="s">
        <v>1356</v>
      </c>
      <c r="D9" s="1104" t="s">
        <v>28</v>
      </c>
      <c r="E9" s="1104"/>
      <c r="F9" s="1109"/>
      <c r="G9" s="775" t="str">
        <f>HYPERLINK("#'P-UnidadMedida'!A7", "P-UM-003")</f>
        <v>P-UM-003</v>
      </c>
      <c r="H9" s="1102" t="s">
        <v>1031</v>
      </c>
      <c r="I9" s="1096"/>
      <c r="J9" s="73"/>
      <c r="K9" s="73"/>
      <c r="L9" s="73"/>
      <c r="M9" s="73"/>
      <c r="N9" s="73"/>
      <c r="O9" s="73"/>
      <c r="P9" s="73"/>
      <c r="Q9" s="73"/>
      <c r="R9" s="73"/>
      <c r="S9" s="73"/>
      <c r="T9" s="73"/>
      <c r="U9" s="73"/>
      <c r="V9" s="73"/>
      <c r="W9" s="73"/>
      <c r="X9" s="73"/>
    </row>
    <row r="10" spans="1:24">
      <c r="A10" s="1090"/>
      <c r="B10" s="1090"/>
      <c r="C10" s="1090"/>
      <c r="D10" s="1090"/>
      <c r="E10" s="1090"/>
      <c r="F10" s="1086"/>
      <c r="G10" s="775" t="str">
        <f>HYPERLINK("#'P-UnidadMedida'!A8", "P-UM-004")</f>
        <v>P-UM-004</v>
      </c>
      <c r="H10" s="1087"/>
      <c r="I10" s="1090"/>
      <c r="J10" s="73"/>
      <c r="K10" s="73"/>
      <c r="L10" s="73"/>
      <c r="M10" s="73"/>
      <c r="N10" s="73"/>
      <c r="O10" s="73"/>
      <c r="P10" s="73"/>
      <c r="Q10" s="73"/>
      <c r="R10" s="73"/>
      <c r="S10" s="73"/>
      <c r="T10" s="73"/>
      <c r="U10" s="73"/>
      <c r="V10" s="73"/>
      <c r="W10" s="73"/>
      <c r="X10" s="73"/>
    </row>
    <row r="11" spans="1:24">
      <c r="A11" s="1089"/>
      <c r="B11" s="1089"/>
      <c r="C11" s="1089"/>
      <c r="D11" s="1089"/>
      <c r="E11" s="1089"/>
      <c r="F11" s="1078"/>
      <c r="G11" s="708" t="str">
        <f>HYPERLINK("#'P-UnidadMedida'!A9", "P-UM-005")</f>
        <v>P-UM-005</v>
      </c>
      <c r="H11" s="1080"/>
      <c r="I11" s="1089"/>
      <c r="J11" s="73"/>
      <c r="K11" s="73"/>
      <c r="L11" s="73"/>
      <c r="M11" s="73"/>
      <c r="N11" s="73"/>
      <c r="O11" s="73"/>
      <c r="P11" s="73"/>
      <c r="Q11" s="73"/>
      <c r="R11" s="73"/>
      <c r="S11" s="73"/>
      <c r="T11" s="73"/>
      <c r="U11" s="73"/>
      <c r="V11" s="73"/>
      <c r="W11" s="73"/>
      <c r="X11" s="73"/>
    </row>
    <row r="12" spans="1:24">
      <c r="A12" s="73"/>
      <c r="B12" s="73"/>
      <c r="C12" s="73"/>
      <c r="D12" s="73"/>
      <c r="E12" s="73"/>
      <c r="F12" s="73"/>
      <c r="G12" s="56"/>
      <c r="H12" s="73"/>
      <c r="I12" s="73"/>
      <c r="J12" s="73"/>
      <c r="K12" s="73"/>
      <c r="L12" s="73"/>
      <c r="M12" s="73"/>
      <c r="N12" s="73"/>
      <c r="O12" s="73"/>
      <c r="P12" s="73"/>
      <c r="Q12" s="73"/>
      <c r="R12" s="73"/>
      <c r="S12" s="73"/>
      <c r="T12" s="73"/>
      <c r="U12" s="73"/>
      <c r="V12" s="73"/>
      <c r="W12" s="73"/>
      <c r="X12" s="73"/>
    </row>
    <row r="13" spans="1:24">
      <c r="A13" s="73"/>
      <c r="B13" s="73"/>
      <c r="C13" s="73"/>
      <c r="D13" s="73"/>
      <c r="E13" s="73"/>
      <c r="F13" s="73"/>
      <c r="G13" s="73"/>
      <c r="H13" s="73"/>
      <c r="I13" s="73"/>
      <c r="J13" s="73"/>
      <c r="K13" s="73"/>
      <c r="L13" s="73"/>
      <c r="M13" s="73"/>
      <c r="N13" s="73"/>
      <c r="O13" s="73"/>
      <c r="P13" s="73"/>
      <c r="Q13" s="73"/>
      <c r="R13" s="73"/>
      <c r="S13" s="73"/>
      <c r="T13" s="73"/>
      <c r="U13" s="73"/>
      <c r="V13" s="73"/>
      <c r="W13" s="73"/>
      <c r="X13" s="73"/>
    </row>
    <row r="14" spans="1:24">
      <c r="A14" s="73"/>
      <c r="B14" s="73"/>
      <c r="C14" s="73"/>
      <c r="D14" s="73"/>
      <c r="E14" s="73"/>
      <c r="F14" s="73"/>
      <c r="G14" s="73"/>
      <c r="H14" s="73"/>
      <c r="I14" s="73"/>
      <c r="J14" s="73"/>
      <c r="K14" s="73"/>
      <c r="L14" s="73"/>
      <c r="M14" s="73"/>
      <c r="N14" s="73"/>
      <c r="O14" s="73"/>
      <c r="P14" s="73"/>
      <c r="Q14" s="73"/>
      <c r="R14" s="73"/>
      <c r="S14" s="73"/>
      <c r="T14" s="73"/>
      <c r="U14" s="73"/>
      <c r="V14" s="73"/>
      <c r="W14" s="73"/>
      <c r="X14" s="73"/>
    </row>
    <row r="15" spans="1:24">
      <c r="G15" s="73"/>
      <c r="I15" s="73"/>
      <c r="J15" s="73"/>
      <c r="K15" s="73"/>
      <c r="L15" s="73"/>
      <c r="M15" s="73"/>
      <c r="N15" s="73"/>
      <c r="O15" s="73"/>
      <c r="P15" s="73"/>
      <c r="Q15" s="73"/>
      <c r="R15" s="73"/>
      <c r="S15" s="73"/>
      <c r="T15" s="73"/>
      <c r="U15" s="73"/>
      <c r="V15" s="73"/>
      <c r="W15" s="73"/>
      <c r="X15" s="73"/>
    </row>
    <row r="16" spans="1:24">
      <c r="A16" s="73"/>
      <c r="B16" s="73"/>
      <c r="C16" s="73"/>
      <c r="D16" s="73"/>
      <c r="E16" s="73"/>
      <c r="F16" s="73"/>
      <c r="G16" s="73"/>
      <c r="H16" s="73"/>
      <c r="I16" s="73"/>
      <c r="J16" s="73"/>
      <c r="K16" s="73"/>
      <c r="L16" s="73"/>
      <c r="M16" s="73"/>
      <c r="N16" s="73"/>
      <c r="O16" s="73"/>
      <c r="P16" s="73"/>
      <c r="Q16" s="73"/>
      <c r="R16" s="73"/>
      <c r="S16" s="73"/>
      <c r="T16" s="73"/>
      <c r="U16" s="73"/>
      <c r="V16" s="73"/>
      <c r="W16" s="73"/>
      <c r="X16" s="73"/>
    </row>
    <row r="17" spans="1:24">
      <c r="A17" s="73"/>
      <c r="B17" s="73"/>
      <c r="C17" s="73"/>
      <c r="D17" s="73"/>
      <c r="E17" s="73"/>
      <c r="F17" s="73"/>
      <c r="G17" s="73"/>
      <c r="H17" s="73"/>
      <c r="I17" s="73"/>
      <c r="J17" s="73"/>
      <c r="K17" s="73"/>
      <c r="L17" s="73"/>
      <c r="M17" s="73"/>
      <c r="N17" s="73"/>
      <c r="O17" s="73"/>
      <c r="P17" s="73"/>
      <c r="Q17" s="73"/>
      <c r="R17" s="73"/>
      <c r="S17" s="73"/>
      <c r="T17" s="73"/>
      <c r="U17" s="73"/>
      <c r="V17" s="73"/>
      <c r="W17" s="73"/>
      <c r="X17" s="73"/>
    </row>
    <row r="18" spans="1:24">
      <c r="A18" s="73"/>
      <c r="B18" s="73"/>
      <c r="C18" s="73"/>
      <c r="D18" s="73"/>
      <c r="E18" s="73"/>
      <c r="F18" s="73"/>
      <c r="G18" s="73"/>
      <c r="H18" s="73"/>
      <c r="I18" s="73"/>
      <c r="J18" s="73"/>
      <c r="K18" s="73"/>
      <c r="L18" s="73"/>
      <c r="M18" s="73"/>
      <c r="N18" s="73"/>
      <c r="O18" s="73"/>
      <c r="P18" s="73"/>
      <c r="Q18" s="73"/>
      <c r="R18" s="73"/>
      <c r="S18" s="73"/>
      <c r="T18" s="73"/>
      <c r="U18" s="73"/>
      <c r="V18" s="73"/>
      <c r="W18" s="73"/>
      <c r="X18" s="73"/>
    </row>
    <row r="19" spans="1:24">
      <c r="A19" s="73"/>
      <c r="B19" s="73"/>
      <c r="C19" s="73"/>
      <c r="D19" s="73"/>
      <c r="E19" s="73"/>
      <c r="F19" s="73"/>
      <c r="G19" s="73"/>
      <c r="H19" s="73"/>
      <c r="I19" s="73"/>
      <c r="J19" s="73"/>
      <c r="K19" s="73"/>
      <c r="L19" s="73"/>
      <c r="M19" s="73"/>
      <c r="N19" s="73"/>
      <c r="O19" s="73"/>
      <c r="P19" s="73"/>
      <c r="Q19" s="73"/>
      <c r="R19" s="73"/>
      <c r="S19" s="73"/>
      <c r="T19" s="73"/>
      <c r="U19" s="73"/>
      <c r="V19" s="73"/>
      <c r="W19" s="73"/>
      <c r="X19" s="73"/>
    </row>
    <row r="20" spans="1:24">
      <c r="A20" s="73"/>
      <c r="B20" s="73"/>
      <c r="C20" s="73"/>
      <c r="D20" s="73"/>
      <c r="E20" s="73"/>
      <c r="F20" s="73"/>
      <c r="G20" s="73"/>
      <c r="H20" s="73"/>
      <c r="I20" s="73"/>
      <c r="J20" s="73"/>
      <c r="K20" s="73"/>
      <c r="L20" s="73"/>
      <c r="M20" s="73"/>
      <c r="N20" s="73"/>
      <c r="O20" s="73"/>
      <c r="P20" s="73"/>
      <c r="Q20" s="73"/>
      <c r="R20" s="73"/>
      <c r="S20" s="73"/>
      <c r="T20" s="73"/>
      <c r="U20" s="73"/>
      <c r="V20" s="73"/>
      <c r="W20" s="73"/>
      <c r="X20" s="73"/>
    </row>
    <row r="21" spans="1:24">
      <c r="A21" s="73"/>
      <c r="B21" s="73"/>
      <c r="C21" s="73"/>
      <c r="D21" s="73"/>
      <c r="E21" s="73"/>
      <c r="F21" s="73"/>
      <c r="G21" s="73"/>
      <c r="H21" s="73"/>
      <c r="I21" s="73"/>
      <c r="J21" s="73"/>
      <c r="K21" s="73"/>
      <c r="L21" s="73"/>
      <c r="M21" s="73"/>
      <c r="N21" s="73"/>
      <c r="O21" s="73"/>
      <c r="P21" s="73"/>
      <c r="Q21" s="73"/>
      <c r="R21" s="73"/>
      <c r="S21" s="73"/>
      <c r="T21" s="73"/>
      <c r="U21" s="73"/>
      <c r="V21" s="73"/>
      <c r="W21" s="73"/>
      <c r="X21" s="73"/>
    </row>
    <row r="22" spans="1:24">
      <c r="A22" s="73"/>
      <c r="B22" s="73"/>
      <c r="C22" s="73"/>
      <c r="D22" s="73"/>
      <c r="E22" s="73"/>
      <c r="F22" s="73"/>
      <c r="G22" s="73"/>
      <c r="H22" s="73"/>
      <c r="I22" s="73"/>
      <c r="J22" s="73"/>
      <c r="K22" s="73"/>
      <c r="L22" s="73"/>
      <c r="M22" s="73"/>
      <c r="N22" s="73"/>
      <c r="O22" s="73"/>
      <c r="P22" s="73"/>
      <c r="Q22" s="73"/>
      <c r="R22" s="73"/>
      <c r="S22" s="73"/>
      <c r="T22" s="73"/>
      <c r="U22" s="73"/>
      <c r="V22" s="73"/>
      <c r="W22" s="73"/>
      <c r="X22" s="73"/>
    </row>
    <row r="23" spans="1:24">
      <c r="A23" s="73"/>
      <c r="B23" s="73"/>
      <c r="C23" s="73"/>
      <c r="D23" s="73"/>
      <c r="E23" s="73"/>
      <c r="F23" s="73"/>
      <c r="G23" s="73"/>
      <c r="H23" s="73"/>
      <c r="I23" s="73"/>
      <c r="J23" s="73"/>
      <c r="K23" s="73"/>
      <c r="L23" s="73"/>
      <c r="M23" s="73"/>
      <c r="N23" s="73"/>
      <c r="O23" s="73"/>
      <c r="P23" s="73"/>
      <c r="Q23" s="73"/>
      <c r="R23" s="73"/>
      <c r="S23" s="73"/>
      <c r="T23" s="73"/>
      <c r="U23" s="73"/>
      <c r="V23" s="73"/>
      <c r="W23" s="73"/>
      <c r="X23" s="73"/>
    </row>
    <row r="24" spans="1:24">
      <c r="A24" s="73"/>
      <c r="B24" s="73"/>
      <c r="C24" s="73"/>
      <c r="D24" s="73"/>
      <c r="E24" s="73"/>
      <c r="F24" s="73"/>
      <c r="G24" s="73"/>
      <c r="H24" s="73"/>
      <c r="I24" s="73"/>
      <c r="J24" s="73"/>
      <c r="K24" s="73"/>
      <c r="L24" s="73"/>
      <c r="M24" s="73"/>
      <c r="N24" s="73"/>
      <c r="O24" s="73"/>
      <c r="P24" s="73"/>
      <c r="Q24" s="73"/>
      <c r="R24" s="73"/>
      <c r="S24" s="73"/>
      <c r="T24" s="73"/>
      <c r="U24" s="73"/>
      <c r="V24" s="73"/>
      <c r="W24" s="73"/>
      <c r="X24" s="73"/>
    </row>
    <row r="25" spans="1:24">
      <c r="A25" s="73"/>
      <c r="B25" s="73"/>
      <c r="C25" s="73"/>
      <c r="D25" s="73"/>
      <c r="E25" s="73"/>
      <c r="F25" s="73"/>
      <c r="G25" s="73"/>
      <c r="H25" s="73"/>
      <c r="I25" s="73"/>
      <c r="J25" s="73"/>
      <c r="K25" s="73"/>
      <c r="L25" s="73"/>
      <c r="M25" s="73"/>
      <c r="N25" s="73"/>
      <c r="O25" s="73"/>
      <c r="P25" s="73"/>
      <c r="Q25" s="73"/>
      <c r="R25" s="73"/>
      <c r="S25" s="73"/>
      <c r="T25" s="73"/>
      <c r="U25" s="73"/>
      <c r="V25" s="73"/>
      <c r="W25" s="73"/>
      <c r="X25" s="73"/>
    </row>
    <row r="26" spans="1:24">
      <c r="A26" s="73"/>
      <c r="B26" s="73"/>
      <c r="C26" s="73"/>
      <c r="D26" s="73"/>
      <c r="E26" s="73"/>
      <c r="F26" s="73"/>
      <c r="G26" s="73"/>
      <c r="H26" s="73"/>
      <c r="I26" s="73"/>
      <c r="J26" s="73"/>
      <c r="K26" s="73"/>
      <c r="L26" s="73"/>
      <c r="M26" s="73"/>
      <c r="N26" s="73"/>
      <c r="O26" s="73"/>
      <c r="P26" s="73"/>
      <c r="Q26" s="73"/>
      <c r="R26" s="73"/>
      <c r="S26" s="73"/>
      <c r="T26" s="73"/>
      <c r="U26" s="73"/>
      <c r="V26" s="73"/>
      <c r="W26" s="73"/>
      <c r="X26" s="73"/>
    </row>
    <row r="27" spans="1:24">
      <c r="A27" s="73"/>
      <c r="B27" s="73"/>
      <c r="C27" s="73"/>
      <c r="D27" s="73"/>
      <c r="E27" s="73"/>
      <c r="F27" s="73"/>
      <c r="G27" s="73"/>
      <c r="H27" s="73"/>
      <c r="I27" s="73"/>
      <c r="J27" s="73"/>
      <c r="K27" s="73"/>
      <c r="L27" s="73"/>
      <c r="M27" s="73"/>
      <c r="N27" s="73"/>
      <c r="O27" s="73"/>
      <c r="P27" s="73"/>
      <c r="Q27" s="73"/>
      <c r="R27" s="73"/>
      <c r="S27" s="73"/>
      <c r="T27" s="73"/>
      <c r="U27" s="73"/>
      <c r="V27" s="73"/>
      <c r="W27" s="73"/>
      <c r="X27" s="73"/>
    </row>
    <row r="28" spans="1:24">
      <c r="A28" s="73"/>
      <c r="B28" s="73"/>
      <c r="C28" s="73"/>
      <c r="D28" s="73"/>
      <c r="E28" s="73"/>
      <c r="F28" s="73"/>
      <c r="G28" s="73"/>
      <c r="H28" s="73"/>
      <c r="I28" s="73"/>
      <c r="J28" s="73"/>
      <c r="K28" s="73"/>
      <c r="L28" s="73"/>
      <c r="M28" s="73"/>
      <c r="N28" s="73"/>
      <c r="O28" s="73"/>
      <c r="P28" s="73"/>
      <c r="Q28" s="73"/>
      <c r="R28" s="73"/>
      <c r="S28" s="73"/>
      <c r="T28" s="73"/>
      <c r="U28" s="73"/>
      <c r="V28" s="73"/>
      <c r="W28" s="73"/>
      <c r="X28" s="73"/>
    </row>
    <row r="29" spans="1:24">
      <c r="A29" s="73"/>
      <c r="B29" s="73"/>
      <c r="C29" s="73"/>
      <c r="D29" s="73"/>
      <c r="E29" s="73"/>
      <c r="F29" s="73"/>
      <c r="G29" s="73"/>
      <c r="H29" s="73"/>
      <c r="I29" s="73"/>
      <c r="J29" s="73"/>
      <c r="K29" s="73"/>
      <c r="L29" s="73"/>
      <c r="M29" s="73"/>
      <c r="N29" s="73"/>
      <c r="O29" s="73"/>
      <c r="P29" s="73"/>
      <c r="Q29" s="73"/>
      <c r="R29" s="73"/>
      <c r="S29" s="73"/>
      <c r="T29" s="73"/>
      <c r="U29" s="73"/>
      <c r="V29" s="73"/>
      <c r="W29" s="73"/>
      <c r="X29" s="73"/>
    </row>
    <row r="30" spans="1:24">
      <c r="A30" s="73"/>
      <c r="B30" s="73"/>
      <c r="C30" s="73"/>
      <c r="D30" s="73"/>
      <c r="E30" s="73"/>
      <c r="F30" s="73"/>
      <c r="G30" s="73"/>
      <c r="H30" s="73"/>
      <c r="I30" s="73"/>
      <c r="J30" s="73"/>
      <c r="K30" s="73"/>
      <c r="L30" s="73"/>
      <c r="M30" s="73"/>
      <c r="N30" s="73"/>
      <c r="O30" s="73"/>
      <c r="P30" s="73"/>
      <c r="Q30" s="73"/>
      <c r="R30" s="73"/>
      <c r="S30" s="73"/>
      <c r="T30" s="73"/>
      <c r="U30" s="73"/>
      <c r="V30" s="73"/>
      <c r="W30" s="73"/>
      <c r="X30" s="73"/>
    </row>
    <row r="31" spans="1:24">
      <c r="A31" s="73"/>
      <c r="B31" s="73"/>
      <c r="C31" s="73"/>
      <c r="D31" s="73"/>
      <c r="E31" s="73"/>
      <c r="F31" s="73"/>
      <c r="G31" s="73"/>
      <c r="H31" s="73"/>
      <c r="I31" s="73"/>
      <c r="J31" s="73"/>
      <c r="K31" s="73"/>
      <c r="L31" s="73"/>
      <c r="M31" s="73"/>
      <c r="N31" s="73"/>
      <c r="O31" s="73"/>
      <c r="P31" s="73"/>
      <c r="Q31" s="73"/>
      <c r="R31" s="73"/>
      <c r="S31" s="73"/>
      <c r="T31" s="73"/>
      <c r="U31" s="73"/>
      <c r="V31" s="73"/>
      <c r="W31" s="73"/>
      <c r="X31" s="73"/>
    </row>
    <row r="32" spans="1:24">
      <c r="A32" s="73"/>
      <c r="B32" s="73"/>
      <c r="C32" s="73"/>
      <c r="D32" s="73"/>
      <c r="E32" s="73"/>
      <c r="F32" s="73"/>
      <c r="G32" s="73"/>
      <c r="H32" s="73"/>
      <c r="I32" s="73"/>
      <c r="J32" s="73"/>
      <c r="K32" s="73"/>
      <c r="L32" s="73"/>
      <c r="M32" s="73"/>
      <c r="N32" s="73"/>
      <c r="O32" s="73"/>
      <c r="P32" s="73"/>
      <c r="Q32" s="73"/>
      <c r="R32" s="73"/>
      <c r="S32" s="73"/>
      <c r="T32" s="73"/>
      <c r="U32" s="73"/>
      <c r="V32" s="73"/>
      <c r="W32" s="73"/>
      <c r="X32" s="73"/>
    </row>
    <row r="33" spans="1:24">
      <c r="A33" s="73"/>
      <c r="B33" s="73"/>
      <c r="C33" s="73"/>
      <c r="D33" s="73"/>
      <c r="E33" s="73"/>
      <c r="F33" s="73"/>
      <c r="G33" s="73"/>
      <c r="H33" s="73"/>
      <c r="I33" s="73"/>
      <c r="J33" s="73"/>
      <c r="K33" s="73"/>
      <c r="L33" s="73"/>
      <c r="M33" s="73"/>
      <c r="N33" s="73"/>
      <c r="O33" s="73"/>
      <c r="P33" s="73"/>
      <c r="Q33" s="73"/>
      <c r="R33" s="73"/>
      <c r="S33" s="73"/>
      <c r="T33" s="73"/>
      <c r="U33" s="73"/>
      <c r="V33" s="73"/>
      <c r="W33" s="73"/>
      <c r="X33" s="73"/>
    </row>
    <row r="34" spans="1:24">
      <c r="A34" s="73"/>
      <c r="B34" s="73"/>
      <c r="C34" s="73"/>
      <c r="D34" s="73"/>
      <c r="E34" s="73"/>
      <c r="F34" s="73"/>
      <c r="G34" s="73"/>
      <c r="H34" s="73"/>
      <c r="I34" s="73"/>
      <c r="J34" s="73"/>
      <c r="K34" s="73"/>
      <c r="L34" s="73"/>
      <c r="M34" s="73"/>
      <c r="N34" s="73"/>
      <c r="O34" s="73"/>
      <c r="P34" s="73"/>
      <c r="Q34" s="73"/>
      <c r="R34" s="73"/>
      <c r="S34" s="73"/>
      <c r="T34" s="73"/>
      <c r="U34" s="73"/>
      <c r="V34" s="73"/>
      <c r="W34" s="73"/>
      <c r="X34" s="73"/>
    </row>
    <row r="35" spans="1:24">
      <c r="A35" s="73"/>
      <c r="B35" s="73"/>
      <c r="C35" s="73"/>
      <c r="D35" s="73"/>
      <c r="E35" s="73"/>
      <c r="F35" s="73"/>
      <c r="G35" s="73"/>
      <c r="H35" s="73"/>
      <c r="I35" s="73"/>
      <c r="J35" s="73"/>
      <c r="K35" s="73"/>
      <c r="L35" s="73"/>
      <c r="M35" s="73"/>
      <c r="N35" s="73"/>
      <c r="O35" s="73"/>
      <c r="P35" s="73"/>
      <c r="Q35" s="73"/>
      <c r="R35" s="73"/>
      <c r="S35" s="73"/>
      <c r="T35" s="73"/>
      <c r="U35" s="73"/>
      <c r="V35" s="73"/>
      <c r="W35" s="73"/>
      <c r="X35" s="73"/>
    </row>
    <row r="36" spans="1:24">
      <c r="A36" s="73"/>
      <c r="B36" s="73"/>
      <c r="C36" s="73"/>
      <c r="D36" s="73"/>
      <c r="E36" s="73"/>
      <c r="F36" s="73"/>
      <c r="G36" s="73"/>
      <c r="H36" s="73"/>
      <c r="I36" s="73"/>
      <c r="J36" s="73"/>
      <c r="K36" s="73"/>
      <c r="L36" s="73"/>
      <c r="M36" s="73"/>
      <c r="N36" s="73"/>
      <c r="O36" s="73"/>
      <c r="P36" s="73"/>
      <c r="Q36" s="73"/>
      <c r="R36" s="73"/>
      <c r="S36" s="73"/>
      <c r="T36" s="73"/>
      <c r="U36" s="73"/>
      <c r="V36" s="73"/>
      <c r="W36" s="73"/>
      <c r="X36" s="73"/>
    </row>
    <row r="37" spans="1:24">
      <c r="A37" s="73"/>
      <c r="B37" s="73"/>
      <c r="C37" s="73"/>
      <c r="D37" s="73"/>
      <c r="E37" s="73"/>
      <c r="F37" s="73"/>
      <c r="G37" s="73"/>
      <c r="H37" s="73"/>
      <c r="I37" s="73"/>
      <c r="J37" s="73"/>
      <c r="K37" s="73"/>
      <c r="L37" s="73"/>
      <c r="M37" s="73"/>
      <c r="N37" s="73"/>
      <c r="O37" s="73"/>
      <c r="P37" s="73"/>
      <c r="Q37" s="73"/>
      <c r="R37" s="73"/>
      <c r="S37" s="73"/>
      <c r="T37" s="73"/>
      <c r="U37" s="73"/>
      <c r="V37" s="73"/>
      <c r="W37" s="73"/>
      <c r="X37" s="73"/>
    </row>
    <row r="38" spans="1:24">
      <c r="A38" s="73"/>
      <c r="B38" s="73"/>
      <c r="C38" s="73"/>
      <c r="D38" s="73"/>
      <c r="E38" s="73"/>
      <c r="F38" s="73"/>
      <c r="G38" s="73"/>
      <c r="H38" s="73"/>
      <c r="I38" s="73"/>
      <c r="J38" s="73"/>
      <c r="K38" s="73"/>
      <c r="L38" s="73"/>
      <c r="M38" s="73"/>
      <c r="N38" s="73"/>
      <c r="O38" s="73"/>
      <c r="P38" s="73"/>
      <c r="Q38" s="73"/>
      <c r="R38" s="73"/>
      <c r="S38" s="73"/>
      <c r="T38" s="73"/>
      <c r="U38" s="73"/>
      <c r="V38" s="73"/>
      <c r="W38" s="73"/>
      <c r="X38" s="73"/>
    </row>
    <row r="39" spans="1:24">
      <c r="A39" s="73"/>
      <c r="B39" s="73"/>
      <c r="C39" s="73"/>
      <c r="D39" s="73"/>
      <c r="E39" s="73"/>
      <c r="F39" s="73"/>
      <c r="G39" s="73"/>
      <c r="H39" s="73"/>
      <c r="I39" s="73"/>
      <c r="J39" s="73"/>
      <c r="K39" s="73"/>
      <c r="L39" s="73"/>
      <c r="M39" s="73"/>
      <c r="N39" s="73"/>
      <c r="O39" s="73"/>
      <c r="P39" s="73"/>
      <c r="Q39" s="73"/>
      <c r="R39" s="73"/>
      <c r="S39" s="73"/>
      <c r="T39" s="73"/>
      <c r="U39" s="73"/>
      <c r="V39" s="73"/>
      <c r="W39" s="73"/>
      <c r="X39" s="73"/>
    </row>
    <row r="40" spans="1:24">
      <c r="A40" s="73"/>
      <c r="B40" s="73"/>
      <c r="C40" s="73"/>
      <c r="D40" s="73"/>
      <c r="E40" s="73"/>
      <c r="F40" s="73"/>
      <c r="G40" s="73"/>
      <c r="H40" s="73"/>
      <c r="I40" s="73"/>
      <c r="J40" s="73"/>
      <c r="K40" s="73"/>
      <c r="L40" s="73"/>
      <c r="M40" s="73"/>
      <c r="N40" s="73"/>
      <c r="O40" s="73"/>
      <c r="P40" s="73"/>
      <c r="Q40" s="73"/>
      <c r="R40" s="73"/>
      <c r="S40" s="73"/>
      <c r="T40" s="73"/>
      <c r="U40" s="73"/>
      <c r="V40" s="73"/>
      <c r="W40" s="73"/>
      <c r="X40" s="73"/>
    </row>
    <row r="41" spans="1:24">
      <c r="A41" s="73"/>
      <c r="B41" s="73"/>
      <c r="C41" s="73"/>
      <c r="D41" s="73"/>
      <c r="E41" s="73"/>
      <c r="F41" s="73"/>
      <c r="G41" s="73"/>
      <c r="H41" s="73"/>
      <c r="I41" s="73"/>
      <c r="J41" s="73"/>
      <c r="K41" s="73"/>
      <c r="L41" s="73"/>
      <c r="M41" s="73"/>
      <c r="N41" s="73"/>
      <c r="O41" s="73"/>
      <c r="P41" s="73"/>
      <c r="Q41" s="73"/>
      <c r="R41" s="73"/>
      <c r="S41" s="73"/>
      <c r="T41" s="73"/>
      <c r="U41" s="73"/>
      <c r="V41" s="73"/>
      <c r="W41" s="73"/>
      <c r="X41" s="73"/>
    </row>
    <row r="42" spans="1:24">
      <c r="A42" s="73"/>
      <c r="B42" s="73"/>
      <c r="C42" s="73"/>
      <c r="D42" s="73"/>
      <c r="E42" s="73"/>
      <c r="F42" s="73"/>
      <c r="G42" s="73"/>
      <c r="H42" s="73"/>
      <c r="I42" s="73"/>
      <c r="J42" s="73"/>
      <c r="K42" s="73"/>
      <c r="L42" s="73"/>
      <c r="M42" s="73"/>
      <c r="N42" s="73"/>
      <c r="O42" s="73"/>
      <c r="P42" s="73"/>
      <c r="Q42" s="73"/>
      <c r="R42" s="73"/>
      <c r="S42" s="73"/>
      <c r="T42" s="73"/>
      <c r="U42" s="73"/>
      <c r="V42" s="73"/>
      <c r="W42" s="73"/>
      <c r="X42" s="73"/>
    </row>
    <row r="43" spans="1:24">
      <c r="A43" s="73"/>
      <c r="B43" s="73"/>
      <c r="C43" s="73"/>
      <c r="D43" s="73"/>
      <c r="E43" s="73"/>
      <c r="F43" s="73"/>
      <c r="G43" s="73"/>
      <c r="H43" s="73"/>
      <c r="I43" s="73"/>
      <c r="J43" s="73"/>
      <c r="K43" s="73"/>
      <c r="L43" s="73"/>
      <c r="M43" s="73"/>
      <c r="N43" s="73"/>
      <c r="O43" s="73"/>
      <c r="P43" s="73"/>
      <c r="Q43" s="73"/>
      <c r="R43" s="73"/>
      <c r="S43" s="73"/>
      <c r="T43" s="73"/>
      <c r="U43" s="73"/>
      <c r="V43" s="73"/>
      <c r="W43" s="73"/>
      <c r="X43" s="73"/>
    </row>
    <row r="44" spans="1:24">
      <c r="A44" s="73"/>
      <c r="B44" s="73"/>
      <c r="C44" s="73"/>
      <c r="D44" s="73"/>
      <c r="E44" s="73"/>
      <c r="F44" s="73"/>
      <c r="G44" s="73"/>
      <c r="H44" s="73"/>
      <c r="I44" s="73"/>
      <c r="J44" s="73"/>
      <c r="K44" s="73"/>
      <c r="L44" s="73"/>
      <c r="M44" s="73"/>
      <c r="N44" s="73"/>
      <c r="O44" s="73"/>
      <c r="P44" s="73"/>
      <c r="Q44" s="73"/>
      <c r="R44" s="73"/>
      <c r="S44" s="73"/>
      <c r="T44" s="73"/>
      <c r="U44" s="73"/>
      <c r="V44" s="73"/>
      <c r="W44" s="73"/>
      <c r="X44" s="73"/>
    </row>
    <row r="45" spans="1:24">
      <c r="A45" s="73"/>
      <c r="B45" s="73"/>
      <c r="C45" s="73"/>
      <c r="D45" s="73"/>
      <c r="E45" s="73"/>
      <c r="F45" s="73"/>
      <c r="G45" s="73"/>
      <c r="H45" s="73"/>
      <c r="I45" s="73"/>
      <c r="J45" s="73"/>
      <c r="K45" s="73"/>
      <c r="L45" s="73"/>
      <c r="M45" s="73"/>
      <c r="N45" s="73"/>
      <c r="O45" s="73"/>
      <c r="P45" s="73"/>
      <c r="Q45" s="73"/>
      <c r="R45" s="73"/>
      <c r="S45" s="73"/>
      <c r="T45" s="73"/>
      <c r="U45" s="73"/>
      <c r="V45" s="73"/>
      <c r="W45" s="73"/>
      <c r="X45" s="73"/>
    </row>
    <row r="46" spans="1:24">
      <c r="A46" s="73"/>
      <c r="B46" s="73"/>
      <c r="C46" s="73"/>
      <c r="D46" s="73"/>
      <c r="E46" s="73"/>
      <c r="F46" s="73"/>
      <c r="G46" s="73"/>
      <c r="H46" s="73"/>
      <c r="I46" s="73"/>
      <c r="J46" s="73"/>
      <c r="K46" s="73"/>
      <c r="L46" s="73"/>
      <c r="M46" s="73"/>
      <c r="N46" s="73"/>
      <c r="O46" s="73"/>
      <c r="P46" s="73"/>
      <c r="Q46" s="73"/>
      <c r="R46" s="73"/>
      <c r="S46" s="73"/>
      <c r="T46" s="73"/>
      <c r="U46" s="73"/>
      <c r="V46" s="73"/>
      <c r="W46" s="73"/>
      <c r="X46" s="73"/>
    </row>
    <row r="47" spans="1:24">
      <c r="A47" s="73"/>
      <c r="B47" s="73"/>
      <c r="C47" s="73"/>
      <c r="D47" s="73"/>
      <c r="E47" s="73"/>
      <c r="F47" s="73"/>
      <c r="G47" s="73"/>
      <c r="H47" s="73"/>
      <c r="I47" s="73"/>
      <c r="J47" s="73"/>
      <c r="K47" s="73"/>
      <c r="L47" s="73"/>
      <c r="M47" s="73"/>
      <c r="N47" s="73"/>
      <c r="O47" s="73"/>
      <c r="P47" s="73"/>
      <c r="Q47" s="73"/>
      <c r="R47" s="73"/>
      <c r="S47" s="73"/>
      <c r="T47" s="73"/>
      <c r="U47" s="73"/>
      <c r="V47" s="73"/>
      <c r="W47" s="73"/>
      <c r="X47" s="73"/>
    </row>
    <row r="48" spans="1:24">
      <c r="A48" s="73"/>
      <c r="B48" s="73"/>
      <c r="C48" s="73"/>
      <c r="D48" s="73"/>
      <c r="E48" s="73"/>
      <c r="F48" s="73"/>
      <c r="G48" s="73"/>
      <c r="H48" s="73"/>
      <c r="I48" s="73"/>
      <c r="J48" s="73"/>
      <c r="K48" s="73"/>
      <c r="L48" s="73"/>
      <c r="M48" s="73"/>
      <c r="N48" s="73"/>
      <c r="O48" s="73"/>
      <c r="P48" s="73"/>
      <c r="Q48" s="73"/>
      <c r="R48" s="73"/>
      <c r="S48" s="73"/>
      <c r="T48" s="73"/>
      <c r="U48" s="73"/>
      <c r="V48" s="73"/>
      <c r="W48" s="73"/>
      <c r="X48" s="73"/>
    </row>
    <row r="49" spans="1:24">
      <c r="A49" s="73"/>
      <c r="B49" s="73"/>
      <c r="C49" s="73"/>
      <c r="D49" s="73"/>
      <c r="E49" s="73"/>
      <c r="F49" s="73"/>
      <c r="G49" s="73"/>
      <c r="H49" s="73"/>
      <c r="I49" s="73"/>
      <c r="J49" s="73"/>
      <c r="K49" s="73"/>
      <c r="L49" s="73"/>
      <c r="M49" s="73"/>
      <c r="N49" s="73"/>
      <c r="O49" s="73"/>
      <c r="P49" s="73"/>
      <c r="Q49" s="73"/>
      <c r="R49" s="73"/>
      <c r="S49" s="73"/>
      <c r="T49" s="73"/>
      <c r="U49" s="73"/>
      <c r="V49" s="73"/>
      <c r="W49" s="73"/>
      <c r="X49" s="73"/>
    </row>
    <row r="50" spans="1:24">
      <c r="A50" s="73"/>
      <c r="B50" s="73"/>
      <c r="C50" s="73"/>
      <c r="D50" s="73"/>
      <c r="E50" s="73"/>
      <c r="F50" s="73"/>
      <c r="G50" s="73"/>
      <c r="H50" s="73"/>
      <c r="I50" s="73"/>
      <c r="J50" s="73"/>
      <c r="K50" s="73"/>
      <c r="L50" s="73"/>
      <c r="M50" s="73"/>
      <c r="N50" s="73"/>
      <c r="O50" s="73"/>
      <c r="P50" s="73"/>
      <c r="Q50" s="73"/>
      <c r="R50" s="73"/>
      <c r="S50" s="73"/>
      <c r="T50" s="73"/>
      <c r="U50" s="73"/>
      <c r="V50" s="73"/>
      <c r="W50" s="73"/>
      <c r="X50" s="73"/>
    </row>
    <row r="51" spans="1:24">
      <c r="A51" s="73"/>
      <c r="B51" s="73"/>
      <c r="C51" s="73"/>
      <c r="D51" s="73"/>
      <c r="E51" s="73"/>
      <c r="F51" s="73"/>
      <c r="G51" s="73"/>
      <c r="H51" s="73"/>
      <c r="I51" s="73"/>
      <c r="J51" s="73"/>
      <c r="K51" s="73"/>
      <c r="L51" s="73"/>
      <c r="M51" s="73"/>
      <c r="N51" s="73"/>
      <c r="O51" s="73"/>
      <c r="P51" s="73"/>
      <c r="Q51" s="73"/>
      <c r="R51" s="73"/>
      <c r="S51" s="73"/>
      <c r="T51" s="73"/>
      <c r="U51" s="73"/>
      <c r="V51" s="73"/>
      <c r="W51" s="73"/>
      <c r="X51" s="73"/>
    </row>
    <row r="52" spans="1:24">
      <c r="A52" s="73"/>
      <c r="B52" s="73"/>
      <c r="C52" s="73"/>
      <c r="D52" s="73"/>
      <c r="E52" s="73"/>
      <c r="F52" s="73"/>
      <c r="G52" s="73"/>
      <c r="H52" s="73"/>
      <c r="I52" s="73"/>
      <c r="J52" s="73"/>
      <c r="K52" s="73"/>
      <c r="L52" s="73"/>
      <c r="M52" s="73"/>
      <c r="N52" s="73"/>
      <c r="O52" s="73"/>
      <c r="P52" s="73"/>
      <c r="Q52" s="73"/>
      <c r="R52" s="73"/>
      <c r="S52" s="73"/>
      <c r="T52" s="73"/>
      <c r="U52" s="73"/>
      <c r="V52" s="73"/>
      <c r="W52" s="73"/>
      <c r="X52" s="73"/>
    </row>
    <row r="53" spans="1:24">
      <c r="A53" s="73"/>
      <c r="B53" s="73"/>
      <c r="C53" s="73"/>
      <c r="D53" s="73"/>
      <c r="E53" s="73"/>
      <c r="F53" s="73"/>
      <c r="G53" s="73"/>
      <c r="H53" s="73"/>
      <c r="I53" s="73"/>
      <c r="J53" s="73"/>
      <c r="K53" s="73"/>
      <c r="L53" s="73"/>
      <c r="M53" s="73"/>
      <c r="N53" s="73"/>
      <c r="O53" s="73"/>
      <c r="P53" s="73"/>
      <c r="Q53" s="73"/>
      <c r="R53" s="73"/>
      <c r="S53" s="73"/>
      <c r="T53" s="73"/>
      <c r="U53" s="73"/>
      <c r="V53" s="73"/>
      <c r="W53" s="73"/>
      <c r="X53" s="73"/>
    </row>
    <row r="54" spans="1:24">
      <c r="A54" s="73"/>
      <c r="B54" s="73"/>
      <c r="C54" s="73"/>
      <c r="D54" s="73"/>
      <c r="E54" s="73"/>
      <c r="F54" s="73"/>
      <c r="G54" s="73"/>
      <c r="H54" s="73"/>
      <c r="I54" s="73"/>
      <c r="J54" s="73"/>
      <c r="K54" s="73"/>
      <c r="L54" s="73"/>
      <c r="M54" s="73"/>
      <c r="N54" s="73"/>
      <c r="O54" s="73"/>
      <c r="P54" s="73"/>
      <c r="Q54" s="73"/>
      <c r="R54" s="73"/>
      <c r="S54" s="73"/>
      <c r="T54" s="73"/>
      <c r="U54" s="73"/>
      <c r="V54" s="73"/>
      <c r="W54" s="73"/>
      <c r="X54" s="73"/>
    </row>
    <row r="55" spans="1:24">
      <c r="A55" s="73"/>
      <c r="B55" s="73"/>
      <c r="C55" s="73"/>
      <c r="D55" s="73"/>
      <c r="E55" s="73"/>
      <c r="F55" s="73"/>
      <c r="G55" s="73"/>
      <c r="H55" s="73"/>
      <c r="I55" s="73"/>
      <c r="J55" s="73"/>
      <c r="K55" s="73"/>
      <c r="L55" s="73"/>
      <c r="M55" s="73"/>
      <c r="N55" s="73"/>
      <c r="O55" s="73"/>
      <c r="P55" s="73"/>
      <c r="Q55" s="73"/>
      <c r="R55" s="73"/>
      <c r="S55" s="73"/>
      <c r="T55" s="73"/>
      <c r="U55" s="73"/>
      <c r="V55" s="73"/>
      <c r="W55" s="73"/>
      <c r="X55" s="73"/>
    </row>
    <row r="56" spans="1:24">
      <c r="A56" s="73"/>
      <c r="B56" s="73"/>
      <c r="C56" s="73"/>
      <c r="D56" s="73"/>
      <c r="E56" s="73"/>
      <c r="F56" s="73"/>
      <c r="G56" s="73"/>
      <c r="H56" s="73"/>
      <c r="I56" s="73"/>
      <c r="J56" s="73"/>
      <c r="K56" s="73"/>
      <c r="L56" s="73"/>
      <c r="M56" s="73"/>
      <c r="N56" s="73"/>
      <c r="O56" s="73"/>
      <c r="P56" s="73"/>
      <c r="Q56" s="73"/>
      <c r="R56" s="73"/>
      <c r="S56" s="73"/>
      <c r="T56" s="73"/>
      <c r="U56" s="73"/>
      <c r="V56" s="73"/>
      <c r="W56" s="73"/>
      <c r="X56" s="73"/>
    </row>
    <row r="57" spans="1:24">
      <c r="A57" s="73"/>
      <c r="B57" s="73"/>
      <c r="C57" s="73"/>
      <c r="D57" s="73"/>
      <c r="E57" s="73"/>
      <c r="F57" s="73"/>
      <c r="G57" s="73"/>
      <c r="H57" s="73"/>
      <c r="I57" s="73"/>
      <c r="J57" s="73"/>
      <c r="K57" s="73"/>
      <c r="L57" s="73"/>
      <c r="M57" s="73"/>
      <c r="N57" s="73"/>
      <c r="O57" s="73"/>
      <c r="P57" s="73"/>
      <c r="Q57" s="73"/>
      <c r="R57" s="73"/>
      <c r="S57" s="73"/>
      <c r="T57" s="73"/>
      <c r="U57" s="73"/>
      <c r="V57" s="73"/>
      <c r="W57" s="73"/>
      <c r="X57" s="73"/>
    </row>
    <row r="58" spans="1:24">
      <c r="A58" s="73"/>
      <c r="B58" s="73"/>
      <c r="C58" s="73"/>
      <c r="D58" s="73"/>
      <c r="E58" s="73"/>
      <c r="F58" s="73"/>
      <c r="G58" s="73"/>
      <c r="H58" s="73"/>
      <c r="I58" s="73"/>
      <c r="J58" s="73"/>
      <c r="K58" s="73"/>
      <c r="L58" s="73"/>
      <c r="M58" s="73"/>
      <c r="N58" s="73"/>
      <c r="O58" s="73"/>
      <c r="P58" s="73"/>
      <c r="Q58" s="73"/>
      <c r="R58" s="73"/>
      <c r="S58" s="73"/>
      <c r="T58" s="73"/>
      <c r="U58" s="73"/>
      <c r="V58" s="73"/>
      <c r="W58" s="73"/>
      <c r="X58" s="73"/>
    </row>
    <row r="59" spans="1:24">
      <c r="A59" s="73"/>
      <c r="B59" s="73"/>
      <c r="C59" s="73"/>
      <c r="D59" s="73"/>
      <c r="E59" s="73"/>
      <c r="F59" s="73"/>
      <c r="G59" s="73"/>
      <c r="H59" s="73"/>
      <c r="I59" s="73"/>
      <c r="J59" s="73"/>
      <c r="K59" s="73"/>
      <c r="L59" s="73"/>
      <c r="M59" s="73"/>
      <c r="N59" s="73"/>
      <c r="O59" s="73"/>
      <c r="P59" s="73"/>
      <c r="Q59" s="73"/>
      <c r="R59" s="73"/>
      <c r="S59" s="73"/>
      <c r="T59" s="73"/>
      <c r="U59" s="73"/>
      <c r="V59" s="73"/>
      <c r="W59" s="73"/>
      <c r="X59" s="73"/>
    </row>
    <row r="60" spans="1:24">
      <c r="A60" s="73"/>
      <c r="B60" s="73"/>
      <c r="C60" s="73"/>
      <c r="D60" s="73"/>
      <c r="E60" s="73"/>
      <c r="F60" s="73"/>
      <c r="G60" s="73"/>
      <c r="H60" s="73"/>
      <c r="I60" s="73"/>
      <c r="J60" s="73"/>
      <c r="K60" s="73"/>
      <c r="L60" s="73"/>
      <c r="M60" s="73"/>
      <c r="N60" s="73"/>
      <c r="O60" s="73"/>
      <c r="P60" s="73"/>
      <c r="Q60" s="73"/>
      <c r="R60" s="73"/>
      <c r="S60" s="73"/>
      <c r="T60" s="73"/>
      <c r="U60" s="73"/>
      <c r="V60" s="73"/>
      <c r="W60" s="73"/>
      <c r="X60" s="73"/>
    </row>
    <row r="61" spans="1:24">
      <c r="A61" s="73"/>
      <c r="B61" s="73"/>
      <c r="C61" s="73"/>
      <c r="D61" s="73"/>
      <c r="E61" s="73"/>
      <c r="F61" s="73"/>
      <c r="G61" s="73"/>
      <c r="H61" s="73"/>
      <c r="I61" s="73"/>
      <c r="J61" s="73"/>
      <c r="K61" s="73"/>
      <c r="L61" s="73"/>
      <c r="M61" s="73"/>
      <c r="N61" s="73"/>
      <c r="O61" s="73"/>
      <c r="P61" s="73"/>
      <c r="Q61" s="73"/>
      <c r="R61" s="73"/>
      <c r="S61" s="73"/>
      <c r="T61" s="73"/>
      <c r="U61" s="73"/>
      <c r="V61" s="73"/>
      <c r="W61" s="73"/>
      <c r="X61" s="73"/>
    </row>
    <row r="62" spans="1:24">
      <c r="A62" s="73"/>
      <c r="B62" s="73"/>
      <c r="C62" s="73"/>
      <c r="D62" s="73"/>
      <c r="E62" s="73"/>
      <c r="F62" s="73"/>
      <c r="G62" s="73"/>
      <c r="H62" s="73"/>
      <c r="I62" s="73"/>
      <c r="J62" s="73"/>
      <c r="K62" s="73"/>
      <c r="L62" s="73"/>
      <c r="M62" s="73"/>
      <c r="N62" s="73"/>
      <c r="O62" s="73"/>
      <c r="P62" s="73"/>
      <c r="Q62" s="73"/>
      <c r="R62" s="73"/>
      <c r="S62" s="73"/>
      <c r="T62" s="73"/>
      <c r="U62" s="73"/>
      <c r="V62" s="73"/>
      <c r="W62" s="73"/>
      <c r="X62" s="73"/>
    </row>
    <row r="63" spans="1:24">
      <c r="A63" s="73"/>
      <c r="B63" s="73"/>
      <c r="C63" s="73"/>
      <c r="D63" s="73"/>
      <c r="E63" s="73"/>
      <c r="F63" s="73"/>
      <c r="G63" s="73"/>
      <c r="H63" s="73"/>
      <c r="I63" s="73"/>
      <c r="J63" s="73"/>
      <c r="K63" s="73"/>
      <c r="L63" s="73"/>
      <c r="M63" s="73"/>
      <c r="N63" s="73"/>
      <c r="O63" s="73"/>
      <c r="P63" s="73"/>
      <c r="Q63" s="73"/>
      <c r="R63" s="73"/>
      <c r="S63" s="73"/>
      <c r="T63" s="73"/>
      <c r="U63" s="73"/>
      <c r="V63" s="73"/>
      <c r="W63" s="73"/>
      <c r="X63" s="73"/>
    </row>
    <row r="64" spans="1:24">
      <c r="A64" s="73"/>
      <c r="B64" s="73"/>
      <c r="C64" s="73"/>
      <c r="D64" s="73"/>
      <c r="E64" s="73"/>
      <c r="F64" s="73"/>
      <c r="G64" s="73"/>
      <c r="H64" s="73"/>
      <c r="I64" s="73"/>
      <c r="J64" s="73"/>
      <c r="K64" s="73"/>
      <c r="L64" s="73"/>
      <c r="M64" s="73"/>
      <c r="N64" s="73"/>
      <c r="O64" s="73"/>
      <c r="P64" s="73"/>
      <c r="Q64" s="73"/>
      <c r="R64" s="73"/>
      <c r="S64" s="73"/>
      <c r="T64" s="73"/>
      <c r="U64" s="73"/>
      <c r="V64" s="73"/>
      <c r="W64" s="73"/>
      <c r="X64" s="73"/>
    </row>
    <row r="65" spans="1:24">
      <c r="A65" s="73"/>
      <c r="B65" s="73"/>
      <c r="C65" s="73"/>
      <c r="D65" s="73"/>
      <c r="E65" s="73"/>
      <c r="F65" s="73"/>
      <c r="G65" s="73"/>
      <c r="H65" s="73"/>
      <c r="I65" s="73"/>
      <c r="J65" s="73"/>
      <c r="K65" s="73"/>
      <c r="L65" s="73"/>
      <c r="M65" s="73"/>
      <c r="N65" s="73"/>
      <c r="O65" s="73"/>
      <c r="P65" s="73"/>
      <c r="Q65" s="73"/>
      <c r="R65" s="73"/>
      <c r="S65" s="73"/>
      <c r="T65" s="73"/>
      <c r="U65" s="73"/>
      <c r="V65" s="73"/>
      <c r="W65" s="73"/>
      <c r="X65" s="73"/>
    </row>
    <row r="66" spans="1:24">
      <c r="A66" s="73"/>
      <c r="B66" s="73"/>
      <c r="C66" s="73"/>
      <c r="D66" s="73"/>
      <c r="E66" s="73"/>
      <c r="F66" s="73"/>
      <c r="G66" s="73"/>
      <c r="H66" s="73"/>
      <c r="I66" s="73"/>
      <c r="J66" s="73"/>
      <c r="K66" s="73"/>
      <c r="L66" s="73"/>
      <c r="M66" s="73"/>
      <c r="N66" s="73"/>
      <c r="O66" s="73"/>
      <c r="P66" s="73"/>
      <c r="Q66" s="73"/>
      <c r="R66" s="73"/>
      <c r="S66" s="73"/>
      <c r="T66" s="73"/>
      <c r="U66" s="73"/>
      <c r="V66" s="73"/>
      <c r="W66" s="73"/>
      <c r="X66" s="73"/>
    </row>
    <row r="67" spans="1:24">
      <c r="A67" s="73"/>
      <c r="B67" s="73"/>
      <c r="C67" s="73"/>
      <c r="D67" s="73"/>
      <c r="E67" s="73"/>
      <c r="F67" s="73"/>
      <c r="G67" s="73"/>
      <c r="H67" s="73"/>
      <c r="I67" s="73"/>
      <c r="J67" s="73"/>
      <c r="K67" s="73"/>
      <c r="L67" s="73"/>
      <c r="M67" s="73"/>
      <c r="N67" s="73"/>
      <c r="O67" s="73"/>
      <c r="P67" s="73"/>
      <c r="Q67" s="73"/>
      <c r="R67" s="73"/>
      <c r="S67" s="73"/>
      <c r="T67" s="73"/>
      <c r="U67" s="73"/>
      <c r="V67" s="73"/>
      <c r="W67" s="73"/>
      <c r="X67" s="73"/>
    </row>
    <row r="68" spans="1:24">
      <c r="A68" s="73"/>
      <c r="B68" s="73"/>
      <c r="C68" s="73"/>
      <c r="D68" s="73"/>
      <c r="E68" s="73"/>
      <c r="F68" s="73"/>
      <c r="G68" s="73"/>
      <c r="H68" s="73"/>
      <c r="I68" s="73"/>
      <c r="J68" s="73"/>
      <c r="K68" s="73"/>
      <c r="L68" s="73"/>
      <c r="M68" s="73"/>
      <c r="N68" s="73"/>
      <c r="O68" s="73"/>
      <c r="P68" s="73"/>
      <c r="Q68" s="73"/>
      <c r="R68" s="73"/>
      <c r="S68" s="73"/>
      <c r="T68" s="73"/>
      <c r="U68" s="73"/>
      <c r="V68" s="73"/>
      <c r="W68" s="73"/>
      <c r="X68" s="73"/>
    </row>
    <row r="69" spans="1:24">
      <c r="A69" s="73"/>
      <c r="B69" s="73"/>
      <c r="C69" s="73"/>
      <c r="D69" s="73"/>
      <c r="E69" s="73"/>
      <c r="F69" s="73"/>
      <c r="G69" s="73"/>
      <c r="H69" s="73"/>
      <c r="I69" s="73"/>
      <c r="J69" s="73"/>
      <c r="K69" s="73"/>
      <c r="L69" s="73"/>
      <c r="M69" s="73"/>
      <c r="N69" s="73"/>
      <c r="O69" s="73"/>
      <c r="P69" s="73"/>
      <c r="Q69" s="73"/>
      <c r="R69" s="73"/>
      <c r="S69" s="73"/>
      <c r="T69" s="73"/>
      <c r="U69" s="73"/>
      <c r="V69" s="73"/>
      <c r="W69" s="73"/>
      <c r="X69" s="73"/>
    </row>
    <row r="70" spans="1:24">
      <c r="A70" s="73"/>
      <c r="B70" s="73"/>
      <c r="C70" s="73"/>
      <c r="D70" s="73"/>
      <c r="E70" s="73"/>
      <c r="F70" s="73"/>
      <c r="G70" s="73"/>
      <c r="H70" s="73"/>
      <c r="I70" s="73"/>
      <c r="J70" s="73"/>
      <c r="K70" s="73"/>
      <c r="L70" s="73"/>
      <c r="M70" s="73"/>
      <c r="N70" s="73"/>
      <c r="O70" s="73"/>
      <c r="P70" s="73"/>
      <c r="Q70" s="73"/>
      <c r="R70" s="73"/>
      <c r="S70" s="73"/>
      <c r="T70" s="73"/>
      <c r="U70" s="73"/>
      <c r="V70" s="73"/>
      <c r="W70" s="73"/>
      <c r="X70" s="73"/>
    </row>
    <row r="71" spans="1:24">
      <c r="A71" s="73"/>
      <c r="B71" s="73"/>
      <c r="C71" s="73"/>
      <c r="D71" s="73"/>
      <c r="E71" s="73"/>
      <c r="F71" s="73"/>
      <c r="G71" s="73"/>
      <c r="H71" s="73"/>
      <c r="I71" s="73"/>
      <c r="J71" s="73"/>
      <c r="K71" s="73"/>
      <c r="L71" s="73"/>
      <c r="M71" s="73"/>
      <c r="N71" s="73"/>
      <c r="O71" s="73"/>
      <c r="P71" s="73"/>
      <c r="Q71" s="73"/>
      <c r="R71" s="73"/>
      <c r="S71" s="73"/>
      <c r="T71" s="73"/>
      <c r="U71" s="73"/>
      <c r="V71" s="73"/>
      <c r="W71" s="73"/>
      <c r="X71" s="73"/>
    </row>
    <row r="72" spans="1:24">
      <c r="A72" s="73"/>
      <c r="B72" s="73"/>
      <c r="C72" s="73"/>
      <c r="D72" s="73"/>
      <c r="E72" s="73"/>
      <c r="F72" s="73"/>
      <c r="G72" s="73"/>
      <c r="H72" s="73"/>
      <c r="I72" s="73"/>
      <c r="J72" s="73"/>
      <c r="K72" s="73"/>
      <c r="L72" s="73"/>
      <c r="M72" s="73"/>
      <c r="N72" s="73"/>
      <c r="O72" s="73"/>
      <c r="P72" s="73"/>
      <c r="Q72" s="73"/>
      <c r="R72" s="73"/>
      <c r="S72" s="73"/>
      <c r="T72" s="73"/>
      <c r="U72" s="73"/>
      <c r="V72" s="73"/>
      <c r="W72" s="73"/>
      <c r="X72" s="73"/>
    </row>
    <row r="73" spans="1:24">
      <c r="A73" s="73"/>
      <c r="B73" s="73"/>
      <c r="C73" s="73"/>
      <c r="D73" s="73"/>
      <c r="E73" s="73"/>
      <c r="F73" s="73"/>
      <c r="G73" s="73"/>
      <c r="H73" s="73"/>
      <c r="I73" s="73"/>
      <c r="J73" s="73"/>
      <c r="K73" s="73"/>
      <c r="L73" s="73"/>
      <c r="M73" s="73"/>
      <c r="N73" s="73"/>
      <c r="O73" s="73"/>
      <c r="P73" s="73"/>
      <c r="Q73" s="73"/>
      <c r="R73" s="73"/>
      <c r="S73" s="73"/>
      <c r="T73" s="73"/>
      <c r="U73" s="73"/>
      <c r="V73" s="73"/>
      <c r="W73" s="73"/>
      <c r="X73" s="73"/>
    </row>
    <row r="74" spans="1:24">
      <c r="A74" s="73"/>
      <c r="B74" s="73"/>
      <c r="C74" s="73"/>
      <c r="D74" s="73"/>
      <c r="E74" s="73"/>
      <c r="F74" s="73"/>
      <c r="G74" s="73"/>
      <c r="H74" s="73"/>
      <c r="I74" s="73"/>
      <c r="J74" s="73"/>
      <c r="K74" s="73"/>
      <c r="L74" s="73"/>
      <c r="M74" s="73"/>
      <c r="N74" s="73"/>
      <c r="O74" s="73"/>
      <c r="P74" s="73"/>
      <c r="Q74" s="73"/>
      <c r="R74" s="73"/>
      <c r="S74" s="73"/>
      <c r="T74" s="73"/>
      <c r="U74" s="73"/>
      <c r="V74" s="73"/>
      <c r="W74" s="73"/>
      <c r="X74" s="73"/>
    </row>
    <row r="75" spans="1:24">
      <c r="A75" s="73"/>
      <c r="B75" s="73"/>
      <c r="C75" s="73"/>
      <c r="D75" s="73"/>
      <c r="E75" s="73"/>
      <c r="F75" s="73"/>
      <c r="G75" s="73"/>
      <c r="H75" s="73"/>
      <c r="I75" s="73"/>
      <c r="J75" s="73"/>
      <c r="K75" s="73"/>
      <c r="L75" s="73"/>
      <c r="M75" s="73"/>
      <c r="N75" s="73"/>
      <c r="O75" s="73"/>
      <c r="P75" s="73"/>
      <c r="Q75" s="73"/>
      <c r="R75" s="73"/>
      <c r="S75" s="73"/>
      <c r="T75" s="73"/>
      <c r="U75" s="73"/>
      <c r="V75" s="73"/>
      <c r="W75" s="73"/>
      <c r="X75" s="73"/>
    </row>
    <row r="76" spans="1:24">
      <c r="A76" s="73"/>
      <c r="B76" s="73"/>
      <c r="C76" s="73"/>
      <c r="D76" s="73"/>
      <c r="E76" s="73"/>
      <c r="F76" s="73"/>
      <c r="G76" s="73"/>
      <c r="H76" s="73"/>
      <c r="I76" s="73"/>
      <c r="J76" s="73"/>
      <c r="K76" s="73"/>
      <c r="L76" s="73"/>
      <c r="M76" s="73"/>
      <c r="N76" s="73"/>
      <c r="O76" s="73"/>
      <c r="P76" s="73"/>
      <c r="Q76" s="73"/>
      <c r="R76" s="73"/>
      <c r="S76" s="73"/>
      <c r="T76" s="73"/>
      <c r="U76" s="73"/>
      <c r="V76" s="73"/>
      <c r="W76" s="73"/>
      <c r="X76" s="73"/>
    </row>
    <row r="77" spans="1:24">
      <c r="A77" s="73"/>
      <c r="B77" s="73"/>
      <c r="C77" s="73"/>
      <c r="D77" s="73"/>
      <c r="E77" s="73"/>
      <c r="F77" s="73"/>
      <c r="G77" s="73"/>
      <c r="H77" s="73"/>
      <c r="I77" s="73"/>
      <c r="J77" s="73"/>
      <c r="K77" s="73"/>
      <c r="L77" s="73"/>
      <c r="M77" s="73"/>
      <c r="N77" s="73"/>
      <c r="O77" s="73"/>
      <c r="P77" s="73"/>
      <c r="Q77" s="73"/>
      <c r="R77" s="73"/>
      <c r="S77" s="73"/>
      <c r="T77" s="73"/>
      <c r="U77" s="73"/>
      <c r="V77" s="73"/>
      <c r="W77" s="73"/>
      <c r="X77" s="73"/>
    </row>
    <row r="78" spans="1:24">
      <c r="A78" s="73"/>
      <c r="B78" s="73"/>
      <c r="C78" s="73"/>
      <c r="D78" s="73"/>
      <c r="E78" s="73"/>
      <c r="F78" s="73"/>
      <c r="G78" s="73"/>
      <c r="H78" s="73"/>
      <c r="I78" s="73"/>
      <c r="J78" s="73"/>
      <c r="K78" s="73"/>
      <c r="L78" s="73"/>
      <c r="M78" s="73"/>
      <c r="N78" s="73"/>
      <c r="O78" s="73"/>
      <c r="P78" s="73"/>
      <c r="Q78" s="73"/>
      <c r="R78" s="73"/>
      <c r="S78" s="73"/>
      <c r="T78" s="73"/>
      <c r="U78" s="73"/>
      <c r="V78" s="73"/>
      <c r="W78" s="73"/>
      <c r="X78" s="73"/>
    </row>
    <row r="79" spans="1:24">
      <c r="A79" s="73"/>
      <c r="B79" s="73"/>
      <c r="C79" s="73"/>
      <c r="D79" s="73"/>
      <c r="E79" s="73"/>
      <c r="F79" s="73"/>
      <c r="G79" s="73"/>
      <c r="H79" s="73"/>
      <c r="I79" s="73"/>
      <c r="J79" s="73"/>
      <c r="K79" s="73"/>
      <c r="L79" s="73"/>
      <c r="M79" s="73"/>
      <c r="N79" s="73"/>
      <c r="O79" s="73"/>
      <c r="P79" s="73"/>
      <c r="Q79" s="73"/>
      <c r="R79" s="73"/>
      <c r="S79" s="73"/>
      <c r="T79" s="73"/>
      <c r="U79" s="73"/>
      <c r="V79" s="73"/>
      <c r="W79" s="73"/>
      <c r="X79" s="73"/>
    </row>
    <row r="80" spans="1:24">
      <c r="A80" s="73"/>
      <c r="B80" s="73"/>
      <c r="C80" s="73"/>
      <c r="D80" s="73"/>
      <c r="E80" s="73"/>
      <c r="F80" s="73"/>
      <c r="G80" s="73"/>
      <c r="H80" s="73"/>
      <c r="I80" s="73"/>
      <c r="J80" s="73"/>
      <c r="K80" s="73"/>
      <c r="L80" s="73"/>
      <c r="M80" s="73"/>
      <c r="N80" s="73"/>
      <c r="O80" s="73"/>
      <c r="P80" s="73"/>
      <c r="Q80" s="73"/>
      <c r="R80" s="73"/>
      <c r="S80" s="73"/>
      <c r="T80" s="73"/>
      <c r="U80" s="73"/>
      <c r="V80" s="73"/>
      <c r="W80" s="73"/>
      <c r="X80" s="73"/>
    </row>
    <row r="81" spans="1:24">
      <c r="A81" s="73"/>
      <c r="B81" s="73"/>
      <c r="C81" s="73"/>
      <c r="D81" s="73"/>
      <c r="E81" s="73"/>
      <c r="F81" s="73"/>
      <c r="G81" s="73"/>
      <c r="H81" s="73"/>
      <c r="I81" s="73"/>
      <c r="J81" s="73"/>
      <c r="K81" s="73"/>
      <c r="L81" s="73"/>
      <c r="M81" s="73"/>
      <c r="N81" s="73"/>
      <c r="O81" s="73"/>
      <c r="P81" s="73"/>
      <c r="Q81" s="73"/>
      <c r="R81" s="73"/>
      <c r="S81" s="73"/>
      <c r="T81" s="73"/>
      <c r="U81" s="73"/>
      <c r="V81" s="73"/>
      <c r="W81" s="73"/>
      <c r="X81" s="73"/>
    </row>
    <row r="82" spans="1:24">
      <c r="A82" s="73"/>
      <c r="B82" s="73"/>
      <c r="C82" s="73"/>
      <c r="D82" s="73"/>
      <c r="E82" s="73"/>
      <c r="F82" s="73"/>
      <c r="G82" s="73"/>
      <c r="H82" s="73"/>
      <c r="I82" s="73"/>
      <c r="J82" s="73"/>
      <c r="K82" s="73"/>
      <c r="L82" s="73"/>
      <c r="M82" s="73"/>
      <c r="N82" s="73"/>
      <c r="O82" s="73"/>
      <c r="P82" s="73"/>
      <c r="Q82" s="73"/>
      <c r="R82" s="73"/>
      <c r="S82" s="73"/>
      <c r="T82" s="73"/>
      <c r="U82" s="73"/>
      <c r="V82" s="73"/>
      <c r="W82" s="73"/>
      <c r="X82" s="73"/>
    </row>
    <row r="83" spans="1:24">
      <c r="A83" s="73"/>
      <c r="B83" s="73"/>
      <c r="C83" s="73"/>
      <c r="D83" s="73"/>
      <c r="E83" s="73"/>
      <c r="F83" s="73"/>
      <c r="G83" s="73"/>
      <c r="H83" s="73"/>
      <c r="I83" s="73"/>
      <c r="J83" s="73"/>
      <c r="K83" s="73"/>
      <c r="L83" s="73"/>
      <c r="M83" s="73"/>
      <c r="N83" s="73"/>
      <c r="O83" s="73"/>
      <c r="P83" s="73"/>
      <c r="Q83" s="73"/>
      <c r="R83" s="73"/>
      <c r="S83" s="73"/>
      <c r="T83" s="73"/>
      <c r="U83" s="73"/>
      <c r="V83" s="73"/>
      <c r="W83" s="73"/>
      <c r="X83" s="73"/>
    </row>
    <row r="84" spans="1:24">
      <c r="A84" s="73"/>
      <c r="B84" s="73"/>
      <c r="C84" s="73"/>
      <c r="D84" s="73"/>
      <c r="E84" s="73"/>
      <c r="F84" s="73"/>
      <c r="G84" s="73"/>
      <c r="H84" s="73"/>
      <c r="I84" s="73"/>
      <c r="J84" s="73"/>
      <c r="K84" s="73"/>
      <c r="L84" s="73"/>
      <c r="M84" s="73"/>
      <c r="N84" s="73"/>
      <c r="O84" s="73"/>
      <c r="P84" s="73"/>
      <c r="Q84" s="73"/>
      <c r="R84" s="73"/>
      <c r="S84" s="73"/>
      <c r="T84" s="73"/>
      <c r="U84" s="73"/>
      <c r="V84" s="73"/>
      <c r="W84" s="73"/>
      <c r="X84" s="73"/>
    </row>
    <row r="85" spans="1:24">
      <c r="A85" s="73"/>
      <c r="B85" s="73"/>
      <c r="C85" s="73"/>
      <c r="D85" s="73"/>
      <c r="E85" s="73"/>
      <c r="F85" s="73"/>
      <c r="G85" s="73"/>
      <c r="H85" s="73"/>
      <c r="I85" s="73"/>
      <c r="J85" s="73"/>
      <c r="K85" s="73"/>
      <c r="L85" s="73"/>
      <c r="M85" s="73"/>
      <c r="N85" s="73"/>
      <c r="O85" s="73"/>
      <c r="P85" s="73"/>
      <c r="Q85" s="73"/>
      <c r="R85" s="73"/>
      <c r="S85" s="73"/>
      <c r="T85" s="73"/>
      <c r="U85" s="73"/>
      <c r="V85" s="73"/>
      <c r="W85" s="73"/>
      <c r="X85" s="73"/>
    </row>
    <row r="86" spans="1:24">
      <c r="A86" s="73"/>
      <c r="B86" s="73"/>
      <c r="C86" s="73"/>
      <c r="D86" s="73"/>
      <c r="E86" s="73"/>
      <c r="F86" s="73"/>
      <c r="G86" s="73"/>
      <c r="H86" s="73"/>
      <c r="I86" s="73"/>
      <c r="J86" s="73"/>
      <c r="K86" s="73"/>
      <c r="L86" s="73"/>
      <c r="M86" s="73"/>
      <c r="N86" s="73"/>
      <c r="O86" s="73"/>
      <c r="P86" s="73"/>
      <c r="Q86" s="73"/>
      <c r="R86" s="73"/>
      <c r="S86" s="73"/>
      <c r="T86" s="73"/>
      <c r="U86" s="73"/>
      <c r="V86" s="73"/>
      <c r="W86" s="73"/>
      <c r="X86" s="73"/>
    </row>
    <row r="87" spans="1:24">
      <c r="A87" s="73"/>
      <c r="B87" s="73"/>
      <c r="C87" s="73"/>
      <c r="D87" s="73"/>
      <c r="E87" s="73"/>
      <c r="F87" s="73"/>
      <c r="G87" s="73"/>
      <c r="H87" s="73"/>
      <c r="I87" s="73"/>
      <c r="J87" s="73"/>
      <c r="K87" s="73"/>
      <c r="L87" s="73"/>
      <c r="M87" s="73"/>
      <c r="N87" s="73"/>
      <c r="O87" s="73"/>
      <c r="P87" s="73"/>
      <c r="Q87" s="73"/>
      <c r="R87" s="73"/>
      <c r="S87" s="73"/>
      <c r="T87" s="73"/>
      <c r="U87" s="73"/>
      <c r="V87" s="73"/>
      <c r="W87" s="73"/>
      <c r="X87" s="73"/>
    </row>
    <row r="88" spans="1:24">
      <c r="A88" s="73"/>
      <c r="B88" s="73"/>
      <c r="C88" s="73"/>
      <c r="D88" s="73"/>
      <c r="E88" s="73"/>
      <c r="F88" s="73"/>
      <c r="G88" s="73"/>
      <c r="H88" s="73"/>
      <c r="I88" s="73"/>
      <c r="J88" s="73"/>
      <c r="K88" s="73"/>
      <c r="L88" s="73"/>
      <c r="M88" s="73"/>
      <c r="N88" s="73"/>
      <c r="O88" s="73"/>
      <c r="P88" s="73"/>
      <c r="Q88" s="73"/>
      <c r="R88" s="73"/>
      <c r="S88" s="73"/>
      <c r="T88" s="73"/>
      <c r="U88" s="73"/>
      <c r="V88" s="73"/>
      <c r="W88" s="73"/>
      <c r="X88" s="73"/>
    </row>
    <row r="89" spans="1:24">
      <c r="A89" s="73"/>
      <c r="B89" s="73"/>
      <c r="C89" s="73"/>
      <c r="D89" s="73"/>
      <c r="E89" s="73"/>
      <c r="F89" s="73"/>
      <c r="G89" s="73"/>
      <c r="H89" s="73"/>
      <c r="I89" s="73"/>
      <c r="J89" s="73"/>
      <c r="K89" s="73"/>
      <c r="L89" s="73"/>
      <c r="M89" s="73"/>
      <c r="N89" s="73"/>
      <c r="O89" s="73"/>
      <c r="P89" s="73"/>
      <c r="Q89" s="73"/>
      <c r="R89" s="73"/>
      <c r="S89" s="73"/>
      <c r="T89" s="73"/>
      <c r="U89" s="73"/>
      <c r="V89" s="73"/>
      <c r="W89" s="73"/>
      <c r="X89" s="73"/>
    </row>
    <row r="90" spans="1:24">
      <c r="A90" s="73"/>
      <c r="B90" s="73"/>
      <c r="C90" s="73"/>
      <c r="D90" s="73"/>
      <c r="E90" s="73"/>
      <c r="F90" s="73"/>
      <c r="G90" s="73"/>
      <c r="H90" s="73"/>
      <c r="I90" s="73"/>
      <c r="J90" s="73"/>
      <c r="K90" s="73"/>
      <c r="L90" s="73"/>
      <c r="M90" s="73"/>
      <c r="N90" s="73"/>
      <c r="O90" s="73"/>
      <c r="P90" s="73"/>
      <c r="Q90" s="73"/>
      <c r="R90" s="73"/>
      <c r="S90" s="73"/>
      <c r="T90" s="73"/>
      <c r="U90" s="73"/>
      <c r="V90" s="73"/>
      <c r="W90" s="73"/>
      <c r="X90" s="73"/>
    </row>
    <row r="91" spans="1:24">
      <c r="A91" s="73"/>
      <c r="B91" s="73"/>
      <c r="C91" s="73"/>
      <c r="D91" s="73"/>
      <c r="E91" s="73"/>
      <c r="F91" s="73"/>
      <c r="G91" s="73"/>
      <c r="H91" s="73"/>
      <c r="I91" s="73"/>
      <c r="J91" s="73"/>
      <c r="K91" s="73"/>
      <c r="L91" s="73"/>
      <c r="M91" s="73"/>
      <c r="N91" s="73"/>
      <c r="O91" s="73"/>
      <c r="P91" s="73"/>
      <c r="Q91" s="73"/>
      <c r="R91" s="73"/>
      <c r="S91" s="73"/>
      <c r="T91" s="73"/>
      <c r="U91" s="73"/>
      <c r="V91" s="73"/>
      <c r="W91" s="73"/>
      <c r="X91" s="73"/>
    </row>
    <row r="92" spans="1:24">
      <c r="A92" s="73"/>
      <c r="B92" s="73"/>
      <c r="C92" s="73"/>
      <c r="D92" s="73"/>
      <c r="E92" s="73"/>
      <c r="F92" s="73"/>
      <c r="G92" s="73"/>
      <c r="H92" s="73"/>
      <c r="I92" s="73"/>
      <c r="J92" s="73"/>
      <c r="K92" s="73"/>
      <c r="L92" s="73"/>
      <c r="M92" s="73"/>
      <c r="N92" s="73"/>
      <c r="O92" s="73"/>
      <c r="P92" s="73"/>
      <c r="Q92" s="73"/>
      <c r="R92" s="73"/>
      <c r="S92" s="73"/>
      <c r="T92" s="73"/>
      <c r="U92" s="73"/>
      <c r="V92" s="73"/>
      <c r="W92" s="73"/>
      <c r="X92" s="73"/>
    </row>
    <row r="93" spans="1:24">
      <c r="A93" s="73"/>
      <c r="B93" s="73"/>
      <c r="C93" s="73"/>
      <c r="D93" s="73"/>
      <c r="E93" s="73"/>
      <c r="F93" s="73"/>
      <c r="G93" s="73"/>
      <c r="H93" s="73"/>
      <c r="I93" s="73"/>
      <c r="J93" s="73"/>
      <c r="K93" s="73"/>
      <c r="L93" s="73"/>
      <c r="M93" s="73"/>
      <c r="N93" s="73"/>
      <c r="O93" s="73"/>
      <c r="P93" s="73"/>
      <c r="Q93" s="73"/>
      <c r="R93" s="73"/>
      <c r="S93" s="73"/>
      <c r="T93" s="73"/>
      <c r="U93" s="73"/>
      <c r="V93" s="73"/>
      <c r="W93" s="73"/>
      <c r="X93" s="73"/>
    </row>
    <row r="94" spans="1:24">
      <c r="A94" s="73"/>
      <c r="B94" s="73"/>
      <c r="C94" s="73"/>
      <c r="D94" s="73"/>
      <c r="E94" s="73"/>
      <c r="F94" s="73"/>
      <c r="G94" s="73"/>
      <c r="H94" s="73"/>
      <c r="I94" s="73"/>
      <c r="J94" s="73"/>
      <c r="K94" s="73"/>
      <c r="L94" s="73"/>
      <c r="M94" s="73"/>
      <c r="N94" s="73"/>
      <c r="O94" s="73"/>
      <c r="P94" s="73"/>
      <c r="Q94" s="73"/>
      <c r="R94" s="73"/>
      <c r="S94" s="73"/>
      <c r="T94" s="73"/>
      <c r="U94" s="73"/>
      <c r="V94" s="73"/>
      <c r="W94" s="73"/>
      <c r="X94" s="73"/>
    </row>
    <row r="95" spans="1:24">
      <c r="A95" s="73"/>
      <c r="B95" s="73"/>
      <c r="C95" s="73"/>
      <c r="D95" s="73"/>
      <c r="E95" s="73"/>
      <c r="F95" s="73"/>
      <c r="G95" s="73"/>
      <c r="H95" s="73"/>
      <c r="I95" s="73"/>
      <c r="J95" s="73"/>
      <c r="K95" s="73"/>
      <c r="L95" s="73"/>
      <c r="M95" s="73"/>
      <c r="N95" s="73"/>
      <c r="O95" s="73"/>
      <c r="P95" s="73"/>
      <c r="Q95" s="73"/>
      <c r="R95" s="73"/>
      <c r="S95" s="73"/>
      <c r="T95" s="73"/>
      <c r="U95" s="73"/>
      <c r="V95" s="73"/>
      <c r="W95" s="73"/>
      <c r="X95" s="73"/>
    </row>
    <row r="96" spans="1:24">
      <c r="A96" s="73"/>
      <c r="B96" s="73"/>
      <c r="C96" s="73"/>
      <c r="D96" s="73"/>
      <c r="E96" s="73"/>
      <c r="F96" s="73"/>
      <c r="G96" s="73"/>
      <c r="H96" s="73"/>
      <c r="I96" s="73"/>
      <c r="J96" s="73"/>
      <c r="K96" s="73"/>
      <c r="L96" s="73"/>
      <c r="M96" s="73"/>
      <c r="N96" s="73"/>
      <c r="O96" s="73"/>
      <c r="P96" s="73"/>
      <c r="Q96" s="73"/>
      <c r="R96" s="73"/>
      <c r="S96" s="73"/>
      <c r="T96" s="73"/>
      <c r="U96" s="73"/>
      <c r="V96" s="73"/>
      <c r="W96" s="73"/>
      <c r="X96" s="73"/>
    </row>
    <row r="97" spans="1:24">
      <c r="A97" s="73"/>
      <c r="B97" s="73"/>
      <c r="C97" s="73"/>
      <c r="D97" s="73"/>
      <c r="E97" s="73"/>
      <c r="F97" s="73"/>
      <c r="G97" s="73"/>
      <c r="H97" s="73"/>
      <c r="I97" s="73"/>
      <c r="J97" s="73"/>
      <c r="K97" s="73"/>
      <c r="L97" s="73"/>
      <c r="M97" s="73"/>
      <c r="N97" s="73"/>
      <c r="O97" s="73"/>
      <c r="P97" s="73"/>
      <c r="Q97" s="73"/>
      <c r="R97" s="73"/>
      <c r="S97" s="73"/>
      <c r="T97" s="73"/>
      <c r="U97" s="73"/>
      <c r="V97" s="73"/>
      <c r="W97" s="73"/>
      <c r="X97" s="73"/>
    </row>
    <row r="98" spans="1:24">
      <c r="A98" s="73"/>
      <c r="B98" s="73"/>
      <c r="C98" s="73"/>
      <c r="D98" s="73"/>
      <c r="E98" s="73"/>
      <c r="F98" s="73"/>
      <c r="G98" s="73"/>
      <c r="H98" s="73"/>
      <c r="I98" s="73"/>
      <c r="J98" s="73"/>
      <c r="K98" s="73"/>
      <c r="L98" s="73"/>
      <c r="M98" s="73"/>
      <c r="N98" s="73"/>
      <c r="O98" s="73"/>
      <c r="P98" s="73"/>
      <c r="Q98" s="73"/>
      <c r="R98" s="73"/>
      <c r="S98" s="73"/>
      <c r="T98" s="73"/>
      <c r="U98" s="73"/>
      <c r="V98" s="73"/>
      <c r="W98" s="73"/>
      <c r="X98" s="73"/>
    </row>
    <row r="99" spans="1:24">
      <c r="A99" s="73"/>
      <c r="B99" s="73"/>
      <c r="C99" s="73"/>
      <c r="D99" s="73"/>
      <c r="E99" s="73"/>
      <c r="F99" s="73"/>
      <c r="G99" s="73"/>
      <c r="H99" s="73"/>
      <c r="I99" s="73"/>
      <c r="J99" s="73"/>
      <c r="K99" s="73"/>
      <c r="L99" s="73"/>
      <c r="M99" s="73"/>
      <c r="N99" s="73"/>
      <c r="O99" s="73"/>
      <c r="P99" s="73"/>
      <c r="Q99" s="73"/>
      <c r="R99" s="73"/>
      <c r="S99" s="73"/>
      <c r="T99" s="73"/>
      <c r="U99" s="73"/>
      <c r="V99" s="73"/>
      <c r="W99" s="73"/>
      <c r="X99" s="73"/>
    </row>
    <row r="100" spans="1:24">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row>
    <row r="101" spans="1:24">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row>
    <row r="102" spans="1:24">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row>
    <row r="103" spans="1:24">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row>
    <row r="104" spans="1:2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row>
    <row r="105" spans="1:24">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row>
    <row r="106" spans="1:24">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row>
    <row r="107" spans="1:24">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row>
    <row r="108" spans="1:24">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row>
    <row r="109" spans="1:24">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row>
    <row r="110" spans="1:24">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row>
    <row r="111" spans="1:24">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row>
    <row r="112" spans="1:24">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row>
    <row r="113" spans="1:24">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row>
    <row r="114" spans="1:2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row>
    <row r="115" spans="1:24">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row>
    <row r="116" spans="1:24">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row>
    <row r="117" spans="1:24">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row>
    <row r="118" spans="1:24">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row>
    <row r="119" spans="1:24">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row>
    <row r="120" spans="1:24">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row>
    <row r="121" spans="1:24">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row>
    <row r="122" spans="1:24">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row>
    <row r="123" spans="1:24">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row>
    <row r="124" spans="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row>
    <row r="125" spans="1:24">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row>
    <row r="126" spans="1:24">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row>
    <row r="127" spans="1:24">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row>
    <row r="128" spans="1:24">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row>
    <row r="129" spans="1:24">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row>
    <row r="130" spans="1:24">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row>
    <row r="131" spans="1:24">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row>
    <row r="132" spans="1:24">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row>
    <row r="133" spans="1:24">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row>
    <row r="134" spans="1:2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row>
    <row r="135" spans="1:24">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row>
    <row r="136" spans="1:24">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row>
    <row r="137" spans="1:24">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row>
    <row r="138" spans="1:24">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row>
    <row r="139" spans="1:24">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row>
    <row r="140" spans="1:24">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row>
    <row r="141" spans="1:24">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row>
    <row r="142" spans="1:24">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row>
    <row r="143" spans="1:24">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row>
    <row r="144" spans="1:2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row>
    <row r="145" spans="1:24">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row>
    <row r="146" spans="1:24">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row>
    <row r="147" spans="1:24">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row>
    <row r="148" spans="1:24">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row>
    <row r="149" spans="1:24">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row>
    <row r="150" spans="1:24">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row>
    <row r="151" spans="1:24">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row>
    <row r="152" spans="1:24">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row>
    <row r="153" spans="1:24">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row>
    <row r="154" spans="1:2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row>
    <row r="155" spans="1:24">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row>
    <row r="156" spans="1:24">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row>
    <row r="157" spans="1:24">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row>
    <row r="158" spans="1:24">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row>
    <row r="159" spans="1:24">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row>
    <row r="160" spans="1:24">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row>
    <row r="161" spans="1:24">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row>
    <row r="162" spans="1:24">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row>
    <row r="163" spans="1:24">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row>
    <row r="164" spans="1:2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row>
    <row r="165" spans="1:24">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row>
    <row r="166" spans="1:24">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row>
    <row r="167" spans="1:24">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row>
    <row r="168" spans="1:24">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row>
    <row r="169" spans="1:24">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row>
    <row r="170" spans="1:24">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row>
    <row r="171" spans="1:24">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row>
    <row r="172" spans="1:24">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row>
    <row r="173" spans="1:24">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row>
    <row r="174" spans="1:2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row>
    <row r="175" spans="1:24">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row>
    <row r="176" spans="1:24">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row>
    <row r="177" spans="1:24">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row>
    <row r="178" spans="1:24">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row>
    <row r="179" spans="1:24">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row>
    <row r="180" spans="1:24">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row>
    <row r="181" spans="1:24">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row>
    <row r="182" spans="1:24">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row>
    <row r="183" spans="1:24">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row>
    <row r="184" spans="1:2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row>
    <row r="185" spans="1:24">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row>
    <row r="186" spans="1:24">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row>
    <row r="187" spans="1:24">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row>
    <row r="188" spans="1:24">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row>
    <row r="189" spans="1:24">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row>
    <row r="190" spans="1:24">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row>
    <row r="191" spans="1:24">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row>
    <row r="192" spans="1:24">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row>
    <row r="193" spans="1:24">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row>
    <row r="194" spans="1:2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row>
    <row r="195" spans="1:24">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row>
    <row r="196" spans="1:24">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row>
    <row r="197" spans="1:24">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row>
    <row r="198" spans="1:24">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row>
    <row r="199" spans="1:24">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row>
    <row r="200" spans="1:24">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row>
    <row r="201" spans="1:24">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row>
    <row r="202" spans="1:24">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row>
    <row r="203" spans="1:24">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row>
    <row r="204" spans="1:2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row>
    <row r="205" spans="1:24">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row>
    <row r="206" spans="1:24">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row>
    <row r="207" spans="1:24">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row>
    <row r="208" spans="1:24">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row>
    <row r="209" spans="1:24">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row>
    <row r="210" spans="1:24">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row>
    <row r="211" spans="1:24">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row>
    <row r="212" spans="1:24">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row>
    <row r="213" spans="1:24">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row>
    <row r="214" spans="1:2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row>
    <row r="215" spans="1:24">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row>
    <row r="216" spans="1:24">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row>
    <row r="217" spans="1:24">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row>
    <row r="218" spans="1:24">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row>
    <row r="219" spans="1:24">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row>
    <row r="220" spans="1:24">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row>
    <row r="221" spans="1:24">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row>
    <row r="222" spans="1:24">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row>
    <row r="223" spans="1:24">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row>
    <row r="224" spans="1: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row>
    <row r="225" spans="1:24">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row>
    <row r="226" spans="1:24">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row>
    <row r="227" spans="1:24">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row>
    <row r="228" spans="1:24">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row>
    <row r="229" spans="1:24">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row>
    <row r="230" spans="1:24">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row>
    <row r="231" spans="1:24">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row>
    <row r="232" spans="1:24">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row>
    <row r="233" spans="1:24">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row>
    <row r="234" spans="1:2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row>
    <row r="235" spans="1:24">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row>
    <row r="236" spans="1:24">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row>
    <row r="237" spans="1:24">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row>
    <row r="238" spans="1:24">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row>
    <row r="239" spans="1:24">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row>
    <row r="240" spans="1:24">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row>
    <row r="241" spans="1:24">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row>
    <row r="242" spans="1:24">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row>
    <row r="243" spans="1:24">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row>
    <row r="244" spans="1:2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row>
    <row r="245" spans="1:24">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row>
    <row r="246" spans="1:24">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row>
    <row r="247" spans="1:24">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row>
    <row r="248" spans="1:24">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row>
    <row r="249" spans="1:24">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row>
    <row r="250" spans="1:24">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row>
    <row r="251" spans="1:24">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row>
    <row r="252" spans="1:24">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row>
    <row r="253" spans="1:24">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row>
    <row r="254" spans="1:2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row>
    <row r="255" spans="1:24">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row>
    <row r="256" spans="1:24">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row>
    <row r="257" spans="1:24">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row>
    <row r="258" spans="1:24">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row>
    <row r="259" spans="1:24">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row>
    <row r="260" spans="1:24">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row>
    <row r="261" spans="1:24">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row>
    <row r="262" spans="1:24">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row>
    <row r="263" spans="1:24">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row>
    <row r="264" spans="1:2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row>
    <row r="265" spans="1:24">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row>
    <row r="266" spans="1:24">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row>
    <row r="267" spans="1:24">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row>
    <row r="268" spans="1:24">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row>
    <row r="269" spans="1:24">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row>
    <row r="270" spans="1:24">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row>
    <row r="271" spans="1:24">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row>
    <row r="272" spans="1:24">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row>
    <row r="273" spans="1:24">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row>
    <row r="274" spans="1:2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row>
    <row r="275" spans="1:24">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row>
    <row r="276" spans="1:24">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row>
    <row r="277" spans="1:24">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row>
    <row r="278" spans="1:24">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row>
    <row r="279" spans="1:24">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row>
    <row r="280" spans="1:24">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row>
    <row r="281" spans="1:24">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row>
    <row r="282" spans="1:24">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row>
    <row r="283" spans="1:24">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row>
    <row r="284" spans="1:2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row>
    <row r="285" spans="1:24">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row>
    <row r="286" spans="1:24">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row>
    <row r="287" spans="1:24">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row>
    <row r="288" spans="1:24">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row>
    <row r="289" spans="1:24">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row>
    <row r="290" spans="1:24">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row>
    <row r="291" spans="1:24">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row>
    <row r="292" spans="1:24">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row>
    <row r="293" spans="1:24">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row>
    <row r="294" spans="1:2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row>
    <row r="295" spans="1:24">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row>
    <row r="296" spans="1:24">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row>
    <row r="297" spans="1:24">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row>
    <row r="298" spans="1:24">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row>
    <row r="299" spans="1:24">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row>
    <row r="300" spans="1:24">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row>
    <row r="301" spans="1:24">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row>
    <row r="302" spans="1:24">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row>
    <row r="303" spans="1:24">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row>
    <row r="304" spans="1:2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row>
    <row r="305" spans="1:24">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row>
    <row r="306" spans="1:24">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row>
    <row r="307" spans="1:24">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row>
    <row r="308" spans="1:24">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row>
    <row r="309" spans="1:24">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row>
    <row r="310" spans="1:24">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row>
    <row r="311" spans="1:24">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row>
    <row r="312" spans="1:24">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row>
    <row r="313" spans="1:24">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row>
    <row r="314" spans="1:2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row>
    <row r="315" spans="1:24">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row>
    <row r="316" spans="1:24">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row>
    <row r="317" spans="1:24">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row>
    <row r="318" spans="1:24">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row>
    <row r="319" spans="1:24">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row>
    <row r="320" spans="1:24">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row>
    <row r="321" spans="1:24">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row>
    <row r="322" spans="1:24">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row>
    <row r="323" spans="1:24">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row>
    <row r="324" spans="1: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row>
    <row r="325" spans="1:24">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row>
    <row r="326" spans="1:24">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row>
    <row r="327" spans="1:24">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row>
    <row r="328" spans="1:24">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row>
    <row r="329" spans="1:24">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row>
    <row r="330" spans="1:24">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row>
    <row r="331" spans="1:24">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row>
    <row r="332" spans="1:24">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row>
    <row r="333" spans="1:24">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row>
    <row r="334" spans="1:2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row>
    <row r="335" spans="1:24">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row>
    <row r="336" spans="1:24">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row>
    <row r="337" spans="1:24">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row>
    <row r="338" spans="1:24">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row>
    <row r="339" spans="1:24">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row>
    <row r="340" spans="1:24">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row>
    <row r="341" spans="1:24">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row>
    <row r="342" spans="1:24">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row>
    <row r="343" spans="1:24">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row>
    <row r="344" spans="1:2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row>
    <row r="345" spans="1:24">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row>
    <row r="346" spans="1:24">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row>
    <row r="347" spans="1:24">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row>
    <row r="348" spans="1:24">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row>
    <row r="349" spans="1:24">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row>
    <row r="350" spans="1:24">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row>
    <row r="351" spans="1:24">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row>
    <row r="352" spans="1:24">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row>
    <row r="353" spans="1:24">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row>
    <row r="354" spans="1:2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row>
    <row r="355" spans="1:24">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row>
    <row r="356" spans="1:24">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row>
    <row r="357" spans="1:24">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row>
    <row r="358" spans="1:24">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row>
    <row r="359" spans="1:24">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row>
    <row r="360" spans="1:24">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row>
    <row r="361" spans="1:24">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row>
    <row r="362" spans="1:24">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row>
    <row r="363" spans="1:24">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row>
    <row r="364" spans="1:2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row>
    <row r="365" spans="1:24">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row>
    <row r="366" spans="1:24">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row>
    <row r="367" spans="1:24">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row>
    <row r="368" spans="1:24">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row>
    <row r="369" spans="1:24">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row>
    <row r="370" spans="1:24">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row>
    <row r="371" spans="1:24">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row>
    <row r="372" spans="1:24">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row>
    <row r="373" spans="1:24">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row>
    <row r="374" spans="1:2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row>
    <row r="375" spans="1:24">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row>
    <row r="376" spans="1:24">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row>
    <row r="377" spans="1:24">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row>
    <row r="378" spans="1:24">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row>
    <row r="379" spans="1:24">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row>
    <row r="380" spans="1:24">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row>
    <row r="381" spans="1:24">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row>
    <row r="382" spans="1:24">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row>
    <row r="383" spans="1:24">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row>
    <row r="384" spans="1:2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row>
    <row r="385" spans="1:24">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row>
    <row r="386" spans="1:24">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row>
    <row r="387" spans="1:24">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row>
    <row r="388" spans="1:24">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row>
    <row r="389" spans="1:24">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row>
    <row r="390" spans="1:24">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row>
    <row r="391" spans="1:24">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row>
    <row r="392" spans="1:24">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row>
    <row r="393" spans="1:24">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row>
    <row r="394" spans="1:2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row>
    <row r="395" spans="1:24">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row>
    <row r="396" spans="1:24">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row>
    <row r="397" spans="1:24">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row>
    <row r="398" spans="1:24">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row>
    <row r="399" spans="1:24">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row>
    <row r="400" spans="1:24">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row>
    <row r="401" spans="1:24">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row>
    <row r="402" spans="1:24">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row>
    <row r="403" spans="1:24">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row>
    <row r="404" spans="1:2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row>
    <row r="405" spans="1:24">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row>
    <row r="406" spans="1:24">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row>
    <row r="407" spans="1:24">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row>
    <row r="408" spans="1:24">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row>
    <row r="409" spans="1:24">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row>
    <row r="410" spans="1:24">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row>
    <row r="411" spans="1:24">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row>
    <row r="412" spans="1:24">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row>
    <row r="413" spans="1:24">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row>
    <row r="414" spans="1:2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row>
    <row r="415" spans="1:24">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row>
    <row r="416" spans="1:24">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row>
    <row r="417" spans="1:24">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row>
    <row r="418" spans="1:24">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row>
    <row r="419" spans="1:24">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row>
    <row r="420" spans="1:24">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row>
    <row r="421" spans="1:24">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row>
    <row r="422" spans="1:24">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row>
    <row r="423" spans="1:24">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row>
    <row r="424" spans="1: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row>
    <row r="425" spans="1:24">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row>
    <row r="426" spans="1:24">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row>
    <row r="427" spans="1:24">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row>
    <row r="428" spans="1:24">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row>
    <row r="429" spans="1:24">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row>
    <row r="430" spans="1:24">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row>
    <row r="431" spans="1:24">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row>
    <row r="432" spans="1:24">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row>
    <row r="433" spans="1:24">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row>
    <row r="434" spans="1:2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row>
    <row r="435" spans="1:24">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row>
    <row r="436" spans="1:24">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row>
    <row r="437" spans="1:24">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row>
    <row r="438" spans="1:24">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row>
    <row r="439" spans="1:24">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row>
    <row r="440" spans="1:24">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row>
    <row r="441" spans="1:24">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row>
    <row r="442" spans="1:24">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row>
    <row r="443" spans="1:24">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row>
    <row r="444" spans="1:2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row>
    <row r="445" spans="1:24">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row>
    <row r="446" spans="1:24">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row>
    <row r="447" spans="1:24">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row>
    <row r="448" spans="1:24">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row>
    <row r="449" spans="1:24">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row>
    <row r="450" spans="1:24">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row>
    <row r="451" spans="1:24">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row>
    <row r="452" spans="1:24">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row>
    <row r="453" spans="1:24">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row>
    <row r="454" spans="1:2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row>
    <row r="455" spans="1:24">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row>
    <row r="456" spans="1:24">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row>
    <row r="457" spans="1:24">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row>
    <row r="458" spans="1:24">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row>
    <row r="459" spans="1:24">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row>
    <row r="460" spans="1:24">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row>
    <row r="461" spans="1:24">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row>
    <row r="462" spans="1:24">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row>
    <row r="463" spans="1:24">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row>
    <row r="464" spans="1:2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row>
    <row r="465" spans="1:24">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row>
    <row r="466" spans="1:24">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row>
    <row r="467" spans="1:24">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row>
    <row r="468" spans="1:24">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row>
    <row r="469" spans="1:24">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row>
    <row r="470" spans="1:24">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row>
    <row r="471" spans="1:24">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row>
    <row r="472" spans="1:24">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row>
    <row r="473" spans="1:24">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row>
    <row r="474" spans="1:2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row>
    <row r="475" spans="1:24">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row>
    <row r="476" spans="1:24">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row>
    <row r="477" spans="1:24">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row>
    <row r="478" spans="1:24">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row>
    <row r="479" spans="1:24">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row>
    <row r="480" spans="1:24">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row>
    <row r="481" spans="1:24">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row>
    <row r="482" spans="1:24">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row>
    <row r="483" spans="1:24">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row>
    <row r="484" spans="1:2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row>
    <row r="485" spans="1:24">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row>
    <row r="486" spans="1:24">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row>
    <row r="487" spans="1:24">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row>
    <row r="488" spans="1:24">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row>
    <row r="489" spans="1:24">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row>
    <row r="490" spans="1:24">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row>
    <row r="491" spans="1:24">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row>
    <row r="492" spans="1:24">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row>
    <row r="493" spans="1:24">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row>
    <row r="494" spans="1:2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row>
    <row r="495" spans="1:24">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row>
    <row r="496" spans="1:24">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row>
    <row r="497" spans="1:24">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row>
    <row r="498" spans="1:24">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row>
    <row r="499" spans="1:24">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row>
    <row r="500" spans="1:24">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row>
    <row r="501" spans="1:24">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row>
    <row r="502" spans="1:24">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row>
    <row r="503" spans="1:24">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row>
    <row r="504" spans="1:2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row>
    <row r="505" spans="1:24">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row>
    <row r="506" spans="1:24">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row>
    <row r="507" spans="1:24">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row>
    <row r="508" spans="1:24">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row>
    <row r="509" spans="1:24">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row>
    <row r="510" spans="1:24">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row>
    <row r="511" spans="1:24">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row>
    <row r="512" spans="1:24">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row>
    <row r="513" spans="1:24">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row>
    <row r="514" spans="1:2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row>
    <row r="515" spans="1:24">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row>
    <row r="516" spans="1:24">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row>
    <row r="517" spans="1:24">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row>
    <row r="518" spans="1:24">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row>
    <row r="519" spans="1:24">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row>
    <row r="520" spans="1:24">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row>
    <row r="521" spans="1:24">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row>
    <row r="522" spans="1:24">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row>
    <row r="523" spans="1:24">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row>
    <row r="524" spans="1: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row>
    <row r="525" spans="1:24">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row>
    <row r="526" spans="1:24">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row>
    <row r="527" spans="1:24">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row>
    <row r="528" spans="1:24">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row>
    <row r="529" spans="1:24">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row>
    <row r="530" spans="1:24">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row>
    <row r="531" spans="1:24">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row>
    <row r="532" spans="1:24">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row>
    <row r="533" spans="1:24">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row>
    <row r="534" spans="1:2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row>
    <row r="535" spans="1:24">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row>
    <row r="536" spans="1:24">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row>
    <row r="537" spans="1:24">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row>
    <row r="538" spans="1:24">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row>
    <row r="539" spans="1:24">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row>
    <row r="540" spans="1:24">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row>
    <row r="541" spans="1:24">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row>
    <row r="542" spans="1:24">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row>
    <row r="543" spans="1:24">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row>
    <row r="544" spans="1:2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row>
    <row r="545" spans="1:24">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row>
    <row r="546" spans="1:24">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row>
    <row r="547" spans="1:24">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row>
    <row r="548" spans="1:24">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row>
    <row r="549" spans="1:24">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row>
    <row r="550" spans="1:24">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row>
    <row r="551" spans="1:24">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row>
    <row r="552" spans="1:24">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row>
    <row r="553" spans="1:24">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row>
    <row r="554" spans="1:2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row>
    <row r="555" spans="1:24">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row>
    <row r="556" spans="1:24">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row>
    <row r="557" spans="1:24">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row>
    <row r="558" spans="1:24">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row>
    <row r="559" spans="1:24">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row>
    <row r="560" spans="1:24">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row>
    <row r="561" spans="1:24">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row>
    <row r="562" spans="1:24">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row>
    <row r="563" spans="1:24">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row>
    <row r="564" spans="1:2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row>
    <row r="565" spans="1:24">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row>
    <row r="566" spans="1:24">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row>
    <row r="567" spans="1:24">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row>
    <row r="568" spans="1:24">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row>
    <row r="569" spans="1:24">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row>
    <row r="570" spans="1:24">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row>
    <row r="571" spans="1:24">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row>
    <row r="572" spans="1:24">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row>
    <row r="573" spans="1:24">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row>
    <row r="574" spans="1:2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row>
    <row r="575" spans="1:24">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row>
    <row r="576" spans="1:24">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row>
    <row r="577" spans="1:24">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row>
    <row r="578" spans="1:24">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row>
    <row r="579" spans="1:24">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row>
    <row r="580" spans="1:24">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row>
    <row r="581" spans="1:24">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row>
    <row r="582" spans="1:24">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row>
    <row r="583" spans="1:24">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row>
    <row r="584" spans="1:2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row>
    <row r="585" spans="1:24">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row>
    <row r="586" spans="1:24">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row>
    <row r="587" spans="1:24">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row>
    <row r="588" spans="1:24">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row>
    <row r="589" spans="1:24">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row>
    <row r="590" spans="1:24">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row>
    <row r="591" spans="1:24">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row>
    <row r="592" spans="1:24">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row>
    <row r="593" spans="1:24">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row>
    <row r="594" spans="1:2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row>
    <row r="595" spans="1:24">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row>
    <row r="596" spans="1:24">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row>
    <row r="597" spans="1:24">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row>
    <row r="598" spans="1:24">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row>
    <row r="599" spans="1:24">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row>
    <row r="600" spans="1:24">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row>
    <row r="601" spans="1:24">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row>
    <row r="602" spans="1:24">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row>
    <row r="603" spans="1:24">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row>
    <row r="604" spans="1:2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row>
    <row r="605" spans="1:24">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row>
    <row r="606" spans="1:24">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row>
    <row r="607" spans="1:24">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row>
    <row r="608" spans="1:24">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row>
    <row r="609" spans="1:24">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row>
    <row r="610" spans="1:24">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row>
    <row r="611" spans="1:24">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row>
    <row r="612" spans="1:24">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row>
    <row r="613" spans="1:24">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row>
    <row r="614" spans="1:2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row>
    <row r="615" spans="1:24">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row>
    <row r="616" spans="1:24">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row>
    <row r="617" spans="1:24">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row>
    <row r="618" spans="1:24">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row>
    <row r="619" spans="1:24">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row>
    <row r="620" spans="1:24">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row>
    <row r="621" spans="1:24">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row>
    <row r="622" spans="1:24">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row>
    <row r="623" spans="1:24">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row>
    <row r="624" spans="1: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row>
    <row r="625" spans="1:24">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row>
    <row r="626" spans="1:24">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row>
    <row r="627" spans="1:24">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row>
    <row r="628" spans="1:24">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row>
    <row r="629" spans="1:24">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row>
    <row r="630" spans="1:24">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row>
    <row r="631" spans="1:24">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row>
    <row r="632" spans="1:24">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row>
    <row r="633" spans="1:24">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row>
    <row r="634" spans="1:2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row>
    <row r="635" spans="1:24">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row>
    <row r="636" spans="1:24">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row>
    <row r="637" spans="1:24">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row>
    <row r="638" spans="1:24">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row>
    <row r="639" spans="1:24">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row>
    <row r="640" spans="1:24">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row>
    <row r="641" spans="1:24">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row>
    <row r="642" spans="1:24">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row>
    <row r="643" spans="1:24">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row>
    <row r="644" spans="1:2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row>
    <row r="645" spans="1:24">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row>
    <row r="646" spans="1:24">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row>
    <row r="647" spans="1:24">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row>
    <row r="648" spans="1:24">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row>
    <row r="649" spans="1:24">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row>
    <row r="650" spans="1:24">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row>
    <row r="651" spans="1:24">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row>
    <row r="652" spans="1:24">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row>
    <row r="653" spans="1:24">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row>
    <row r="654" spans="1:2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row>
    <row r="655" spans="1:24">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row>
    <row r="656" spans="1:24">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row>
    <row r="657" spans="1:24">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row>
    <row r="658" spans="1:24">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row>
    <row r="659" spans="1:24">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row>
    <row r="660" spans="1:24">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row>
    <row r="661" spans="1:24">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row>
    <row r="662" spans="1:24">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row>
    <row r="663" spans="1:24">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row>
    <row r="664" spans="1:2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row>
    <row r="665" spans="1:24">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row>
    <row r="666" spans="1:24">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row>
    <row r="667" spans="1:24">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row>
    <row r="668" spans="1:24">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row>
    <row r="669" spans="1:24">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row>
    <row r="670" spans="1:24">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row>
    <row r="671" spans="1:24">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row>
    <row r="672" spans="1:24">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row>
    <row r="673" spans="1:24">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row>
    <row r="674" spans="1:2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row>
    <row r="675" spans="1:24">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row>
    <row r="676" spans="1:24">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row>
    <row r="677" spans="1:24">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row>
    <row r="678" spans="1:24">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row>
    <row r="679" spans="1:24">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row>
    <row r="680" spans="1:24">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row>
    <row r="681" spans="1:24">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row>
    <row r="682" spans="1:24">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row>
    <row r="683" spans="1:24">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row>
    <row r="684" spans="1:2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row>
    <row r="685" spans="1:24">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row>
    <row r="686" spans="1:24">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row>
    <row r="687" spans="1:24">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row>
    <row r="688" spans="1:24">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row>
    <row r="689" spans="1:24">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row>
    <row r="690" spans="1:24">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row>
    <row r="691" spans="1:24">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row>
    <row r="692" spans="1:24">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row>
    <row r="693" spans="1:24">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row>
    <row r="694" spans="1:2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row>
    <row r="695" spans="1:24">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row>
    <row r="696" spans="1:24">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row>
    <row r="697" spans="1:24">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row>
    <row r="698" spans="1:24">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row>
    <row r="699" spans="1:24">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row>
    <row r="700" spans="1:24">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row>
    <row r="701" spans="1:24">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row>
    <row r="702" spans="1:24">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row>
    <row r="703" spans="1:24">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row>
    <row r="704" spans="1:2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row>
    <row r="705" spans="1:24">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row>
    <row r="706" spans="1:24">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row>
    <row r="707" spans="1:24">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row>
    <row r="708" spans="1:24">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row>
    <row r="709" spans="1:24">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row>
    <row r="710" spans="1:24">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row>
    <row r="711" spans="1:24">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row>
    <row r="712" spans="1:24">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row>
    <row r="713" spans="1:24">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row>
    <row r="714" spans="1:2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row>
    <row r="715" spans="1:24">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row>
    <row r="716" spans="1:24">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row>
    <row r="717" spans="1:24">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row>
    <row r="718" spans="1:24">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row>
    <row r="719" spans="1:24">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row>
    <row r="720" spans="1:24">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row>
    <row r="721" spans="1:24">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row>
    <row r="722" spans="1:24">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row>
    <row r="723" spans="1:24">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row>
    <row r="724" spans="1: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row>
    <row r="725" spans="1:24">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row>
    <row r="726" spans="1:24">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row>
    <row r="727" spans="1:24">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row>
    <row r="728" spans="1:24">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row>
    <row r="729" spans="1:24">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row>
    <row r="730" spans="1:24">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row>
    <row r="731" spans="1:24">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row>
    <row r="732" spans="1:24">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row>
    <row r="733" spans="1:24">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row>
    <row r="734" spans="1:2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row>
    <row r="735" spans="1:24">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row>
    <row r="736" spans="1:24">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row>
    <row r="737" spans="1:24">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row>
    <row r="738" spans="1:24">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row>
    <row r="739" spans="1:24">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row>
    <row r="740" spans="1:24">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row>
    <row r="741" spans="1:24">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row>
    <row r="742" spans="1:24">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row>
    <row r="743" spans="1:24">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row>
    <row r="744" spans="1:2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row>
    <row r="745" spans="1:24">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row>
    <row r="746" spans="1:24">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row>
    <row r="747" spans="1:24">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row>
    <row r="748" spans="1:24">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row>
    <row r="749" spans="1:24">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row>
    <row r="750" spans="1:24">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row>
    <row r="751" spans="1:24">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row>
    <row r="752" spans="1:24">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row>
    <row r="753" spans="1:24">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row>
    <row r="754" spans="1:2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row>
    <row r="755" spans="1:24">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row>
    <row r="756" spans="1:24">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row>
    <row r="757" spans="1:24">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row>
    <row r="758" spans="1:24">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row>
    <row r="759" spans="1:24">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row>
    <row r="760" spans="1:24">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row>
    <row r="761" spans="1:24">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row>
    <row r="762" spans="1:24">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row>
    <row r="763" spans="1:24">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row>
    <row r="764" spans="1:2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row>
    <row r="765" spans="1:24">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row>
    <row r="766" spans="1:24">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row>
    <row r="767" spans="1:24">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row>
    <row r="768" spans="1:24">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row>
    <row r="769" spans="1:24">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row>
    <row r="770" spans="1:24">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row>
    <row r="771" spans="1:24">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row>
    <row r="772" spans="1:24">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row>
    <row r="773" spans="1:24">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row>
    <row r="774" spans="1:2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row>
    <row r="775" spans="1:24">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row>
    <row r="776" spans="1:24">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row>
    <row r="777" spans="1:24">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row>
    <row r="778" spans="1:24">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row>
    <row r="779" spans="1:24">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row>
    <row r="780" spans="1:24">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row>
    <row r="781" spans="1:24">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row>
    <row r="782" spans="1:24">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row>
    <row r="783" spans="1:24">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row>
    <row r="784" spans="1:2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row>
    <row r="785" spans="1:24">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row>
    <row r="786" spans="1:24">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row>
    <row r="787" spans="1:24">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row>
    <row r="788" spans="1:24">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row>
    <row r="789" spans="1:24">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row>
    <row r="790" spans="1:24">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row>
    <row r="791" spans="1:24">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row>
    <row r="792" spans="1:24">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row>
    <row r="793" spans="1:24">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row>
    <row r="794" spans="1:2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row>
    <row r="795" spans="1:24">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row>
    <row r="796" spans="1:24">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row>
    <row r="797" spans="1:24">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row>
    <row r="798" spans="1:24">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row>
    <row r="799" spans="1:24">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row>
    <row r="800" spans="1:24">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row>
    <row r="801" spans="1:24">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row>
    <row r="802" spans="1:24">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row>
    <row r="803" spans="1:24">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row>
    <row r="804" spans="1:2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row>
    <row r="805" spans="1:24">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row>
    <row r="806" spans="1:24">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row>
    <row r="807" spans="1:24">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row>
    <row r="808" spans="1:24">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row>
    <row r="809" spans="1:24">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row>
    <row r="810" spans="1:24">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row>
    <row r="811" spans="1:24">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row>
    <row r="812" spans="1:24">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row>
    <row r="813" spans="1:24">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row>
    <row r="814" spans="1:2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row>
    <row r="815" spans="1:24">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row>
    <row r="816" spans="1:24">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row>
    <row r="817" spans="1:24">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row>
    <row r="818" spans="1:24">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row>
    <row r="819" spans="1:24">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row>
    <row r="820" spans="1:24">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row>
    <row r="821" spans="1:24">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row>
    <row r="822" spans="1:24">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row>
    <row r="823" spans="1:24">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row>
    <row r="824" spans="1: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row>
    <row r="825" spans="1:24">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row>
    <row r="826" spans="1:24">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row>
    <row r="827" spans="1:24">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row>
    <row r="828" spans="1:24">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row>
    <row r="829" spans="1:24">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row>
    <row r="830" spans="1:24">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row>
    <row r="831" spans="1:24">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row>
    <row r="832" spans="1:24">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row>
    <row r="833" spans="1:24">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row>
    <row r="834" spans="1:2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row>
    <row r="835" spans="1:24">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row>
    <row r="836" spans="1:24">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row>
    <row r="837" spans="1:24">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row>
    <row r="838" spans="1:24">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row>
    <row r="839" spans="1:24">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row>
    <row r="840" spans="1:24">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row>
    <row r="841" spans="1:24">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row>
    <row r="842" spans="1:24">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row>
    <row r="843" spans="1:24">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row>
    <row r="844" spans="1:2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row>
    <row r="845" spans="1:24">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row>
    <row r="846" spans="1:24">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row>
    <row r="847" spans="1:24">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row>
    <row r="848" spans="1:24">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row>
    <row r="849" spans="1:24">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row>
    <row r="850" spans="1:24">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row>
    <row r="851" spans="1:24">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row>
    <row r="852" spans="1:24">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row>
    <row r="853" spans="1:24">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row>
    <row r="854" spans="1:2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row>
    <row r="855" spans="1:24">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row>
    <row r="856" spans="1:24">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row>
    <row r="857" spans="1:24">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row>
    <row r="858" spans="1:24">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row>
    <row r="859" spans="1:24">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row>
    <row r="860" spans="1:24">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row>
    <row r="861" spans="1:24">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row>
    <row r="862" spans="1:24">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row>
    <row r="863" spans="1:24">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row>
    <row r="864" spans="1:2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row>
    <row r="865" spans="1:24">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row>
    <row r="866" spans="1:24">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row>
    <row r="867" spans="1:24">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row>
    <row r="868" spans="1:24">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row>
    <row r="869" spans="1:24">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row>
    <row r="870" spans="1:24">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row>
    <row r="871" spans="1:24">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row>
    <row r="872" spans="1:24">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row>
    <row r="873" spans="1:24">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row>
    <row r="874" spans="1:2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row>
    <row r="875" spans="1:24">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row>
    <row r="876" spans="1:24">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row>
    <row r="877" spans="1:24">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row>
    <row r="878" spans="1:24">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row>
    <row r="879" spans="1:24">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row>
    <row r="880" spans="1:24">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row>
    <row r="881" spans="1:24">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row>
    <row r="882" spans="1:24">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row>
    <row r="883" spans="1:24">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row>
    <row r="884" spans="1:2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row>
    <row r="885" spans="1:24">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row>
    <row r="886" spans="1:24">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row>
    <row r="887" spans="1:24">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row>
    <row r="888" spans="1:24">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row>
    <row r="889" spans="1:24">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row>
    <row r="890" spans="1:24">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row>
    <row r="891" spans="1:24">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row>
    <row r="892" spans="1:24">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row>
    <row r="893" spans="1:24">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row>
    <row r="894" spans="1:2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row>
    <row r="895" spans="1:24">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row>
    <row r="896" spans="1:24">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row>
    <row r="897" spans="1:24">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row>
    <row r="898" spans="1:24">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row>
    <row r="899" spans="1:24">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row>
    <row r="900" spans="1:24">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row>
    <row r="901" spans="1:24">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row>
    <row r="902" spans="1:24">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row>
    <row r="903" spans="1:24">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row>
    <row r="904" spans="1:2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row>
    <row r="905" spans="1:24">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row>
    <row r="906" spans="1:24">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row>
    <row r="907" spans="1:24">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row>
    <row r="908" spans="1:24">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row>
    <row r="909" spans="1:24">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row>
    <row r="910" spans="1:24">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row>
    <row r="911" spans="1:24">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row>
    <row r="912" spans="1:24">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row>
    <row r="913" spans="1:24">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row>
    <row r="914" spans="1:2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row>
    <row r="915" spans="1:24">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row>
    <row r="916" spans="1:24">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row>
    <row r="917" spans="1:24">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row>
    <row r="918" spans="1:24">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row>
    <row r="919" spans="1:24">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row>
    <row r="920" spans="1:24">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row>
    <row r="921" spans="1:24">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row>
    <row r="922" spans="1:24">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row>
    <row r="923" spans="1:24">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row>
    <row r="924" spans="1: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row>
    <row r="925" spans="1:24">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row>
    <row r="926" spans="1:24">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row>
    <row r="927" spans="1:24">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row>
    <row r="928" spans="1:24">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row>
    <row r="929" spans="1:24">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row>
    <row r="930" spans="1:24">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row>
    <row r="931" spans="1:24">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row>
    <row r="932" spans="1:24">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row>
    <row r="933" spans="1:24">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row>
    <row r="934" spans="1:2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row>
    <row r="935" spans="1:24">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row>
    <row r="936" spans="1:24">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row>
    <row r="937" spans="1:24">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row>
    <row r="938" spans="1:24">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row>
    <row r="939" spans="1:24">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row>
    <row r="940" spans="1:24">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row>
    <row r="941" spans="1:24">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row>
    <row r="942" spans="1:24">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row>
    <row r="943" spans="1:24">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row>
    <row r="944" spans="1:2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row>
    <row r="945" spans="1:24">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row>
    <row r="946" spans="1:24">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row>
    <row r="947" spans="1:24">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row>
    <row r="948" spans="1:24">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row>
    <row r="949" spans="1:24">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row>
    <row r="950" spans="1:24">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row>
    <row r="951" spans="1:24">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row>
    <row r="952" spans="1:24">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row>
    <row r="953" spans="1:24">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row>
    <row r="954" spans="1:2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row>
    <row r="955" spans="1:24">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row>
    <row r="956" spans="1:24">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row>
    <row r="957" spans="1:24">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row>
    <row r="958" spans="1:24">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row>
    <row r="959" spans="1:24">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row>
    <row r="960" spans="1:24">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row>
    <row r="961" spans="1:24">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row>
    <row r="962" spans="1:24">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row>
    <row r="963" spans="1:24">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row>
    <row r="964" spans="1:2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row>
    <row r="965" spans="1:24">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row>
    <row r="966" spans="1:24">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row>
    <row r="967" spans="1:24">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row>
    <row r="968" spans="1:24">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row>
    <row r="969" spans="1:24">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row>
    <row r="970" spans="1:24">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row>
    <row r="971" spans="1:24">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row>
    <row r="972" spans="1:24">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row>
    <row r="973" spans="1:24">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row>
    <row r="974" spans="1:2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row>
    <row r="975" spans="1:24">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row>
    <row r="976" spans="1:24">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row>
    <row r="977" spans="1:24">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row>
    <row r="978" spans="1:24">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row>
    <row r="979" spans="1:24">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row>
    <row r="980" spans="1:24">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row>
    <row r="981" spans="1:24">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row>
    <row r="982" spans="1:24">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row>
    <row r="983" spans="1:24">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row>
    <row r="984" spans="1:2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row>
    <row r="985" spans="1:24">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row>
    <row r="986" spans="1:24">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row>
    <row r="987" spans="1:24">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row>
    <row r="988" spans="1:24">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row>
    <row r="989" spans="1:24">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row>
    <row r="990" spans="1:24">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row>
    <row r="991" spans="1:24">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row>
    <row r="992" spans="1:24">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row>
    <row r="993" spans="1:24">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row>
    <row r="994" spans="1:2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row>
    <row r="995" spans="1:24">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row>
    <row r="996" spans="1:24">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row>
  </sheetData>
  <mergeCells count="27">
    <mergeCell ref="A7:A8"/>
    <mergeCell ref="E5:F5"/>
    <mergeCell ref="B3:I3"/>
    <mergeCell ref="I7:I8"/>
    <mergeCell ref="D9:D11"/>
    <mergeCell ref="E4:F4"/>
    <mergeCell ref="F9:F11"/>
    <mergeCell ref="A9:A11"/>
    <mergeCell ref="A5:A6"/>
    <mergeCell ref="C9:C11"/>
    <mergeCell ref="E9:E11"/>
    <mergeCell ref="B2:I2"/>
    <mergeCell ref="D7:D8"/>
    <mergeCell ref="H7:H8"/>
    <mergeCell ref="I9:I11"/>
    <mergeCell ref="I5:I6"/>
    <mergeCell ref="C7:C8"/>
    <mergeCell ref="E7:E8"/>
    <mergeCell ref="B5:B6"/>
    <mergeCell ref="D5:D6"/>
    <mergeCell ref="H9:H11"/>
    <mergeCell ref="H5:H6"/>
    <mergeCell ref="B4:C4"/>
    <mergeCell ref="B7:B8"/>
    <mergeCell ref="B9:B11"/>
    <mergeCell ref="C5:C6"/>
    <mergeCell ref="F7:F8"/>
  </mergeCells>
  <hyperlinks>
    <hyperlink ref="A1" location="'Modelo de dominio'!A1" display="&lt;&lt;&lt;Modelo de Dominio" xr:uid="{00000000-0004-0000-4900-000000000000}"/>
    <hyperlink ref="B1" location="'Objetos de dominio'!A1" display="&lt;&lt;&lt;Objetos de Dominio" xr:uid="{00000000-0004-0000-4900-000001000000}"/>
    <hyperlink ref="B3" location="'Objetos de dominio'!B6" display="Objeto de dominio que representa las unidades de medida que va a utilizar el sistema " xr:uid="{00000000-0004-0000-49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103">
    <outlinePr summaryBelow="0" summaryRight="0"/>
  </sheetPr>
  <dimension ref="A1:Z995"/>
  <sheetViews>
    <sheetView workbookViewId="0">
      <selection activeCell="B14" sqref="B14"/>
    </sheetView>
  </sheetViews>
  <sheetFormatPr baseColWidth="10" defaultColWidth="12.625" defaultRowHeight="15.8" customHeight="1"/>
  <cols>
    <col min="2" max="2" width="130.25" customWidth="1"/>
    <col min="3" max="3" width="18.125" customWidth="1"/>
    <col min="4" max="4" width="19.625" customWidth="1"/>
    <col min="6" max="6" width="130.25" customWidth="1"/>
  </cols>
  <sheetData>
    <row r="1" spans="1:26" ht="12.9">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3.6">
      <c r="A2" s="54" t="s">
        <v>233</v>
      </c>
      <c r="B2" s="1112" t="s">
        <v>28</v>
      </c>
      <c r="C2" s="1033"/>
      <c r="E2" s="73"/>
      <c r="F2" s="73"/>
      <c r="G2" s="73"/>
      <c r="H2" s="73"/>
      <c r="I2" s="73"/>
      <c r="J2" s="73"/>
      <c r="K2" s="73"/>
      <c r="L2" s="73"/>
      <c r="M2" s="73"/>
      <c r="N2" s="73"/>
      <c r="O2" s="73"/>
      <c r="P2" s="73"/>
      <c r="Q2" s="73"/>
      <c r="R2" s="73"/>
      <c r="S2" s="73"/>
      <c r="T2" s="73"/>
      <c r="U2" s="73"/>
      <c r="V2" s="73"/>
      <c r="W2" s="73"/>
      <c r="X2" s="73"/>
      <c r="Y2" s="73"/>
      <c r="Z2" s="73"/>
    </row>
    <row r="3" spans="1:26" ht="13.6">
      <c r="A3" s="54" t="s">
        <v>21</v>
      </c>
      <c r="B3" s="1111" t="str">
        <f>'C-UnidadMedida'!B3</f>
        <v>Es la unidad con la que se mide cada ingrediente o producto, por ejemplo kilos, litros o unidades.</v>
      </c>
      <c r="C3" s="1033"/>
      <c r="E3" s="73"/>
      <c r="F3" s="73"/>
      <c r="G3" s="73"/>
      <c r="H3" s="73"/>
      <c r="I3" s="73"/>
      <c r="J3" s="73"/>
      <c r="K3" s="73"/>
      <c r="L3" s="73"/>
      <c r="M3" s="73"/>
      <c r="N3" s="73"/>
      <c r="O3" s="73"/>
      <c r="P3" s="73"/>
      <c r="Q3" s="73"/>
      <c r="R3" s="73"/>
      <c r="S3" s="73"/>
      <c r="T3" s="73"/>
      <c r="U3" s="73"/>
      <c r="V3" s="73"/>
      <c r="W3" s="73"/>
      <c r="X3" s="73"/>
      <c r="Y3" s="73"/>
      <c r="Z3" s="73"/>
    </row>
    <row r="4" spans="1:26" ht="13.6">
      <c r="A4" s="55" t="s">
        <v>234</v>
      </c>
      <c r="B4" s="55" t="s">
        <v>235</v>
      </c>
      <c r="C4" s="55" t="s">
        <v>236</v>
      </c>
      <c r="D4" s="55" t="s">
        <v>237</v>
      </c>
      <c r="E4" s="73"/>
      <c r="F4" s="73"/>
      <c r="G4" s="73"/>
      <c r="H4" s="73"/>
      <c r="I4" s="73"/>
      <c r="J4" s="73"/>
      <c r="K4" s="73"/>
      <c r="L4" s="73"/>
      <c r="M4" s="73"/>
      <c r="N4" s="73"/>
      <c r="O4" s="73"/>
      <c r="P4" s="73"/>
      <c r="Q4" s="73"/>
      <c r="R4" s="73"/>
      <c r="S4" s="73"/>
      <c r="T4" s="73"/>
      <c r="U4" s="73"/>
      <c r="V4" s="73"/>
      <c r="W4" s="73"/>
      <c r="X4" s="73"/>
      <c r="Y4" s="73"/>
      <c r="Z4" s="73"/>
    </row>
    <row r="5" spans="1:26" ht="25.85">
      <c r="A5" s="114" t="s">
        <v>1032</v>
      </c>
      <c r="B5" s="298" t="s">
        <v>1347</v>
      </c>
      <c r="C5" s="114" t="s">
        <v>28</v>
      </c>
      <c r="D5" s="114"/>
      <c r="I5" s="73"/>
      <c r="J5" s="73"/>
      <c r="K5" s="73"/>
      <c r="L5" s="73"/>
      <c r="M5" s="73"/>
      <c r="N5" s="73"/>
      <c r="O5" s="73"/>
      <c r="P5" s="73"/>
      <c r="Q5" s="73"/>
      <c r="R5" s="73"/>
      <c r="S5" s="73"/>
      <c r="T5" s="73"/>
      <c r="U5" s="73"/>
      <c r="V5" s="73"/>
      <c r="W5" s="73"/>
      <c r="X5" s="73"/>
      <c r="Y5" s="73"/>
      <c r="Z5" s="73"/>
    </row>
    <row r="6" spans="1:26" ht="12.9">
      <c r="A6" s="114" t="s">
        <v>1033</v>
      </c>
      <c r="B6" s="202" t="s">
        <v>1034</v>
      </c>
      <c r="C6" s="114" t="s">
        <v>28</v>
      </c>
      <c r="D6" s="298"/>
      <c r="E6" s="73"/>
      <c r="F6" s="73"/>
      <c r="G6" s="73"/>
      <c r="H6" s="73"/>
      <c r="I6" s="73"/>
      <c r="J6" s="73"/>
      <c r="K6" s="73"/>
      <c r="L6" s="73"/>
      <c r="M6" s="73"/>
      <c r="N6" s="73"/>
      <c r="O6" s="73"/>
      <c r="P6" s="73"/>
      <c r="Q6" s="73"/>
      <c r="R6" s="73"/>
      <c r="S6" s="73"/>
      <c r="T6" s="73"/>
      <c r="U6" s="73"/>
      <c r="V6" s="73"/>
      <c r="W6" s="73"/>
      <c r="X6" s="73"/>
      <c r="Y6" s="73"/>
      <c r="Z6" s="73"/>
    </row>
    <row r="7" spans="1:26" ht="12.9">
      <c r="A7" s="114" t="s">
        <v>1035</v>
      </c>
      <c r="B7" s="114" t="s">
        <v>1036</v>
      </c>
      <c r="C7" s="114" t="s">
        <v>28</v>
      </c>
      <c r="D7" s="114"/>
      <c r="I7" s="73"/>
      <c r="J7" s="73"/>
      <c r="K7" s="73"/>
      <c r="L7" s="73"/>
      <c r="M7" s="73"/>
      <c r="N7" s="73"/>
      <c r="O7" s="73"/>
      <c r="P7" s="73"/>
      <c r="Q7" s="73"/>
      <c r="R7" s="73"/>
      <c r="S7" s="73"/>
      <c r="T7" s="73"/>
      <c r="U7" s="73"/>
      <c r="V7" s="73"/>
      <c r="W7" s="73"/>
      <c r="X7" s="73"/>
      <c r="Y7" s="73"/>
      <c r="Z7" s="73"/>
    </row>
    <row r="8" spans="1:26" ht="12.9">
      <c r="A8" s="114" t="s">
        <v>1037</v>
      </c>
      <c r="B8" s="114" t="s">
        <v>1348</v>
      </c>
      <c r="C8" s="114" t="s">
        <v>28</v>
      </c>
      <c r="D8" s="134"/>
      <c r="I8" s="73"/>
      <c r="J8" s="73"/>
      <c r="K8" s="73"/>
      <c r="L8" s="73"/>
      <c r="M8" s="73"/>
      <c r="N8" s="73"/>
      <c r="O8" s="73"/>
      <c r="P8" s="73"/>
      <c r="Q8" s="73"/>
      <c r="R8" s="73"/>
      <c r="S8" s="73"/>
      <c r="T8" s="73"/>
      <c r="U8" s="73"/>
      <c r="V8" s="73"/>
      <c r="W8" s="73"/>
      <c r="X8" s="73"/>
      <c r="Y8" s="73"/>
      <c r="Z8" s="73"/>
    </row>
    <row r="9" spans="1:26" ht="25.85">
      <c r="A9" s="114" t="s">
        <v>1038</v>
      </c>
      <c r="B9" s="298" t="s">
        <v>1349</v>
      </c>
      <c r="C9" s="298" t="s">
        <v>28</v>
      </c>
      <c r="D9" s="123"/>
      <c r="E9" s="73"/>
      <c r="F9" s="73"/>
      <c r="G9" s="73"/>
      <c r="H9" s="73"/>
      <c r="I9" s="73"/>
      <c r="J9" s="73"/>
      <c r="K9" s="73"/>
      <c r="L9" s="73"/>
      <c r="M9" s="73"/>
      <c r="N9" s="73"/>
      <c r="O9" s="73"/>
      <c r="P9" s="73"/>
      <c r="Q9" s="73"/>
      <c r="R9" s="73"/>
      <c r="S9" s="73"/>
      <c r="T9" s="73"/>
      <c r="U9" s="73"/>
      <c r="V9" s="73"/>
      <c r="W9" s="73"/>
      <c r="X9" s="73"/>
      <c r="Y9" s="73"/>
      <c r="Z9" s="73"/>
    </row>
    <row r="10" spans="1:26" ht="12.9">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2.9">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ht="12.9">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ht="12.9">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ht="12.9">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2.9">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ht="12.9">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2.9">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2.9">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2.9">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2.9">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2.9">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2.9">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2.9">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2.9">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2.9">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2.9">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2.9">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2.9">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2.9">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2.9">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2.9">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2.9">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2.9">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2.9">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2.9">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2.9">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2.9">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2.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2.9">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2.9">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2.9">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2.9">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2.9">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2.9">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2.9">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2.9">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2.9">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2.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2.9">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2.9">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2.9">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2.9">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2.9">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2.9">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2.9">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2.9">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2.9">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2.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2.9">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2.9">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2.9">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2.9">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2.9">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2.9">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2.9">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2.9">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2.9">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2.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2.9">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2.9">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2.9">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2.9">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2.9">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2.9">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2.9">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2.9">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2.9">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2.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2.9">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2.9">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2.9">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2.9">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2.9">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2.9">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2.9">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2.9">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2.9">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2.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2.9">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2.9">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2.9">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2.9">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2.9">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2.9">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2.9">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2.9">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2.9">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2.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2.9">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2.9">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2.9">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2.9">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2.9">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2.9">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2.9">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2.9">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2.9">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2.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2.9">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2.9">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2.9">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2.9">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2.9">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2.9">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2.9">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2.9">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2.9">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2.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2.9">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2.9">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2.9">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2.9">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2.9">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2.9">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2.9">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2.9">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2.9">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2.9">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2.9">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2.9">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2.9">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2.9">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2.9">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2.9">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2.9">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2.9">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2.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2.9">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2.9">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2.9">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2.9">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2.9">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2.9">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2.9">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2.9">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2.9">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2.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2.9">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2.9">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2.9">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2.9">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2.9">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2.9">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2.9">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2.9">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2.9">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2.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2.9">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2.9">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2.9">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2.9">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2.9">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2.9">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2.9">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2.9">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2.9">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2.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2.9">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2.9">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2.9">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2.9">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2.9">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2.9">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2.9">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2.9">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2.9">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2.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2.9">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2.9">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2.9">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2.9">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2.9">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2.9">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2.9">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2.9">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2.9">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2.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2.9">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2.9">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2.9">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2.9">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2.9">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2.9">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2.9">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2.9">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2.9">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2.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2.9">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2.9">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2.9">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2.9">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2.9">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2.9">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2.9">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2.9">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2.9">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2.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2.9">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2.9">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2.9">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2.9">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2.9">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2.9">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2.9">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2.9">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2.9">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2.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2.9">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2.9">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2.9">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2.9">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2.9">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2.9">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2.9">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2.9">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2.9">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2.9">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2.9">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2.9">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2.9">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2.9">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2.9">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2.9">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2.9">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2.9">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2.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2.9">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2.9">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2.9">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2.9">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2.9">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2.9">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2.9">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2.9">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2.9">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2.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2.9">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2.9">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2.9">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2.9">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2.9">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2.9">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2.9">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2.9">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2.9">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2.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2.9">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2.9">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2.9">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2.9">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2.9">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2.9">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2.9">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2.9">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2.9">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2.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2.9">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2.9">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2.9">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2.9">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2.9">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2.9">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2.9">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2.9">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2.9">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2.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2.9">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2.9">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2.9">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2.9">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2.9">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2.9">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2.9">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2.9">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2.9">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2.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2.9">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2.9">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2.9">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2.9">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2.9">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2.9">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2.9">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2.9">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2.9">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2.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2.9">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2.9">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2.9">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2.9">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2.9">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2.9">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2.9">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2.9">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2.9">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2.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2.9">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2.9">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2.9">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2.9">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2.9">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2.9">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2.9">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2.9">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2.9">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2.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2.9">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2.9">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2.9">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2.9">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2.9">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2.9">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2.9">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2.9">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2.9">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2.9">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2.9">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2.9">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2.9">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2.9">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2.9">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2.9">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2.9">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2.9">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2.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2.9">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2.9">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2.9">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2.9">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2.9">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2.9">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2.9">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2.9">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2.9">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2.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2.9">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2.9">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2.9">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2.9">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2.9">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2.9">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2.9">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2.9">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2.9">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2.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2.9">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2.9">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2.9">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2.9">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2.9">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2.9">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2.9">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2.9">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2.9">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2.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2.9">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2.9">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2.9">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2.9">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2.9">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2.9">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2.9">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2.9">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2.9">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2.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2.9">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2.9">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2.9">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2.9">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2.9">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2.9">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2.9">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2.9">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2.9">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2.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2.9">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2.9">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2.9">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2.9">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2.9">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2.9">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2.9">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2.9">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2.9">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2.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2.9">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2.9">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2.9">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2.9">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2.9">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2.9">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2.9">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2.9">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2.9">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2.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2.9">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2.9">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2.9">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2.9">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2.9">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2.9">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2.9">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2.9">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2.9">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2.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2.9">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2.9">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2.9">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2.9">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2.9">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2.9">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2.9">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2.9">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2.9">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2.9">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2.9">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2.9">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2.9">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2.9">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2.9">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2.9">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2.9">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2.9">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2.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2.9">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2.9">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2.9">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2.9">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2.9">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2.9">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2.9">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2.9">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2.9">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2.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2.9">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2.9">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2.9">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2.9">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2.9">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2.9">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2.9">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2.9">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2.9">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2.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2.9">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2.9">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2.9">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2.9">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2.9">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2.9">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2.9">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2.9">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2.9">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2.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2.9">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2.9">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2.9">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2.9">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2.9">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2.9">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2.9">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2.9">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2.9">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2.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2.9">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2.9">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2.9">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2.9">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2.9">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2.9">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2.9">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2.9">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2.9">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2.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2.9">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2.9">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2.9">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2.9">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2.9">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2.9">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2.9">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2.9">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2.9">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2.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2.9">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2.9">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2.9">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2.9">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2.9">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2.9">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2.9">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2.9">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2.9">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2.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2.9">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2.9">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2.9">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2.9">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2.9">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2.9">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2.9">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2.9">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2.9">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2.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2.9">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2.9">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2.9">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2.9">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2.9">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2.9">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2.9">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2.9">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2.9">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2.9">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2.9">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2.9">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2.9">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2.9">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2.9">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2.9">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2.9">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2.9">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2.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2.9">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2.9">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2.9">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2.9">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2.9">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2.9">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2.9">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2.9">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2.9">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2.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2.9">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2.9">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2.9">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2.9">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2.9">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2.9">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2.9">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2.9">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2.9">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2.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2.9">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2.9">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2.9">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2.9">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2.9">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2.9">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2.9">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2.9">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2.9">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2.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2.9">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2.9">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2.9">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2.9">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2.9">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2.9">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2.9">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2.9">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2.9">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2.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2.9">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2.9">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2.9">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2.9">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2.9">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2.9">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2.9">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2.9">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2.9">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2.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2.9">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2.9">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2.9">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2.9">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2.9">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2.9">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2.9">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2.9">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2.9">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2.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2.9">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2.9">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2.9">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2.9">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2.9">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2.9">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2.9">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2.9">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2.9">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2.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2.9">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2.9">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2.9">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2.9">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2.9">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2.9">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2.9">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2.9">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2.9">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2.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2.9">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2.9">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2.9">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2.9">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2.9">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2.9">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2.9">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2.9">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2.9">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2.9">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2.9">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2.9">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2.9">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2.9">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2.9">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2.9">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2.9">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2.9">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2.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2.9">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2.9">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2.9">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2.9">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2.9">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2.9">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2.9">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2.9">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2.9">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2.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2.9">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2.9">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2.9">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2.9">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2.9">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2.9">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2.9">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2.9">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2.9">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2.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2.9">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2.9">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2.9">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2.9">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2.9">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2.9">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2.9">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2.9">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2.9">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2.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2.9">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2.9">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2.9">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2.9">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2.9">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2.9">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2.9">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2.9">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2.9">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2.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2.9">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2.9">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2.9">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2.9">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2.9">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2.9">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2.9">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2.9">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2.9">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2.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2.9">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2.9">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2.9">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2.9">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2.9">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2.9">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2.9">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2.9">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2.9">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2.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2.9">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2.9">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2.9">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2.9">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2.9">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2.9">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2.9">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2.9">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2.9">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2.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2.9">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2.9">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2.9">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2.9">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2.9">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2.9">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2.9">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2.9">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2.9">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2.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2.9">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2.9">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2.9">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2.9">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2.9">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2.9">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2.9">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2.9">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2.9">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2.9">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2.9">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2.9">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2.9">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2.9">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2.9">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2.9">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2.9">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2.9">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2.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2.9">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2.9">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2.9">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2.9">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2.9">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2.9">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2.9">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2.9">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2.9">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2.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2.9">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2.9">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2.9">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2.9">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2.9">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2.9">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2.9">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2.9">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2.9">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2.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2.9">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2.9">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2.9">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2.9">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2.9">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2.9">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2.9">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2.9">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2.9">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2.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2.9">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2.9">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2.9">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2.9">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2.9">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2.9">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2.9">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2.9">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2.9">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2.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2.9">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2.9">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2.9">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2.9">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2.9">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2.9">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2.9">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2.9">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2.9">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2.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2.9">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2.9">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2.9">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2.9">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2.9">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2.9">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2.9">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2.9">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2.9">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2.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2.9">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2.9">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2.9">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2.9">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2.9">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2.9">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2.9">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2.9">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2.9">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2.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2.9">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2.9">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2.9">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2.9">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2.9">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2.9">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2.9">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2.9">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2.9">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2.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2.9">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2.9">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2.9">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2.9">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2.9">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2.9">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2.9">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2.9">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2.9">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2.9">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2.9">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2.9">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2.9">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2.9">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2.9">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2.9">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2.9">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2.9">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2.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2.9">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2.9">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2.9">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2.9">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2.9">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2.9">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2.9">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2.9">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2.9">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2.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2.9">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2.9">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2.9">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2.9">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2.9">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2.9">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2.9">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2.9">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2.9">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2.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2.9">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2.9">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2.9">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2.9">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2.9">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2.9">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2.9">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2.9">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2.9">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2.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2.9">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2.9">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2.9">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2.9">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2.9">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2.9">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2.9">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2.9">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2.9">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2.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2.9">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2.9">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2.9">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2.9">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2.9">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2.9">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2.9">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2.9">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2.9">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2.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2.9">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2.9">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2.9">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2.9">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2.9">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2.9">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2.9">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2.9">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2.9">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2.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2.9">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2.9">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2.9">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2.9">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2.9">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2.9">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2.9">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2.9">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2.9">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2.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2.9">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2.9">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2.9">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2.9">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2.9">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2.9">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2.9">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2.9">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2.9">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2.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2.9">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2.9">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2.9">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2.9">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2.9">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2.9">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2.9">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2.9">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2.9">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2.9">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2.9">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2.9">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2.9">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2.9">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2.9">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2.9">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2.9">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2.9">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2.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2.9">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2.9">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2.9">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2.9">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2.9">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2.9">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2.9">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2.9">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2.9">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2.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2.9">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2.9">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2.9">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2.9">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2.9">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2.9">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2.9">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2.9">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2.9">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2.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2.9">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2.9">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2.9">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2.9">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2.9">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2.9">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2.9">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2.9">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2.9">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2.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2.9">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2.9">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2.9">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2.9">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2.9">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2.9">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2.9">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2.9">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2.9">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2.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2.9">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2.9">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2.9">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2.9">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2.9">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2.9">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2.9">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2.9">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2.9">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2.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2.9">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2.9">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2.9">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2.9">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2.9">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3.6">
      <c r="A995" s="73"/>
      <c r="B995" s="73"/>
      <c r="C995" s="73"/>
      <c r="D995" s="27"/>
      <c r="E995" s="73"/>
      <c r="F995" s="73"/>
      <c r="G995" s="73"/>
      <c r="H995" s="73"/>
      <c r="I995" s="73"/>
      <c r="J995" s="73"/>
      <c r="K995" s="73"/>
      <c r="L995" s="73"/>
      <c r="M995" s="73"/>
      <c r="N995" s="73"/>
      <c r="O995" s="73"/>
      <c r="P995" s="73"/>
      <c r="Q995" s="73"/>
      <c r="R995" s="73"/>
      <c r="S995" s="73"/>
      <c r="T995" s="73"/>
      <c r="U995" s="73"/>
      <c r="V995" s="73"/>
      <c r="W995" s="73"/>
      <c r="X995" s="73"/>
      <c r="Y995" s="73"/>
      <c r="Z995" s="73"/>
    </row>
  </sheetData>
  <mergeCells count="2">
    <mergeCell ref="B3:C3"/>
    <mergeCell ref="B2:C2"/>
  </mergeCells>
  <hyperlinks>
    <hyperlink ref="A1" location="'Modelo de dominio'!A1" display="&lt;&lt;&lt;Modelo de Dominio" xr:uid="{00000000-0004-0000-4A00-000000000000}"/>
    <hyperlink ref="B1" location="'Objetos de dominio'!A1" display="&lt;&lt;&lt;Objetos de Dominio" xr:uid="{00000000-0004-0000-4A00-000001000000}"/>
    <hyperlink ref="B3" location="'Objetos de dominio'!B6" display="Objeto de dominio que representa las unidades de medida que va a utilizar el sistema " xr:uid="{00000000-0004-0000-4A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10"/>
  <sheetViews>
    <sheetView workbookViewId="0">
      <selection activeCell="B1" sqref="B1"/>
    </sheetView>
  </sheetViews>
  <sheetFormatPr baseColWidth="10" defaultRowHeight="12.9"/>
  <cols>
    <col min="1" max="1" width="16.75" customWidth="1"/>
    <col min="2" max="2" width="23.75" customWidth="1"/>
  </cols>
  <sheetData>
    <row r="1" spans="1:2">
      <c r="A1" s="76" t="s">
        <v>0</v>
      </c>
      <c r="B1" s="132" t="s">
        <v>1</v>
      </c>
    </row>
    <row r="2" spans="1:2" ht="25.5" customHeight="1">
      <c r="A2" s="103" t="s">
        <v>960</v>
      </c>
      <c r="B2" s="103" t="s">
        <v>961</v>
      </c>
    </row>
    <row r="3" spans="1:2">
      <c r="A3" s="1114" t="s">
        <v>8</v>
      </c>
      <c r="B3" s="1113" t="s">
        <v>742</v>
      </c>
    </row>
    <row r="4" spans="1:2">
      <c r="A4" s="1090"/>
      <c r="B4" s="1086"/>
    </row>
    <row r="5" spans="1:2">
      <c r="A5" s="1115"/>
      <c r="B5" s="1044"/>
    </row>
    <row r="6" spans="1:2">
      <c r="A6" s="102" t="s">
        <v>14</v>
      </c>
      <c r="B6" s="102" t="s">
        <v>15</v>
      </c>
    </row>
    <row r="7" spans="1:2">
      <c r="A7" s="234" t="s">
        <v>16</v>
      </c>
      <c r="B7" s="369" t="s">
        <v>20</v>
      </c>
    </row>
    <row r="8" spans="1:2">
      <c r="A8" s="287">
        <v>1</v>
      </c>
      <c r="B8" s="562" t="s">
        <v>962</v>
      </c>
    </row>
    <row r="9" spans="1:2">
      <c r="A9" s="287">
        <v>2</v>
      </c>
      <c r="B9" s="562" t="s">
        <v>963</v>
      </c>
    </row>
    <row r="10" spans="1:2">
      <c r="A10" s="287">
        <v>3</v>
      </c>
      <c r="B10" s="562" t="s">
        <v>964</v>
      </c>
    </row>
  </sheetData>
  <mergeCells count="2">
    <mergeCell ref="B3:B5"/>
    <mergeCell ref="A3:A5"/>
  </mergeCells>
  <hyperlinks>
    <hyperlink ref="A1" location="'Modelo de dominio'!A1" display="&lt;&lt;&lt;Modelo de Dominio" xr:uid="{00000000-0004-0000-4300-000000000000}"/>
    <hyperlink ref="B1" location="'Objetos de dominio'!A1" display="&lt;&lt;&lt;Objetos de Dominio" xr:uid="{00000000-0004-0000-43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Z24"/>
  <sheetViews>
    <sheetView topLeftCell="O1" zoomScale="77" workbookViewId="0">
      <selection activeCell="J18" sqref="J18"/>
    </sheetView>
  </sheetViews>
  <sheetFormatPr baseColWidth="10" defaultRowHeight="12.9"/>
  <cols>
    <col min="2" max="2" width="110.37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7" bestFit="1" customWidth="1"/>
    <col min="10" max="10" width="23.25" bestFit="1" customWidth="1"/>
    <col min="11" max="11" width="21.75" bestFit="1" customWidth="1"/>
    <col min="12" max="12" width="18.75" bestFit="1" customWidth="1"/>
    <col min="13" max="13" width="94.75" bestFit="1" customWidth="1"/>
    <col min="16" max="16" width="27.125" customWidth="1"/>
    <col min="22" max="26" width="36.625" customWidth="1"/>
  </cols>
  <sheetData>
    <row r="1" spans="1:26" ht="18.7" customHeight="1">
      <c r="A1" s="76" t="s">
        <v>0</v>
      </c>
      <c r="B1" s="132" t="s">
        <v>1</v>
      </c>
      <c r="C1" s="25"/>
      <c r="D1" s="25"/>
      <c r="E1" s="25"/>
      <c r="F1" s="25"/>
      <c r="G1" s="25"/>
      <c r="H1" s="25"/>
      <c r="I1" s="25"/>
      <c r="J1" s="25"/>
      <c r="K1" s="25"/>
      <c r="L1" s="25"/>
      <c r="M1" s="25"/>
      <c r="N1" s="25"/>
      <c r="O1" s="25"/>
      <c r="P1" s="25"/>
      <c r="Q1" s="25"/>
      <c r="R1" s="25"/>
      <c r="S1" s="25"/>
      <c r="T1" s="25"/>
      <c r="U1" s="25"/>
    </row>
    <row r="2" spans="1:26" ht="14.95" customHeight="1">
      <c r="A2" s="7" t="s">
        <v>20</v>
      </c>
      <c r="B2" s="545" t="s">
        <v>30</v>
      </c>
    </row>
    <row r="3" spans="1:26" ht="14.95" customHeight="1">
      <c r="A3" s="7" t="s">
        <v>79</v>
      </c>
      <c r="B3" s="546" t="str">
        <f>HYPERLINK("#'Objetos de dominio'!B5", 'Objetos de dominio'!B5)</f>
        <v>Indica en qué categoría entra cada producto que vende la pizzería, por ejemplo si es una pizza, una bebida o una adición.</v>
      </c>
    </row>
    <row r="4" spans="1:26" ht="14.95"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HYPERLINK("#'C-TipoProducto'!A18", 'C-TipoProducto'!A18)</f>
        <v>Consultar tipos de producto disponibles</v>
      </c>
      <c r="W4" s="564" t="str">
        <f>HYPERLINK("#'C-TipoProducto'!A19", 'C-TipoProducto'!A19)</f>
        <v>Registrar tipo de producto</v>
      </c>
      <c r="X4" s="570" t="str">
        <f>HYPERLINK("#'C-TipoProducto'!A21", 'C-TipoProducto'!A21)</f>
        <v>Actualizar tipo de producto</v>
      </c>
      <c r="Y4" s="570"/>
      <c r="Z4" s="519" t="str">
        <f>HYPERLINK("#'C-TipoProducto'!A23", 'C-TipoProducto'!A23)</f>
        <v>Eliminar tipo de producto</v>
      </c>
    </row>
    <row r="5" spans="1:26" ht="14.3" customHeight="1">
      <c r="A5" s="135" t="str">
        <f>HYPERLINK("#'M-TipoProducto'!A7", 'M-TipoProducto'!A7)</f>
        <v>Id</v>
      </c>
      <c r="B5" s="135" t="str">
        <f>HYPERLINK("#'M-TipoProducto'!A2", 'M-TipoProducto'!A2)</f>
        <v>Representa el identificador unico de cada producto</v>
      </c>
      <c r="C5" s="9" t="s">
        <v>15</v>
      </c>
      <c r="D5" s="9" t="s">
        <v>485</v>
      </c>
      <c r="E5" s="9" t="s">
        <v>15</v>
      </c>
      <c r="F5" s="9"/>
      <c r="G5" s="9"/>
      <c r="H5" s="9"/>
      <c r="I5" s="9"/>
      <c r="J5" s="9"/>
      <c r="K5" s="9"/>
      <c r="L5" s="9"/>
      <c r="M5" s="9"/>
      <c r="N5" s="9" t="s">
        <v>100</v>
      </c>
      <c r="O5" s="9" t="s">
        <v>100</v>
      </c>
      <c r="P5" s="9"/>
      <c r="Q5" s="9" t="s">
        <v>100</v>
      </c>
      <c r="R5" s="9" t="s">
        <v>100</v>
      </c>
      <c r="S5" s="9" t="s">
        <v>100</v>
      </c>
      <c r="T5" s="9"/>
      <c r="U5" s="112" t="s">
        <v>15</v>
      </c>
      <c r="V5" s="582" t="s">
        <v>274</v>
      </c>
      <c r="W5" s="564" t="s">
        <v>276</v>
      </c>
      <c r="X5" s="570" t="s">
        <v>101</v>
      </c>
      <c r="Y5" s="570" t="s">
        <v>273</v>
      </c>
      <c r="Z5" s="519" t="s">
        <v>101</v>
      </c>
    </row>
    <row r="6" spans="1:26" ht="14.3" customHeight="1">
      <c r="A6" s="135" t="str">
        <f>HYPERLINK("#'M-TipoProducto'!B7", 'M-TipoProducto'!B7)</f>
        <v>Nombre</v>
      </c>
      <c r="B6" s="135" t="str">
        <f>HYPERLINK("#'M-TipoProducto'!B2", 'M-TipoProducto'!B2)</f>
        <v>Nombre del tipo de producto (Pizza, Bebida o Adicion)</v>
      </c>
      <c r="C6" s="9" t="s">
        <v>100</v>
      </c>
      <c r="D6" s="9" t="s">
        <v>280</v>
      </c>
      <c r="E6" s="9" t="s">
        <v>15</v>
      </c>
      <c r="F6" s="11">
        <v>1</v>
      </c>
      <c r="G6" s="12">
        <v>20</v>
      </c>
      <c r="H6" s="13"/>
      <c r="I6" s="9"/>
      <c r="J6" s="13"/>
      <c r="K6" s="9"/>
      <c r="L6" s="9"/>
      <c r="M6" s="9" t="s">
        <v>965</v>
      </c>
      <c r="N6" s="9" t="s">
        <v>100</v>
      </c>
      <c r="O6" s="9" t="s">
        <v>100</v>
      </c>
      <c r="P6" s="9"/>
      <c r="Q6" s="13" t="s">
        <v>15</v>
      </c>
      <c r="R6" s="9" t="s">
        <v>15</v>
      </c>
      <c r="S6" s="9" t="s">
        <v>100</v>
      </c>
      <c r="T6" s="9"/>
      <c r="U6" s="112" t="s">
        <v>100</v>
      </c>
      <c r="V6" s="582" t="s">
        <v>278</v>
      </c>
      <c r="W6" s="564" t="s">
        <v>101</v>
      </c>
      <c r="X6" s="570" t="s">
        <v>101</v>
      </c>
      <c r="Y6" s="570" t="s">
        <v>277</v>
      </c>
      <c r="Z6" s="519" t="s">
        <v>276</v>
      </c>
    </row>
    <row r="7" spans="1:26" ht="14.3" customHeight="1">
      <c r="A7" s="154"/>
      <c r="B7" s="155"/>
      <c r="C7" s="155"/>
      <c r="D7" s="155"/>
      <c r="E7" s="155"/>
      <c r="F7" s="156"/>
      <c r="G7" s="157"/>
      <c r="H7" s="154"/>
      <c r="I7" s="155"/>
      <c r="J7" s="154"/>
      <c r="K7" s="155"/>
      <c r="L7" s="155"/>
      <c r="M7" s="155"/>
      <c r="N7" s="155"/>
      <c r="O7" s="155"/>
      <c r="P7" s="155"/>
      <c r="Q7" s="154"/>
      <c r="R7" s="155"/>
      <c r="S7" s="155"/>
      <c r="T7" s="155"/>
      <c r="U7" s="155"/>
    </row>
    <row r="11" spans="1:26" ht="14.95" customHeight="1">
      <c r="A11" s="16" t="s">
        <v>109</v>
      </c>
      <c r="B11" s="16" t="s">
        <v>79</v>
      </c>
      <c r="C11" s="16" t="s">
        <v>110</v>
      </c>
    </row>
    <row r="12" spans="1:26" ht="14.3" customHeight="1">
      <c r="A12" s="391" t="s">
        <v>111</v>
      </c>
      <c r="B12" s="390" t="s">
        <v>966</v>
      </c>
      <c r="C12" s="139" t="str">
        <f>HYPERLINK("#'C-TipoProducto'!A6", 'C-TipoProducto'!A6)</f>
        <v>Nombre</v>
      </c>
    </row>
    <row r="15" spans="1:26" ht="13.75" customHeight="1"/>
    <row r="16" spans="1:26" ht="14.95" customHeight="1">
      <c r="A16" s="1116" t="s">
        <v>113</v>
      </c>
      <c r="B16" s="1077"/>
      <c r="C16" s="1116" t="s">
        <v>79</v>
      </c>
      <c r="D16" s="1076"/>
      <c r="E16" s="1076"/>
      <c r="F16" s="1077"/>
      <c r="G16" s="1116" t="s">
        <v>114</v>
      </c>
      <c r="H16" s="1123"/>
      <c r="I16" s="1124"/>
      <c r="J16" s="1132" t="s">
        <v>115</v>
      </c>
      <c r="K16" s="1123"/>
      <c r="L16" s="1123"/>
      <c r="M16" s="1123"/>
      <c r="N16" s="1124"/>
      <c r="O16" s="1132" t="s">
        <v>116</v>
      </c>
      <c r="P16" s="1124"/>
      <c r="Q16" s="1132" t="s">
        <v>117</v>
      </c>
      <c r="R16" s="1124"/>
    </row>
    <row r="17" spans="1:22" ht="30.25" customHeight="1">
      <c r="A17" s="1078"/>
      <c r="B17" s="1080"/>
      <c r="C17" s="1078"/>
      <c r="D17" s="1079"/>
      <c r="E17" s="1079"/>
      <c r="F17" s="1080"/>
      <c r="G17" s="551" t="s">
        <v>118</v>
      </c>
      <c r="H17" s="551" t="s">
        <v>8</v>
      </c>
      <c r="I17" s="551" t="s">
        <v>79</v>
      </c>
      <c r="J17" s="691" t="s">
        <v>119</v>
      </c>
      <c r="K17" s="1132" t="s">
        <v>79</v>
      </c>
      <c r="L17" s="1123"/>
      <c r="M17" s="1123"/>
      <c r="N17" s="1124"/>
      <c r="O17" s="550" t="s">
        <v>120</v>
      </c>
      <c r="P17" s="550" t="s">
        <v>79</v>
      </c>
      <c r="Q17" s="550" t="s">
        <v>121</v>
      </c>
      <c r="R17" s="550" t="s">
        <v>122</v>
      </c>
    </row>
    <row r="18" spans="1:22" ht="76.75" customHeight="1">
      <c r="A18" s="1127" t="str">
        <f>HYPERLINK("#'C-TipoProducto'!V4", 'E-TipoProducto'!B7)</f>
        <v>Consultar tipos de producto disponibles</v>
      </c>
      <c r="B18" s="1124"/>
      <c r="C18" s="1122" t="str">
        <f>'E-TipoProducto'!C7</f>
        <v>Permite consultar los tipos de producto disponibles en el sistema para clasificar un producto.</v>
      </c>
      <c r="D18" s="1123"/>
      <c r="E18" s="1123"/>
      <c r="F18" s="1124"/>
      <c r="G18" s="607" t="s">
        <v>425</v>
      </c>
      <c r="H18" s="607" t="s">
        <v>299</v>
      </c>
      <c r="I18" s="694" t="s">
        <v>967</v>
      </c>
      <c r="J18" s="695" t="s">
        <v>968</v>
      </c>
      <c r="K18" s="1133" t="s">
        <v>969</v>
      </c>
      <c r="L18" s="1123"/>
      <c r="M18" s="1123"/>
      <c r="N18" s="1124"/>
      <c r="O18" s="776" t="str">
        <f>HYPERLINK("#'P-TipoProducto'!A5", 'P-TipoProducto'!A5)</f>
        <v>P-TP-001</v>
      </c>
      <c r="P18" s="512" t="str">
        <f>'P-TipoProducto'!B5</f>
        <v>Asegurar que el tipo de producto exista con el identificador indicado.</v>
      </c>
      <c r="Q18" s="512" t="s">
        <v>970</v>
      </c>
      <c r="R18" s="512" t="s">
        <v>971</v>
      </c>
    </row>
    <row r="19" spans="1:22" ht="76.75" customHeight="1">
      <c r="A19" s="1121" t="str">
        <f>HYPERLINK("#'E-TipoProducto'!B8", 'E-TipoProducto'!B8)</f>
        <v>Registrar tipo de producto</v>
      </c>
      <c r="B19" s="1077"/>
      <c r="C19" s="1131" t="str">
        <f>'E-TipoProducto'!C8</f>
        <v>Permite agregar un nuevo tipo de producto al catalogo, para cuando la pizzeria empiece a manejar una categoria de producto que no exista todavia.</v>
      </c>
      <c r="D19" s="1076"/>
      <c r="E19" s="1076"/>
      <c r="F19" s="1077"/>
      <c r="G19" s="1121" t="s">
        <v>20</v>
      </c>
      <c r="H19" s="1121" t="s">
        <v>280</v>
      </c>
      <c r="I19" s="1130" t="s">
        <v>972</v>
      </c>
      <c r="J19" s="1120" t="s">
        <v>30</v>
      </c>
      <c r="K19" s="1131" t="s">
        <v>973</v>
      </c>
      <c r="L19" s="1076"/>
      <c r="M19" s="1076"/>
      <c r="N19" s="1077"/>
      <c r="O19" s="777" t="str">
        <f>HYPERLINK("#'P-TipoProducto'!A6", 'P-TipoProducto'!A6)</f>
        <v>P-TP-002</v>
      </c>
      <c r="P19" s="514" t="str">
        <f>'P-TipoProducto'!B6</f>
        <v>Asegurar que los datos ingresados sean validos segun el tipo de dato, la obligatoriedad y el formato correspondiente.</v>
      </c>
      <c r="Q19" s="514" t="s">
        <v>917</v>
      </c>
      <c r="R19" s="514" t="s">
        <v>918</v>
      </c>
      <c r="S19" s="614"/>
      <c r="T19" s="614"/>
      <c r="U19" s="614"/>
      <c r="V19" s="614"/>
    </row>
    <row r="20" spans="1:22" ht="76.75" customHeight="1">
      <c r="A20" s="1078"/>
      <c r="B20" s="1080"/>
      <c r="C20" s="1078"/>
      <c r="D20" s="1079"/>
      <c r="E20" s="1079"/>
      <c r="F20" s="1080"/>
      <c r="G20" s="1089"/>
      <c r="H20" s="1089"/>
      <c r="I20" s="1089"/>
      <c r="J20" s="1089"/>
      <c r="K20" s="1078"/>
      <c r="L20" s="1079"/>
      <c r="M20" s="1079"/>
      <c r="N20" s="1080"/>
      <c r="O20" s="777" t="str">
        <f>HYPERLINK("#'P-TipoProducto'!A7", 'P-TipoProducto'!A7)</f>
        <v>P-TP-003</v>
      </c>
      <c r="P20" s="514" t="str">
        <f>'P-TipoProducto'!B7</f>
        <v>Asegurar que no exista otro tipo de producto con el mismo Nombre al registrarlo.</v>
      </c>
      <c r="Q20" s="514" t="s">
        <v>974</v>
      </c>
      <c r="R20" s="514" t="s">
        <v>975</v>
      </c>
      <c r="S20" s="614"/>
      <c r="T20" s="614"/>
      <c r="U20" s="614"/>
      <c r="V20" s="614"/>
    </row>
    <row r="21" spans="1:22" ht="76.75" customHeight="1">
      <c r="A21" s="1117" t="str">
        <f>HYPERLINK("#'E-TipoProducto'!B10", 'E-TipoProducto'!B10)</f>
        <v>Actualizar tipo de producto</v>
      </c>
      <c r="B21" s="1077"/>
      <c r="C21" s="1126" t="str">
        <f>'E-TipoProducto'!C10</f>
        <v>Permite modificar el nombre de un tipo de producto que ya existe.</v>
      </c>
      <c r="D21" s="1076"/>
      <c r="E21" s="1076"/>
      <c r="F21" s="1077"/>
      <c r="G21" s="1117" t="s">
        <v>16</v>
      </c>
      <c r="H21" s="1117" t="s">
        <v>299</v>
      </c>
      <c r="I21" s="1125" t="s">
        <v>976</v>
      </c>
      <c r="J21" s="1134" t="s">
        <v>30</v>
      </c>
      <c r="K21" s="1126" t="s">
        <v>977</v>
      </c>
      <c r="L21" s="1076"/>
      <c r="M21" s="1076"/>
      <c r="N21" s="1077"/>
      <c r="O21" s="767" t="str">
        <f>HYPERLINK("#'P-TipoProducto'!A8", 'P-TipoProducto'!A8)</f>
        <v>P-TP-004</v>
      </c>
      <c r="P21" s="598" t="str">
        <f>'P-TipoProducto'!B8</f>
        <v>Asegurar que el tipo de producto que se desea modificar se encuentre registrado en el sistema.</v>
      </c>
      <c r="Q21" s="598" t="s">
        <v>978</v>
      </c>
      <c r="R21" s="598" t="s">
        <v>979</v>
      </c>
      <c r="S21" s="614"/>
      <c r="T21" s="614"/>
      <c r="U21" s="614"/>
      <c r="V21" s="614"/>
    </row>
    <row r="22" spans="1:22" ht="76.75" customHeight="1">
      <c r="A22" s="1078"/>
      <c r="B22" s="1080"/>
      <c r="C22" s="1078"/>
      <c r="D22" s="1079"/>
      <c r="E22" s="1079"/>
      <c r="F22" s="1080"/>
      <c r="G22" s="1089"/>
      <c r="H22" s="1089"/>
      <c r="I22" s="1089"/>
      <c r="J22" s="1089"/>
      <c r="K22" s="1078"/>
      <c r="L22" s="1079"/>
      <c r="M22" s="1079"/>
      <c r="N22" s="1080"/>
      <c r="O22" s="767" t="str">
        <f>HYPERLINK("#'P-TipoProducto'!A6", 'P-TipoProducto'!A6)</f>
        <v>P-TP-002</v>
      </c>
      <c r="P22" s="598" t="str">
        <f>'P-TipoProducto'!B6</f>
        <v>Asegurar que los datos ingresados sean validos segun el tipo de dato, la obligatoriedad y el formato correspondiente.</v>
      </c>
      <c r="Q22" s="598" t="s">
        <v>925</v>
      </c>
      <c r="R22" s="598" t="s">
        <v>926</v>
      </c>
      <c r="S22" s="614"/>
      <c r="T22" s="614"/>
      <c r="U22" s="614"/>
      <c r="V22" s="614"/>
    </row>
    <row r="23" spans="1:22" ht="76.75" customHeight="1">
      <c r="A23" s="1118" t="str">
        <f>HYPERLINK("#'E-TipoProducto'!B12", 'E-TipoProducto'!B12)</f>
        <v>Eliminar tipo de producto</v>
      </c>
      <c r="B23" s="1077"/>
      <c r="C23" s="1128" t="str">
        <f>'E-TipoProducto'!C12</f>
        <v>Permite eliminar un tipo de producto que no tenga productos asociados que deban conservarse.</v>
      </c>
      <c r="D23" s="1076"/>
      <c r="E23" s="1076"/>
      <c r="F23" s="1077"/>
      <c r="G23" s="1118" t="s">
        <v>16</v>
      </c>
      <c r="H23" s="1118" t="s">
        <v>299</v>
      </c>
      <c r="I23" s="1129" t="s">
        <v>980</v>
      </c>
      <c r="J23" s="1119" t="s">
        <v>30</v>
      </c>
      <c r="K23" s="1128" t="s">
        <v>981</v>
      </c>
      <c r="L23" s="1076"/>
      <c r="M23" s="1076"/>
      <c r="N23" s="1077"/>
      <c r="O23" s="778" t="str">
        <f>HYPERLINK("#'P-TipoProducto'!A9", 'P-TipoProducto'!A9)</f>
        <v>P-TP-005</v>
      </c>
      <c r="P23" s="518" t="str">
        <f>'P-TipoProducto'!B9</f>
        <v>Asegurar que un tipo de producto no pueda eliminarse cuando tenga productos asociados que deban conservarse para mantener la trazabilidad.</v>
      </c>
      <c r="Q23" s="518" t="s">
        <v>982</v>
      </c>
      <c r="R23" s="518" t="s">
        <v>983</v>
      </c>
      <c r="S23" s="614"/>
      <c r="T23" s="614"/>
      <c r="U23" s="614"/>
      <c r="V23" s="614"/>
    </row>
    <row r="24" spans="1:22" ht="76.75" customHeight="1">
      <c r="A24" s="1078"/>
      <c r="B24" s="1080"/>
      <c r="C24" s="1078"/>
      <c r="D24" s="1079"/>
      <c r="E24" s="1079"/>
      <c r="F24" s="1080"/>
      <c r="G24" s="1089"/>
      <c r="H24" s="1089"/>
      <c r="I24" s="1089"/>
      <c r="J24" s="1089"/>
      <c r="K24" s="1078"/>
      <c r="L24" s="1079"/>
      <c r="M24" s="1079"/>
      <c r="N24" s="1080"/>
      <c r="O24" s="778" t="str">
        <f>HYPERLINK("#'P-TipoProducto'!A10", 'P-TipoProducto'!A10)</f>
        <v>P-TP-006</v>
      </c>
      <c r="P24" s="518" t="str">
        <f>'P-TipoProducto'!B10</f>
        <v>Asegurar que el tipo de producto que se desea eliminar exista con el identificador indicado.</v>
      </c>
      <c r="Q24" s="518" t="s">
        <v>978</v>
      </c>
      <c r="R24" s="518" t="s">
        <v>984</v>
      </c>
      <c r="S24" s="614"/>
      <c r="T24" s="614"/>
      <c r="U24" s="614"/>
      <c r="V24" s="614"/>
    </row>
  </sheetData>
  <mergeCells count="31">
    <mergeCell ref="I19:I20"/>
    <mergeCell ref="C19:F20"/>
    <mergeCell ref="Q16:R16"/>
    <mergeCell ref="G23:G24"/>
    <mergeCell ref="K17:N17"/>
    <mergeCell ref="K21:N22"/>
    <mergeCell ref="C16:F17"/>
    <mergeCell ref="H21:H22"/>
    <mergeCell ref="G16:I16"/>
    <mergeCell ref="O16:P16"/>
    <mergeCell ref="J16:N16"/>
    <mergeCell ref="K19:N20"/>
    <mergeCell ref="K18:N18"/>
    <mergeCell ref="K23:N24"/>
    <mergeCell ref="J21:J22"/>
    <mergeCell ref="A16:B17"/>
    <mergeCell ref="G21:G22"/>
    <mergeCell ref="H23:H24"/>
    <mergeCell ref="J23:J24"/>
    <mergeCell ref="J19:J20"/>
    <mergeCell ref="A21:B22"/>
    <mergeCell ref="G19:G20"/>
    <mergeCell ref="C18:F18"/>
    <mergeCell ref="A23:B24"/>
    <mergeCell ref="A19:B20"/>
    <mergeCell ref="I21:I22"/>
    <mergeCell ref="C21:F22"/>
    <mergeCell ref="A18:B18"/>
    <mergeCell ref="H19:H20"/>
    <mergeCell ref="C23:F24"/>
    <mergeCell ref="I23:I24"/>
  </mergeCells>
  <hyperlinks>
    <hyperlink ref="A1" location="'Modelo de dominio'!A1" display="&lt;&lt;&lt;Modelo de Dominio" xr:uid="{00000000-0004-0000-4400-000000000000}"/>
    <hyperlink ref="B1" location="'Objetos de dominio'!A1" display="&lt;&lt;&lt;Objetos de Dominio" xr:uid="{00000000-0004-0000-44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13"/>
  <sheetViews>
    <sheetView zoomScale="77" zoomScaleNormal="130" workbookViewId="0">
      <selection activeCell="C26" sqref="C26"/>
    </sheetView>
  </sheetViews>
  <sheetFormatPr baseColWidth="10" defaultRowHeight="12.9"/>
  <cols>
    <col min="1" max="1" width="17" bestFit="1" customWidth="1"/>
    <col min="2" max="2" width="22.25" bestFit="1" customWidth="1"/>
    <col min="3" max="3" width="69" bestFit="1" customWidth="1"/>
    <col min="4" max="4" width="26.375" bestFit="1" customWidth="1"/>
    <col min="5" max="5" width="16.875" bestFit="1" customWidth="1"/>
    <col min="6" max="6" width="10.375" bestFit="1" customWidth="1"/>
    <col min="7" max="7" width="17.375" bestFit="1" customWidth="1"/>
    <col min="8" max="8" width="13.75" bestFit="1" customWidth="1"/>
    <col min="9" max="9" width="23.625" bestFit="1" customWidth="1"/>
    <col min="10" max="10" width="19.875" bestFit="1" customWidth="1"/>
  </cols>
  <sheetData>
    <row r="1" spans="1:10" ht="18.7" customHeight="1">
      <c r="A1" s="49" t="s">
        <v>0</v>
      </c>
      <c r="B1" s="50" t="s">
        <v>1</v>
      </c>
      <c r="C1" s="73"/>
      <c r="D1" s="73"/>
      <c r="E1" s="73"/>
      <c r="F1" s="73"/>
      <c r="G1" s="73"/>
      <c r="H1" s="73"/>
      <c r="I1" s="73"/>
      <c r="J1" s="73"/>
    </row>
    <row r="2" spans="1:10" ht="13.75" customHeight="1">
      <c r="A2" s="333" t="s">
        <v>209</v>
      </c>
      <c r="B2" s="1135" t="s">
        <v>30</v>
      </c>
      <c r="C2" s="1123"/>
      <c r="D2" s="1123"/>
      <c r="E2" s="1123"/>
      <c r="F2" s="1123"/>
      <c r="G2" s="1123"/>
      <c r="H2" s="1123"/>
      <c r="I2" s="1123"/>
      <c r="J2" s="1124"/>
    </row>
    <row r="3" spans="1:10" ht="13.75" customHeight="1">
      <c r="A3" s="334" t="s">
        <v>210</v>
      </c>
      <c r="B3" s="1139" t="str">
        <f>'C-TipoProducto'!B3</f>
        <v>Indica en qué categoría entra cada producto que vende la pizzería, por ejemplo si es una pizza, una bebida o una adición.</v>
      </c>
      <c r="C3" s="1123"/>
      <c r="D3" s="1123"/>
      <c r="E3" s="1123"/>
      <c r="F3" s="1123"/>
      <c r="G3" s="1123"/>
      <c r="H3" s="1123"/>
      <c r="I3" s="1123"/>
      <c r="J3" s="1124"/>
    </row>
    <row r="4" spans="1:10" ht="13.75" customHeight="1">
      <c r="A4" s="355" t="s">
        <v>211</v>
      </c>
      <c r="B4" s="1140" t="s">
        <v>212</v>
      </c>
      <c r="C4" s="1080"/>
      <c r="D4" s="362" t="s">
        <v>213</v>
      </c>
      <c r="E4" s="1141" t="s">
        <v>214</v>
      </c>
      <c r="F4" s="1080"/>
      <c r="G4" s="363" t="s">
        <v>215</v>
      </c>
      <c r="H4" s="364" t="s">
        <v>216</v>
      </c>
      <c r="I4" s="365" t="s">
        <v>217</v>
      </c>
      <c r="J4" s="366" t="s">
        <v>218</v>
      </c>
    </row>
    <row r="5" spans="1:10" ht="13.75" customHeight="1">
      <c r="A5" s="355" t="s">
        <v>211</v>
      </c>
      <c r="B5" s="604" t="s">
        <v>219</v>
      </c>
      <c r="C5" s="604" t="s">
        <v>79</v>
      </c>
      <c r="D5" s="356" t="s">
        <v>220</v>
      </c>
      <c r="E5" s="1142" t="s">
        <v>221</v>
      </c>
      <c r="F5" s="1124"/>
      <c r="G5" s="357" t="s">
        <v>222</v>
      </c>
      <c r="H5" s="358" t="s">
        <v>223</v>
      </c>
      <c r="I5" s="359" t="s">
        <v>224</v>
      </c>
      <c r="J5" s="360" t="s">
        <v>225</v>
      </c>
    </row>
    <row r="6" spans="1:10" ht="13.75" customHeight="1">
      <c r="A6" s="559"/>
      <c r="B6" s="559"/>
      <c r="C6" s="559"/>
      <c r="D6" s="559"/>
      <c r="E6" s="603" t="s">
        <v>226</v>
      </c>
      <c r="F6" s="603" t="s">
        <v>79</v>
      </c>
      <c r="G6" s="357" t="s">
        <v>227</v>
      </c>
      <c r="H6" s="559"/>
      <c r="I6" s="559"/>
      <c r="J6" s="559"/>
    </row>
    <row r="7" spans="1:10" ht="25.5" customHeight="1">
      <c r="A7" s="567" t="s">
        <v>228</v>
      </c>
      <c r="B7" s="567" t="s">
        <v>985</v>
      </c>
      <c r="C7" s="567" t="s">
        <v>986</v>
      </c>
      <c r="D7" s="567" t="s">
        <v>30</v>
      </c>
      <c r="E7" s="567"/>
      <c r="F7" s="567"/>
      <c r="G7" s="779" t="str">
        <f>HYPERLINK("#'P-TipoProducto'!A5", "P-TP-001")</f>
        <v>P-TP-001</v>
      </c>
      <c r="H7" s="567"/>
      <c r="I7" s="567" t="s">
        <v>1357</v>
      </c>
      <c r="J7" s="567"/>
    </row>
    <row r="8" spans="1:10" ht="25.5" customHeight="1">
      <c r="A8" s="1137" t="s">
        <v>228</v>
      </c>
      <c r="B8" s="1137" t="s">
        <v>987</v>
      </c>
      <c r="C8" s="1137" t="s">
        <v>988</v>
      </c>
      <c r="D8" s="1137" t="s">
        <v>30</v>
      </c>
      <c r="E8" s="1137"/>
      <c r="F8" s="1137"/>
      <c r="G8" s="794" t="str">
        <f>HYPERLINK("#'P-TipoProducto'!A6", "P-TP-002")</f>
        <v>P-TP-002</v>
      </c>
      <c r="H8" s="1137"/>
      <c r="I8" s="1137" t="s">
        <v>989</v>
      </c>
      <c r="J8" s="1137"/>
    </row>
    <row r="9" spans="1:10" ht="25.5" customHeight="1">
      <c r="A9" s="1138"/>
      <c r="B9" s="1138"/>
      <c r="C9" s="1138"/>
      <c r="D9" s="1138"/>
      <c r="E9" s="1138"/>
      <c r="F9" s="1138"/>
      <c r="G9" s="794" t="str">
        <f>HYPERLINK("#'P-TipoProducto'!A7", "P-TP-003")</f>
        <v>P-TP-003</v>
      </c>
      <c r="H9" s="1138"/>
      <c r="I9" s="1138"/>
      <c r="J9" s="1138"/>
    </row>
    <row r="10" spans="1:10" ht="25.5" customHeight="1">
      <c r="A10" s="1136" t="s">
        <v>228</v>
      </c>
      <c r="B10" s="1136" t="s">
        <v>990</v>
      </c>
      <c r="C10" s="1136" t="s">
        <v>991</v>
      </c>
      <c r="D10" s="1136" t="s">
        <v>30</v>
      </c>
      <c r="E10" s="1136"/>
      <c r="F10" s="1136"/>
      <c r="G10" s="779" t="str">
        <f>HYPERLINK("#'P-TipoProducto'!A8", "P-TP-004")</f>
        <v>P-TP-004</v>
      </c>
      <c r="H10" s="1136"/>
      <c r="I10" s="1136" t="s">
        <v>992</v>
      </c>
      <c r="J10" s="1136"/>
    </row>
    <row r="11" spans="1:10" s="614" customFormat="1" ht="25.5" customHeight="1">
      <c r="A11" s="1089"/>
      <c r="B11" s="1089"/>
      <c r="C11" s="1089"/>
      <c r="D11" s="1089"/>
      <c r="E11" s="1089"/>
      <c r="F11" s="1089"/>
      <c r="G11" s="779" t="str">
        <f>HYPERLINK("#'P-TipoProducto'!A6", "P-TP-002")</f>
        <v>P-TP-002</v>
      </c>
      <c r="H11" s="1089"/>
      <c r="I11" s="1089"/>
      <c r="J11" s="1089"/>
    </row>
    <row r="12" spans="1:10" ht="25.5" customHeight="1">
      <c r="A12" s="1137" t="s">
        <v>228</v>
      </c>
      <c r="B12" s="1137" t="s">
        <v>993</v>
      </c>
      <c r="C12" s="1137" t="s">
        <v>994</v>
      </c>
      <c r="D12" s="1137" t="s">
        <v>30</v>
      </c>
      <c r="E12" s="1137"/>
      <c r="F12" s="1137"/>
      <c r="G12" s="794" t="str">
        <f>HYPERLINK("#'P-TipoProducto'!A9", "P-TP-005")</f>
        <v>P-TP-005</v>
      </c>
      <c r="H12" s="1137"/>
      <c r="I12" s="1137" t="s">
        <v>995</v>
      </c>
      <c r="J12" s="1137"/>
    </row>
    <row r="13" spans="1:10" ht="25.5" customHeight="1">
      <c r="A13" s="1138"/>
      <c r="B13" s="1138"/>
      <c r="C13" s="1138"/>
      <c r="D13" s="1138"/>
      <c r="E13" s="1138"/>
      <c r="F13" s="1138"/>
      <c r="G13" s="794" t="str">
        <f>HYPERLINK("#'P-TipoProducto'!A10", "P-TP-006")</f>
        <v>P-TP-006</v>
      </c>
      <c r="H13" s="1138"/>
      <c r="I13" s="1138"/>
      <c r="J13" s="1138"/>
    </row>
  </sheetData>
  <mergeCells count="32">
    <mergeCell ref="E5:F5"/>
    <mergeCell ref="B8:B9"/>
    <mergeCell ref="C10:C11"/>
    <mergeCell ref="E10:E11"/>
    <mergeCell ref="A8:A9"/>
    <mergeCell ref="C8:C9"/>
    <mergeCell ref="I8:I9"/>
    <mergeCell ref="H12:H13"/>
    <mergeCell ref="E8:E9"/>
    <mergeCell ref="B12:B13"/>
    <mergeCell ref="F12:F13"/>
    <mergeCell ref="F8:F9"/>
    <mergeCell ref="C12:C13"/>
    <mergeCell ref="I12:I13"/>
    <mergeCell ref="D12:D13"/>
    <mergeCell ref="B10:B11"/>
    <mergeCell ref="B2:J2"/>
    <mergeCell ref="J10:J11"/>
    <mergeCell ref="J12:J13"/>
    <mergeCell ref="D8:D9"/>
    <mergeCell ref="A10:A11"/>
    <mergeCell ref="I10:I11"/>
    <mergeCell ref="B3:J3"/>
    <mergeCell ref="D10:D11"/>
    <mergeCell ref="H8:H9"/>
    <mergeCell ref="B4:C4"/>
    <mergeCell ref="E12:E13"/>
    <mergeCell ref="J8:J9"/>
    <mergeCell ref="F10:F11"/>
    <mergeCell ref="H10:H11"/>
    <mergeCell ref="E4:F4"/>
    <mergeCell ref="A12:A13"/>
  </mergeCells>
  <hyperlinks>
    <hyperlink ref="A1" location="'Modelo de dominio'!A1" display="&lt;&lt;&lt;Modelo de Dominio" xr:uid="{00000000-0004-0000-4500-000000000000}"/>
    <hyperlink ref="B1" location="'Objetos de dominio'!A1" display="&lt;&lt;&lt;Objetos de Dominio" xr:uid="{00000000-0004-0000-4500-000001000000}"/>
    <hyperlink ref="B3" location="'Objetos de dominio'!B23" display="Objeto de dominio que representa la clasificacion de cada producto que ofrece la pizzeria, indicando si corresponde a una pizza, una bebida o una adicion." xr:uid="{00000000-0004-0000-45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10"/>
  <sheetViews>
    <sheetView workbookViewId="0">
      <selection activeCell="B1" sqref="B1"/>
    </sheetView>
  </sheetViews>
  <sheetFormatPr baseColWidth="10" defaultRowHeight="12.9"/>
  <cols>
    <col min="1" max="1" width="26.625" customWidth="1"/>
    <col min="2" max="2" width="68.25" customWidth="1"/>
    <col min="3" max="3" width="22.875" customWidth="1"/>
    <col min="4" max="4" width="22" customWidth="1"/>
  </cols>
  <sheetData>
    <row r="1" spans="1:4" ht="18.7" customHeight="1">
      <c r="A1" s="49" t="s">
        <v>0</v>
      </c>
      <c r="B1" s="50" t="s">
        <v>1</v>
      </c>
      <c r="C1" s="73"/>
      <c r="D1" s="73"/>
    </row>
    <row r="2" spans="1:4" ht="14.3" customHeight="1">
      <c r="A2" s="189" t="s">
        <v>233</v>
      </c>
      <c r="B2" s="1143" t="s">
        <v>30</v>
      </c>
      <c r="C2" s="1144"/>
      <c r="D2" s="540"/>
    </row>
    <row r="3" spans="1:4" ht="14.3" customHeight="1">
      <c r="A3" s="190" t="s">
        <v>21</v>
      </c>
      <c r="B3" s="1111" t="str">
        <f>'C-TipoProducto'!B3</f>
        <v>Indica en qué categoría entra cada producto que vende la pizzería, por ejemplo si es una pizza, una bebida o una adición.</v>
      </c>
      <c r="C3" s="1033"/>
      <c r="D3" s="541"/>
    </row>
    <row r="4" spans="1:4" ht="14.3" customHeight="1">
      <c r="A4" s="191" t="s">
        <v>234</v>
      </c>
      <c r="B4" s="55" t="s">
        <v>235</v>
      </c>
      <c r="C4" s="55" t="s">
        <v>236</v>
      </c>
      <c r="D4" s="192" t="s">
        <v>237</v>
      </c>
    </row>
    <row r="5" spans="1:4">
      <c r="A5" s="193" t="s">
        <v>996</v>
      </c>
      <c r="B5" s="114" t="s">
        <v>997</v>
      </c>
      <c r="C5" s="114" t="s">
        <v>30</v>
      </c>
      <c r="D5" s="194"/>
    </row>
    <row r="6" spans="1:4">
      <c r="A6" s="193" t="s">
        <v>998</v>
      </c>
      <c r="B6" s="441" t="s">
        <v>946</v>
      </c>
      <c r="C6" s="441" t="s">
        <v>30</v>
      </c>
      <c r="D6" s="194"/>
    </row>
    <row r="7" spans="1:4">
      <c r="A7" s="193" t="s">
        <v>999</v>
      </c>
      <c r="B7" s="441" t="s">
        <v>1000</v>
      </c>
      <c r="C7" s="441" t="s">
        <v>30</v>
      </c>
      <c r="D7" s="194"/>
    </row>
    <row r="8" spans="1:4">
      <c r="A8" s="193" t="s">
        <v>1001</v>
      </c>
      <c r="B8" s="441" t="s">
        <v>1002</v>
      </c>
      <c r="C8" s="441" t="s">
        <v>30</v>
      </c>
      <c r="D8" s="194"/>
    </row>
    <row r="9" spans="1:4">
      <c r="A9" s="193" t="s">
        <v>1003</v>
      </c>
      <c r="B9" s="441" t="s">
        <v>1004</v>
      </c>
      <c r="C9" s="441" t="s">
        <v>30</v>
      </c>
      <c r="D9" s="194"/>
    </row>
    <row r="10" spans="1:4">
      <c r="A10" s="193" t="s">
        <v>1005</v>
      </c>
      <c r="B10" s="441" t="s">
        <v>1006</v>
      </c>
      <c r="C10" s="441" t="s">
        <v>30</v>
      </c>
      <c r="D10" s="194"/>
    </row>
  </sheetData>
  <mergeCells count="2">
    <mergeCell ref="B3:C3"/>
    <mergeCell ref="B2:C2"/>
  </mergeCells>
  <hyperlinks>
    <hyperlink ref="A1" location="'Modelo de dominio'!A1" display="&lt;&lt;&lt;Modelo de Dominio" xr:uid="{00000000-0004-0000-4600-000000000000}"/>
    <hyperlink ref="B1" location="'Objetos de dominio'!A1" display="&lt;&lt;&lt;Objetos de Dominio" xr:uid="{00000000-0004-0000-4600-000001000000}"/>
    <hyperlink ref="B3" location="'Objetos de dominio'!B23" display="Objeto de dominio que representa la clasificacion de cada producto que ofrece la pizzeria, indicando si corresponde a una pizza, una bebida o una adicion." xr:uid="{00000000-0004-0000-4600-000002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9"/>
  <sheetViews>
    <sheetView workbookViewId="0"/>
  </sheetViews>
  <sheetFormatPr baseColWidth="10" defaultRowHeight="12.9"/>
  <cols>
    <col min="1" max="1" width="19.625" customWidth="1"/>
    <col min="2" max="2" width="22.375" customWidth="1"/>
  </cols>
  <sheetData>
    <row r="1" spans="1:2">
      <c r="A1" s="76" t="s">
        <v>0</v>
      </c>
      <c r="B1" s="132" t="s">
        <v>1</v>
      </c>
    </row>
    <row r="2" spans="1:2" ht="38.25" customHeight="1">
      <c r="A2" s="232" t="s">
        <v>955</v>
      </c>
      <c r="B2" s="232" t="s">
        <v>956</v>
      </c>
    </row>
    <row r="3" spans="1:2">
      <c r="A3" s="1146" t="s">
        <v>8</v>
      </c>
      <c r="B3" s="1145" t="s">
        <v>708</v>
      </c>
    </row>
    <row r="4" spans="1:2">
      <c r="A4" s="1090"/>
      <c r="B4" s="1090"/>
    </row>
    <row r="5" spans="1:2">
      <c r="A5" s="1089"/>
      <c r="B5" s="1089"/>
    </row>
    <row r="6" spans="1:2">
      <c r="A6" s="211" t="s">
        <v>14</v>
      </c>
      <c r="B6" s="211" t="s">
        <v>15</v>
      </c>
    </row>
    <row r="7" spans="1:2">
      <c r="A7" s="234" t="s">
        <v>16</v>
      </c>
      <c r="B7" s="369" t="s">
        <v>20</v>
      </c>
    </row>
    <row r="8" spans="1:2">
      <c r="A8" s="287">
        <v>1</v>
      </c>
      <c r="B8" s="562" t="s">
        <v>200</v>
      </c>
    </row>
    <row r="9" spans="1:2">
      <c r="A9" s="287">
        <v>2</v>
      </c>
      <c r="B9" s="562" t="s">
        <v>115</v>
      </c>
    </row>
  </sheetData>
  <mergeCells count="2">
    <mergeCell ref="B3:B5"/>
    <mergeCell ref="A3:A5"/>
  </mergeCells>
  <hyperlinks>
    <hyperlink ref="A1" location="'Modelo de dominio'!A1" display="&lt;&lt;&lt;Modelo de Dominio" xr:uid="{00000000-0004-0000-3E00-000000000000}"/>
    <hyperlink ref="B1" location="'Objetos de dominio'!A1" display="&lt;&lt;&lt;Objetos de Dominio" xr:uid="{00000000-0004-0000-3E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V25"/>
  <sheetViews>
    <sheetView topLeftCell="Q3" zoomScale="75" workbookViewId="0">
      <selection activeCell="J19" sqref="J19"/>
    </sheetView>
  </sheetViews>
  <sheetFormatPr baseColWidth="10" defaultRowHeight="12.9"/>
  <cols>
    <col min="1" max="1" width="27.75" bestFit="1" customWidth="1"/>
    <col min="2" max="2" width="108.6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9.25" bestFit="1" customWidth="1"/>
    <col min="10" max="10" width="23.25" bestFit="1" customWidth="1"/>
    <col min="11" max="11" width="21.75" bestFit="1" customWidth="1"/>
    <col min="12" max="12" width="18.75" bestFit="1" customWidth="1"/>
    <col min="13" max="13" width="109.25" bestFit="1" customWidth="1"/>
    <col min="14" max="14" width="15.375" bestFit="1" customWidth="1"/>
    <col min="15" max="15" width="31.25" bestFit="1" customWidth="1"/>
    <col min="16" max="16" width="28.25" bestFit="1" customWidth="1"/>
    <col min="17" max="17" width="69.625" bestFit="1" customWidth="1"/>
    <col min="18" max="18" width="48.875" bestFit="1" customWidth="1"/>
    <col min="19" max="19" width="23.875" bestFit="1" customWidth="1"/>
    <col min="20" max="20" width="27.375" bestFit="1" customWidth="1"/>
    <col min="21" max="21" width="15.25" bestFit="1" customWidth="1"/>
    <col min="22" max="22" width="39.25" customWidth="1"/>
  </cols>
  <sheetData>
    <row r="1" spans="1:22" ht="18.7" customHeight="1">
      <c r="A1" s="76" t="s">
        <v>0</v>
      </c>
      <c r="B1" s="132" t="s">
        <v>1</v>
      </c>
      <c r="C1" s="25"/>
      <c r="D1" s="25"/>
      <c r="E1" s="25"/>
      <c r="F1" s="25"/>
      <c r="G1" s="25"/>
      <c r="H1" s="25"/>
      <c r="I1" s="25"/>
      <c r="J1" s="25"/>
      <c r="K1" s="25"/>
      <c r="L1" s="25"/>
      <c r="M1" s="25"/>
      <c r="N1" s="25"/>
      <c r="O1" s="25"/>
      <c r="P1" s="25"/>
      <c r="Q1" s="25"/>
      <c r="R1" s="25"/>
      <c r="S1" s="25"/>
      <c r="T1" s="25"/>
      <c r="U1" s="25"/>
    </row>
    <row r="2" spans="1:22" ht="14.95" customHeight="1">
      <c r="A2" s="7" t="s">
        <v>20</v>
      </c>
      <c r="B2" s="545" t="s">
        <v>11</v>
      </c>
    </row>
    <row r="3" spans="1:22" ht="14.95" customHeight="1">
      <c r="A3" s="7" t="s">
        <v>79</v>
      </c>
      <c r="B3" s="546" t="str">
        <f>HYPERLINK("#'Objetos de dominio'!B6", 'Objetos de dominio'!B6)</f>
        <v>Indica si un movimiento de inventario fue una entrada o una salida de insumos o productos.</v>
      </c>
    </row>
    <row r="4" spans="1:22" ht="14.95" customHeight="1">
      <c r="A4" s="696" t="s">
        <v>80</v>
      </c>
      <c r="B4" s="696"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HYPERLINK("#'C-ClaseMovimiento'!A19", 'C-ClaseMovimiento'!A19)</f>
        <v>Consultar clases de movimiento disponibles</v>
      </c>
    </row>
    <row r="5" spans="1:22" ht="14.3" customHeight="1">
      <c r="A5" s="780" t="str">
        <f>HYPERLINK("#'M-ClaseMovimiento'!A7", 'M-ClaseMovimiento'!A7)</f>
        <v>Id</v>
      </c>
      <c r="B5" s="781" t="str">
        <f>HYPERLINK("#'M-ClaseMovimiento'!A2", 'M-ClaseMovimiento'!A2)</f>
        <v>Representa el identificador unico de cada clase de movimiento</v>
      </c>
      <c r="C5" s="697" t="s">
        <v>15</v>
      </c>
      <c r="D5" s="9" t="s">
        <v>485</v>
      </c>
      <c r="E5" s="9" t="s">
        <v>15</v>
      </c>
      <c r="F5" s="9"/>
      <c r="G5" s="9"/>
      <c r="H5" s="9"/>
      <c r="I5" s="9"/>
      <c r="J5" s="9"/>
      <c r="K5" s="9"/>
      <c r="L5" s="9"/>
      <c r="M5" s="9"/>
      <c r="N5" s="9" t="s">
        <v>100</v>
      </c>
      <c r="O5" s="9" t="s">
        <v>100</v>
      </c>
      <c r="P5" s="9"/>
      <c r="Q5" s="9" t="s">
        <v>100</v>
      </c>
      <c r="R5" s="9" t="s">
        <v>100</v>
      </c>
      <c r="S5" s="9" t="s">
        <v>100</v>
      </c>
      <c r="T5" s="9"/>
      <c r="U5" s="112" t="s">
        <v>15</v>
      </c>
      <c r="V5" s="582" t="s">
        <v>274</v>
      </c>
    </row>
    <row r="6" spans="1:22" ht="14.3" customHeight="1">
      <c r="A6" s="782" t="str">
        <f>HYPERLINK("#'M-ClaseMovimiento'!B7", 'M-ClaseMovimiento'!B7)</f>
        <v>Nombre</v>
      </c>
      <c r="B6" s="783" t="str">
        <f>HYPERLINK("#'M-ClaseMovimiento'!B2", 'M-ClaseMovimiento'!B2)</f>
        <v>Nombre de la clase de movimiento (Entrada o Salida): indica si el movimiento suma (Entrada) o resta (Salida) inventario</v>
      </c>
      <c r="C6" s="697" t="s">
        <v>100</v>
      </c>
      <c r="D6" s="9" t="s">
        <v>280</v>
      </c>
      <c r="E6" s="9" t="s">
        <v>15</v>
      </c>
      <c r="F6" s="11">
        <v>1</v>
      </c>
      <c r="G6" s="12">
        <v>10</v>
      </c>
      <c r="H6" s="13"/>
      <c r="I6" s="9"/>
      <c r="J6" s="13"/>
      <c r="K6" s="9"/>
      <c r="L6" s="9"/>
      <c r="M6" s="9" t="s">
        <v>957</v>
      </c>
      <c r="N6" s="9" t="s">
        <v>100</v>
      </c>
      <c r="O6" s="9" t="s">
        <v>100</v>
      </c>
      <c r="P6" s="9"/>
      <c r="Q6" s="13" t="s">
        <v>15</v>
      </c>
      <c r="R6" s="9" t="s">
        <v>15</v>
      </c>
      <c r="S6" s="9" t="s">
        <v>100</v>
      </c>
      <c r="T6" s="9"/>
      <c r="U6" s="112" t="s">
        <v>100</v>
      </c>
      <c r="V6" s="582" t="s">
        <v>278</v>
      </c>
    </row>
    <row r="7" spans="1:22" ht="14.3" customHeight="1">
      <c r="A7" s="698"/>
      <c r="B7" s="698"/>
      <c r="C7" s="9"/>
      <c r="D7" s="9"/>
      <c r="E7" s="9"/>
      <c r="F7" s="11"/>
      <c r="G7" s="12"/>
      <c r="H7" s="13"/>
      <c r="I7" s="9"/>
      <c r="J7" s="13"/>
      <c r="K7" s="9"/>
      <c r="L7" s="9"/>
      <c r="M7" s="9"/>
      <c r="N7" s="9"/>
      <c r="O7" s="9"/>
      <c r="P7" s="9"/>
      <c r="Q7" s="13"/>
      <c r="R7" s="9"/>
      <c r="S7" s="9"/>
      <c r="T7" s="9"/>
      <c r="U7" s="112"/>
      <c r="V7" s="582"/>
    </row>
    <row r="8" spans="1:22" ht="14.3" customHeight="1">
      <c r="A8" s="154"/>
      <c r="B8" s="155"/>
      <c r="C8" s="155"/>
      <c r="D8" s="155"/>
      <c r="E8" s="155"/>
      <c r="F8" s="156"/>
      <c r="G8" s="157"/>
      <c r="H8" s="154"/>
      <c r="I8" s="155"/>
      <c r="J8" s="154"/>
      <c r="K8" s="155"/>
      <c r="L8" s="155"/>
      <c r="M8" s="155"/>
      <c r="N8" s="155"/>
      <c r="O8" s="155"/>
      <c r="P8" s="155"/>
      <c r="Q8" s="154"/>
      <c r="R8" s="155"/>
      <c r="S8" s="155"/>
      <c r="T8" s="155"/>
      <c r="U8" s="155"/>
    </row>
    <row r="12" spans="1:22" ht="14.95" customHeight="1">
      <c r="A12" s="16" t="s">
        <v>109</v>
      </c>
      <c r="B12" s="16" t="s">
        <v>79</v>
      </c>
      <c r="C12" s="16" t="s">
        <v>110</v>
      </c>
    </row>
    <row r="13" spans="1:22" ht="14.3" customHeight="1">
      <c r="A13" s="391" t="s">
        <v>111</v>
      </c>
      <c r="B13" s="390" t="s">
        <v>1139</v>
      </c>
      <c r="C13" s="139" t="str">
        <f>HYPERLINK("#'C-ClaseMovimiento'!A6", 'C-ClaseMovimiento'!A6)</f>
        <v>Nombre</v>
      </c>
    </row>
    <row r="16" spans="1:22" ht="13.75" customHeight="1"/>
    <row r="17" spans="1:18" ht="14.95" customHeight="1">
      <c r="A17" s="1116" t="s">
        <v>113</v>
      </c>
      <c r="B17" s="1077"/>
      <c r="C17" s="1116" t="s">
        <v>79</v>
      </c>
      <c r="D17" s="1076"/>
      <c r="E17" s="1076"/>
      <c r="F17" s="1077"/>
      <c r="G17" s="1116" t="s">
        <v>114</v>
      </c>
      <c r="H17" s="1123"/>
      <c r="I17" s="1124"/>
      <c r="J17" s="1132" t="s">
        <v>115</v>
      </c>
      <c r="K17" s="1123"/>
      <c r="L17" s="1123"/>
      <c r="M17" s="1123"/>
      <c r="N17" s="1124"/>
      <c r="O17" s="1132" t="s">
        <v>116</v>
      </c>
      <c r="P17" s="1124"/>
      <c r="Q17" s="1132" t="s">
        <v>117</v>
      </c>
      <c r="R17" s="1124"/>
    </row>
    <row r="18" spans="1:18" ht="30.25" customHeight="1">
      <c r="A18" s="1078"/>
      <c r="B18" s="1080"/>
      <c r="C18" s="1078"/>
      <c r="D18" s="1079"/>
      <c r="E18" s="1079"/>
      <c r="F18" s="1080"/>
      <c r="G18" s="551" t="s">
        <v>118</v>
      </c>
      <c r="H18" s="551" t="s">
        <v>8</v>
      </c>
      <c r="I18" s="551" t="s">
        <v>79</v>
      </c>
      <c r="J18" s="691" t="s">
        <v>119</v>
      </c>
      <c r="K18" s="1132" t="s">
        <v>79</v>
      </c>
      <c r="L18" s="1123"/>
      <c r="M18" s="1123"/>
      <c r="N18" s="1124"/>
      <c r="O18" s="550" t="s">
        <v>120</v>
      </c>
      <c r="P18" s="550" t="s">
        <v>79</v>
      </c>
      <c r="Q18" s="550" t="s">
        <v>121</v>
      </c>
      <c r="R18" s="550" t="s">
        <v>122</v>
      </c>
    </row>
    <row r="19" spans="1:18" ht="50.95" customHeight="1">
      <c r="A19" s="1127" t="str">
        <f>HYPERLINK("#'C-ClaseMovimiento'!V4", 'E-ClaseMovimiento'!B7)</f>
        <v>Consultar clases de movimiento disponibles</v>
      </c>
      <c r="B19" s="1124"/>
      <c r="C19" s="1122" t="str">
        <f>'E-ClaseMovimiento'!C7</f>
        <v>Permite consultar las clases de movimiento (Entrada o Salida) disponibles para clasificar un movimiento de inventario.</v>
      </c>
      <c r="D19" s="1123"/>
      <c r="E19" s="1123"/>
      <c r="F19" s="1124"/>
      <c r="G19" s="607" t="s">
        <v>425</v>
      </c>
      <c r="H19" s="607" t="s">
        <v>299</v>
      </c>
      <c r="I19" s="694" t="s">
        <v>1364</v>
      </c>
      <c r="J19" s="695" t="s">
        <v>1365</v>
      </c>
      <c r="K19" s="1133" t="s">
        <v>1366</v>
      </c>
      <c r="L19" s="1123"/>
      <c r="M19" s="1123"/>
      <c r="N19" s="1124"/>
      <c r="O19" s="776" t="str">
        <f>HYPERLINK("#'P-ClaseMovimiento'!A5", 'P-ClaseMovimiento'!A5)</f>
        <v>P-CM-001</v>
      </c>
      <c r="P19" s="512" t="str">
        <f>'P-ClaseMovimiento'!B5</f>
        <v>Asegurar que la clase de movimiento exista con el identificador indicado.</v>
      </c>
      <c r="Q19" s="512" t="s">
        <v>1367</v>
      </c>
      <c r="R19" s="512" t="s">
        <v>1368</v>
      </c>
    </row>
    <row r="20" spans="1:18">
      <c r="O20" s="439"/>
    </row>
    <row r="21" spans="1:18">
      <c r="A21" s="375"/>
      <c r="B21" s="375"/>
      <c r="C21" s="375"/>
      <c r="D21" s="375"/>
      <c r="E21" s="375"/>
      <c r="F21" s="375"/>
      <c r="G21" s="375"/>
      <c r="H21" s="375"/>
      <c r="I21" s="375"/>
      <c r="J21" s="375"/>
      <c r="K21" s="375"/>
      <c r="L21" s="375"/>
      <c r="M21" s="375"/>
      <c r="N21" s="375"/>
      <c r="O21" s="352"/>
      <c r="P21" s="353"/>
      <c r="Q21" s="375"/>
      <c r="R21" s="375"/>
    </row>
    <row r="22" spans="1:18">
      <c r="A22" s="354"/>
      <c r="B22" s="375"/>
      <c r="C22" s="352"/>
      <c r="D22" s="375"/>
      <c r="E22" s="375"/>
      <c r="F22" s="375"/>
      <c r="G22" s="354"/>
      <c r="H22" s="354"/>
      <c r="I22" s="352"/>
      <c r="J22" s="352"/>
      <c r="K22" s="352"/>
      <c r="L22" s="375"/>
      <c r="M22" s="375"/>
      <c r="N22" s="375"/>
      <c r="O22" s="352"/>
      <c r="P22" s="353"/>
      <c r="Q22" s="353"/>
      <c r="R22" s="353"/>
    </row>
    <row r="23" spans="1:18">
      <c r="A23" s="375"/>
      <c r="B23" s="375"/>
      <c r="C23" s="375"/>
      <c r="D23" s="375"/>
      <c r="E23" s="375"/>
      <c r="F23" s="375"/>
      <c r="G23" s="375"/>
      <c r="H23" s="375"/>
      <c r="I23" s="375"/>
      <c r="J23" s="375"/>
      <c r="K23" s="375"/>
      <c r="L23" s="375"/>
      <c r="M23" s="375"/>
      <c r="N23" s="375"/>
      <c r="O23" s="352"/>
      <c r="P23" s="353"/>
      <c r="Q23" s="375"/>
      <c r="R23" s="375"/>
    </row>
    <row r="24" spans="1:18">
      <c r="A24" s="354"/>
      <c r="B24" s="375"/>
      <c r="C24" s="352"/>
      <c r="D24" s="375"/>
      <c r="E24" s="375"/>
      <c r="F24" s="375"/>
      <c r="G24" s="354"/>
      <c r="H24" s="354"/>
      <c r="I24" s="352"/>
      <c r="J24" s="352"/>
      <c r="K24" s="352"/>
      <c r="L24" s="375"/>
      <c r="M24" s="375"/>
      <c r="N24" s="375"/>
      <c r="O24" s="352"/>
      <c r="P24" s="353"/>
      <c r="Q24" s="353"/>
      <c r="R24" s="353"/>
    </row>
    <row r="25" spans="1:18">
      <c r="A25" s="375"/>
      <c r="B25" s="375"/>
      <c r="C25" s="375"/>
      <c r="D25" s="375"/>
      <c r="E25" s="375"/>
      <c r="F25" s="375"/>
      <c r="G25" s="375"/>
      <c r="H25" s="375"/>
      <c r="I25" s="375"/>
      <c r="J25" s="375"/>
      <c r="K25" s="375"/>
      <c r="L25" s="375"/>
      <c r="M25" s="375"/>
      <c r="N25" s="375"/>
      <c r="O25" s="352"/>
      <c r="P25" s="353"/>
      <c r="Q25" s="375"/>
      <c r="R25" s="375"/>
    </row>
  </sheetData>
  <mergeCells count="10">
    <mergeCell ref="O17:P17"/>
    <mergeCell ref="Q17:R17"/>
    <mergeCell ref="K18:N18"/>
    <mergeCell ref="C17:F18"/>
    <mergeCell ref="A19:B19"/>
    <mergeCell ref="G17:I17"/>
    <mergeCell ref="C19:F19"/>
    <mergeCell ref="A17:B18"/>
    <mergeCell ref="K19:N19"/>
    <mergeCell ref="J17:N17"/>
  </mergeCells>
  <hyperlinks>
    <hyperlink ref="A1" location="'Modelo de dominio'!A1" display="&lt;&lt;&lt;Modelo de Dominio" xr:uid="{00000000-0004-0000-3F00-000000000000}"/>
    <hyperlink ref="B1" location="'Objetos de dominio'!A1" display="&lt;&lt;&lt;Objetos de Dominio" xr:uid="{00000000-0004-0000-3F00-00000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11"/>
  <sheetViews>
    <sheetView topLeftCell="C1" workbookViewId="0">
      <selection activeCell="D12" sqref="D12"/>
    </sheetView>
  </sheetViews>
  <sheetFormatPr baseColWidth="10" defaultRowHeight="12.9"/>
  <cols>
    <col min="1" max="1" width="17" bestFit="1" customWidth="1"/>
    <col min="2" max="2" width="24.375" bestFit="1" customWidth="1"/>
    <col min="3" max="3" width="73.125" bestFit="1" customWidth="1"/>
    <col min="4" max="4" width="26.375" bestFit="1" customWidth="1"/>
    <col min="5" max="6" width="10.375" bestFit="1" customWidth="1"/>
    <col min="7" max="7" width="17.375" bestFit="1" customWidth="1"/>
    <col min="8" max="8" width="13.75" bestFit="1" customWidth="1"/>
    <col min="9" max="9" width="25.625" bestFit="1" customWidth="1"/>
    <col min="10" max="10" width="19.875" bestFit="1" customWidth="1"/>
  </cols>
  <sheetData>
    <row r="1" spans="1:10" ht="18.7" customHeight="1">
      <c r="A1" s="49" t="s">
        <v>0</v>
      </c>
      <c r="B1" s="50" t="s">
        <v>1</v>
      </c>
      <c r="C1" s="73"/>
      <c r="D1" s="73"/>
      <c r="E1" s="73"/>
      <c r="F1" s="73"/>
      <c r="G1" s="73"/>
      <c r="H1" s="73"/>
      <c r="I1" s="73"/>
      <c r="J1" s="73"/>
    </row>
    <row r="2" spans="1:10" ht="13.75" customHeight="1">
      <c r="A2" s="333" t="s">
        <v>209</v>
      </c>
      <c r="B2" s="1147" t="s">
        <v>11</v>
      </c>
      <c r="C2" s="1123"/>
      <c r="D2" s="1123"/>
      <c r="E2" s="1123"/>
      <c r="F2" s="1123"/>
      <c r="G2" s="1123"/>
      <c r="H2" s="1123"/>
      <c r="I2" s="1123"/>
      <c r="J2" s="1124"/>
    </row>
    <row r="3" spans="1:10" ht="13.75" customHeight="1">
      <c r="A3" s="334" t="s">
        <v>210</v>
      </c>
      <c r="B3" s="1148" t="str">
        <f>'C-ClaseMovimiento'!B3</f>
        <v>Indica si un movimiento de inventario fue una entrada o una salida de insumos o productos.</v>
      </c>
      <c r="C3" s="1123"/>
      <c r="D3" s="1123"/>
      <c r="E3" s="1123"/>
      <c r="F3" s="1123"/>
      <c r="G3" s="1123"/>
      <c r="H3" s="1123"/>
      <c r="I3" s="1123"/>
      <c r="J3" s="1124"/>
    </row>
    <row r="4" spans="1:10" ht="13.75" customHeight="1">
      <c r="A4" s="355" t="s">
        <v>211</v>
      </c>
      <c r="B4" s="1151" t="s">
        <v>212</v>
      </c>
      <c r="C4" s="1124"/>
      <c r="D4" s="356" t="s">
        <v>213</v>
      </c>
      <c r="E4" s="1142" t="s">
        <v>214</v>
      </c>
      <c r="F4" s="1124"/>
      <c r="G4" s="357" t="s">
        <v>215</v>
      </c>
      <c r="H4" s="358" t="s">
        <v>216</v>
      </c>
      <c r="I4" s="359" t="s">
        <v>217</v>
      </c>
      <c r="J4" s="360" t="s">
        <v>218</v>
      </c>
    </row>
    <row r="5" spans="1:10" ht="13.75" customHeight="1">
      <c r="A5" s="355" t="s">
        <v>211</v>
      </c>
      <c r="B5" s="604" t="s">
        <v>219</v>
      </c>
      <c r="C5" s="604" t="s">
        <v>79</v>
      </c>
      <c r="D5" s="356" t="s">
        <v>220</v>
      </c>
      <c r="E5" s="1142" t="s">
        <v>221</v>
      </c>
      <c r="F5" s="1124"/>
      <c r="G5" s="357" t="s">
        <v>222</v>
      </c>
      <c r="H5" s="358" t="s">
        <v>223</v>
      </c>
      <c r="I5" s="359" t="s">
        <v>224</v>
      </c>
      <c r="J5" s="360" t="s">
        <v>225</v>
      </c>
    </row>
    <row r="6" spans="1:10" ht="13.75" customHeight="1">
      <c r="A6" s="559"/>
      <c r="B6" s="559"/>
      <c r="C6" s="559"/>
      <c r="D6" s="559"/>
      <c r="E6" s="603" t="s">
        <v>226</v>
      </c>
      <c r="F6" s="603" t="s">
        <v>79</v>
      </c>
      <c r="G6" s="699" t="s">
        <v>227</v>
      </c>
      <c r="H6" s="559"/>
      <c r="I6" s="559"/>
      <c r="J6" s="559"/>
    </row>
    <row r="7" spans="1:10">
      <c r="A7" s="1136" t="s">
        <v>228</v>
      </c>
      <c r="B7" s="1136" t="s">
        <v>1359</v>
      </c>
      <c r="C7" s="1136" t="s">
        <v>1360</v>
      </c>
      <c r="D7" s="1136" t="s">
        <v>11</v>
      </c>
      <c r="E7" s="1136"/>
      <c r="F7" s="1150"/>
      <c r="G7" s="1152" t="str">
        <f>HYPERLINK("#'P-ClaseMovimiento'!A5", "P-CM-001")</f>
        <v>P-CM-001</v>
      </c>
      <c r="H7" s="1149"/>
      <c r="I7" s="1136" t="s">
        <v>1361</v>
      </c>
      <c r="J7" s="1136"/>
    </row>
    <row r="8" spans="1:10">
      <c r="A8" s="1089"/>
      <c r="B8" s="1089"/>
      <c r="C8" s="1089"/>
      <c r="D8" s="1089"/>
      <c r="E8" s="1089"/>
      <c r="F8" s="1089"/>
      <c r="G8" s="1153"/>
      <c r="H8" s="1089"/>
      <c r="I8" s="1089"/>
      <c r="J8" s="1089"/>
    </row>
    <row r="9" spans="1:10">
      <c r="A9" s="367"/>
      <c r="B9" s="367"/>
      <c r="C9" s="367"/>
      <c r="D9" s="367"/>
      <c r="E9" s="367"/>
      <c r="F9" s="367"/>
      <c r="G9" s="368"/>
      <c r="H9" s="367"/>
      <c r="I9" s="367"/>
      <c r="J9" s="367"/>
    </row>
    <row r="10" spans="1:10">
      <c r="A10" s="375"/>
      <c r="B10" s="375"/>
      <c r="C10" s="375"/>
      <c r="D10" s="375"/>
      <c r="E10" s="375"/>
      <c r="F10" s="375"/>
      <c r="G10" s="368"/>
      <c r="H10" s="375"/>
      <c r="I10" s="375"/>
      <c r="J10" s="375"/>
    </row>
    <row r="11" spans="1:10">
      <c r="A11" s="367"/>
      <c r="B11" s="367"/>
      <c r="C11" s="367"/>
      <c r="D11" s="367"/>
      <c r="E11" s="367"/>
      <c r="F11" s="367"/>
      <c r="G11" s="368"/>
      <c r="H11" s="367"/>
      <c r="I11" s="367"/>
      <c r="J11" s="367"/>
    </row>
  </sheetData>
  <mergeCells count="15">
    <mergeCell ref="B2:J2"/>
    <mergeCell ref="E4:F4"/>
    <mergeCell ref="B3:J3"/>
    <mergeCell ref="D7:D8"/>
    <mergeCell ref="A7:A8"/>
    <mergeCell ref="E5:F5"/>
    <mergeCell ref="E7:E8"/>
    <mergeCell ref="C7:C8"/>
    <mergeCell ref="I7:I8"/>
    <mergeCell ref="H7:H8"/>
    <mergeCell ref="F7:F8"/>
    <mergeCell ref="J7:J8"/>
    <mergeCell ref="B7:B8"/>
    <mergeCell ref="B4:C4"/>
    <mergeCell ref="G7:G8"/>
  </mergeCells>
  <hyperlinks>
    <hyperlink ref="A1" location="'Modelo de dominio'!A1" display="&lt;&lt;&lt;Modelo de Dominio" xr:uid="{00000000-0004-0000-4000-000000000000}"/>
    <hyperlink ref="B1" location="'Objetos de dominio'!A1" display="&lt;&lt;&lt;Objetos de Dominio" xr:uid="{00000000-0004-0000-4000-000001000000}"/>
    <hyperlink ref="B3" location="'Objetos de dominio'!B24" display="Objeto de dominio que representa la clasificacion de cada movimiento de inventario, indicando si corresponde a una entrada o una salida de existencias." xr:uid="{00000000-0004-0000-40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5"/>
  <sheetViews>
    <sheetView workbookViewId="0"/>
  </sheetViews>
  <sheetFormatPr baseColWidth="10" defaultRowHeight="12.9"/>
  <cols>
    <col min="1" max="1" width="17.625" bestFit="1" customWidth="1"/>
    <col min="2" max="2" width="131.25" bestFit="1" customWidth="1"/>
    <col min="3" max="3" width="19.375" bestFit="1" customWidth="1"/>
    <col min="4" max="4" width="19.125" bestFit="1" customWidth="1"/>
  </cols>
  <sheetData>
    <row r="1" spans="1:4" ht="18.7" customHeight="1">
      <c r="A1" s="49" t="s">
        <v>0</v>
      </c>
      <c r="B1" s="50" t="s">
        <v>1</v>
      </c>
      <c r="C1" s="73"/>
      <c r="D1" s="73"/>
    </row>
    <row r="2" spans="1:4" ht="14.3" customHeight="1">
      <c r="A2" s="189" t="s">
        <v>233</v>
      </c>
      <c r="B2" s="1143" t="s">
        <v>11</v>
      </c>
      <c r="C2" s="1144"/>
      <c r="D2" s="540"/>
    </row>
    <row r="3" spans="1:4" ht="14.3" customHeight="1">
      <c r="A3" s="190" t="s">
        <v>21</v>
      </c>
      <c r="B3" s="1111" t="str">
        <f>'C-ClaseMovimiento'!B3</f>
        <v>Indica si un movimiento de inventario fue una entrada o una salida de insumos o productos.</v>
      </c>
      <c r="C3" s="1033"/>
      <c r="D3" s="541"/>
    </row>
    <row r="4" spans="1:4" ht="14.3" customHeight="1">
      <c r="A4" s="191" t="s">
        <v>234</v>
      </c>
      <c r="B4" s="55" t="s">
        <v>235</v>
      </c>
      <c r="C4" s="55" t="s">
        <v>236</v>
      </c>
      <c r="D4" s="192" t="s">
        <v>237</v>
      </c>
    </row>
    <row r="5" spans="1:4">
      <c r="A5" s="193" t="s">
        <v>1362</v>
      </c>
      <c r="B5" s="114" t="s">
        <v>1363</v>
      </c>
      <c r="C5" s="114" t="s">
        <v>11</v>
      </c>
      <c r="D5" s="194"/>
    </row>
  </sheetData>
  <mergeCells count="2">
    <mergeCell ref="B3:C3"/>
    <mergeCell ref="B2:C2"/>
  </mergeCells>
  <hyperlinks>
    <hyperlink ref="A1" location="'Modelo de dominio'!A1" display="&lt;&lt;&lt;Modelo de Dominio" xr:uid="{00000000-0004-0000-4100-000000000000}"/>
    <hyperlink ref="B1" location="'Objetos de dominio'!A1" display="&lt;&lt;&lt;Objetos de Dominio" xr:uid="{00000000-0004-0000-4100-000001000000}"/>
    <hyperlink ref="B3" location="'Objetos de dominio'!B24" display="Objeto de dominio que representa la clasificacion de cada movimiento de inventario, indicando si corresponde a una entrada o una salida de existencias." xr:uid="{00000000-0004-0000-41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1"/>
  <sheetViews>
    <sheetView workbookViewId="0"/>
  </sheetViews>
  <sheetFormatPr baseColWidth="10" defaultRowHeight="12.9"/>
  <cols>
    <col min="1" max="1" width="16.75" customWidth="1"/>
    <col min="2" max="2" width="23.75" customWidth="1"/>
  </cols>
  <sheetData>
    <row r="1" spans="1:2">
      <c r="A1" s="76" t="s">
        <v>0</v>
      </c>
      <c r="B1" s="132" t="s">
        <v>1</v>
      </c>
    </row>
    <row r="2" spans="1:2" ht="38.25" customHeight="1">
      <c r="A2" s="103" t="s">
        <v>902</v>
      </c>
      <c r="B2" s="103" t="s">
        <v>903</v>
      </c>
    </row>
    <row r="3" spans="1:2">
      <c r="A3" s="1114" t="s">
        <v>8</v>
      </c>
      <c r="B3" s="1113" t="s">
        <v>742</v>
      </c>
    </row>
    <row r="4" spans="1:2">
      <c r="A4" s="1090"/>
      <c r="B4" s="1086"/>
    </row>
    <row r="5" spans="1:2">
      <c r="A5" s="1115"/>
      <c r="B5" s="1044"/>
    </row>
    <row r="6" spans="1:2">
      <c r="A6" s="102" t="s">
        <v>14</v>
      </c>
      <c r="B6" s="102" t="s">
        <v>15</v>
      </c>
    </row>
    <row r="7" spans="1:2">
      <c r="A7" s="234" t="s">
        <v>16</v>
      </c>
      <c r="B7" s="369" t="s">
        <v>751</v>
      </c>
    </row>
    <row r="8" spans="1:2">
      <c r="A8" s="287">
        <v>1</v>
      </c>
      <c r="B8" s="562" t="s">
        <v>904</v>
      </c>
    </row>
    <row r="9" spans="1:2">
      <c r="A9" s="287">
        <v>2</v>
      </c>
      <c r="B9" s="562" t="s">
        <v>905</v>
      </c>
    </row>
    <row r="10" spans="1:2">
      <c r="A10" s="287">
        <v>3</v>
      </c>
      <c r="B10" s="562" t="s">
        <v>906</v>
      </c>
    </row>
    <row r="11" spans="1:2">
      <c r="A11" s="287">
        <v>4</v>
      </c>
      <c r="B11" s="562" t="s">
        <v>907</v>
      </c>
    </row>
  </sheetData>
  <mergeCells count="2">
    <mergeCell ref="B3:B5"/>
    <mergeCell ref="A3:A5"/>
  </mergeCells>
  <hyperlinks>
    <hyperlink ref="A1" location="'Modelo de dominio'!A1" display="&lt;&lt;&lt;Modelo de Dominio" xr:uid="{00000000-0004-0000-3A00-000000000000}"/>
    <hyperlink ref="B1" location="'Objetos de dominio'!A1" display="&lt;&lt;&lt;Objetos de Dominio" xr:uid="{00000000-0004-0000-3A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24"/>
  <sheetViews>
    <sheetView topLeftCell="L1" zoomScale="68" workbookViewId="0">
      <selection activeCell="B1" sqref="B1"/>
    </sheetView>
  </sheetViews>
  <sheetFormatPr baseColWidth="10" defaultRowHeight="12.9"/>
  <cols>
    <col min="1" max="1" width="27.75" bestFit="1" customWidth="1"/>
    <col min="2" max="2" width="110.37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7" bestFit="1" customWidth="1"/>
    <col min="10" max="10" width="23.25" bestFit="1" customWidth="1"/>
    <col min="11" max="11" width="21.75" bestFit="1" customWidth="1"/>
    <col min="12" max="12" width="18.75" bestFit="1" customWidth="1"/>
    <col min="13" max="13" width="94.75" bestFit="1" customWidth="1"/>
    <col min="14" max="14" width="15.375" bestFit="1" customWidth="1"/>
    <col min="15" max="15" width="31.25" bestFit="1" customWidth="1"/>
    <col min="16" max="16" width="27.125" bestFit="1" customWidth="1"/>
    <col min="17" max="17" width="60.25" bestFit="1" customWidth="1"/>
    <col min="18" max="18" width="48.875" bestFit="1" customWidth="1"/>
    <col min="19" max="19" width="23.875" bestFit="1" customWidth="1"/>
    <col min="20" max="20" width="27.375" bestFit="1" customWidth="1"/>
    <col min="21" max="21" width="15.25" bestFit="1" customWidth="1"/>
    <col min="22" max="26" width="36.625" customWidth="1"/>
  </cols>
  <sheetData>
    <row r="1" spans="1:26" ht="18.7" customHeight="1">
      <c r="A1" s="76" t="s">
        <v>0</v>
      </c>
      <c r="B1" s="132" t="s">
        <v>1</v>
      </c>
      <c r="C1" s="25"/>
      <c r="D1" s="25"/>
      <c r="E1" s="25"/>
      <c r="F1" s="25"/>
      <c r="G1" s="25"/>
      <c r="H1" s="25"/>
      <c r="I1" s="25"/>
      <c r="J1" s="25"/>
      <c r="K1" s="25"/>
      <c r="L1" s="25"/>
      <c r="M1" s="25"/>
      <c r="N1" s="25"/>
      <c r="O1" s="25"/>
      <c r="P1" s="25"/>
      <c r="Q1" s="25"/>
      <c r="R1" s="25"/>
      <c r="S1" s="25"/>
      <c r="T1" s="25"/>
      <c r="U1" s="25"/>
    </row>
    <row r="2" spans="1:26" ht="14.95" customHeight="1">
      <c r="A2" s="7" t="s">
        <v>20</v>
      </c>
      <c r="B2" s="1074" t="s">
        <v>751</v>
      </c>
      <c r="C2" s="1032"/>
      <c r="D2" s="1032"/>
      <c r="E2" s="1032"/>
      <c r="F2" s="1032"/>
      <c r="G2" s="1032"/>
      <c r="H2" s="1032"/>
      <c r="I2" s="1032"/>
      <c r="J2" s="1032"/>
      <c r="K2" s="1032"/>
      <c r="L2" s="1032"/>
      <c r="M2" s="1032"/>
      <c r="N2" s="1032"/>
      <c r="O2" s="1032"/>
      <c r="P2" s="1032"/>
      <c r="Q2" s="1032"/>
      <c r="R2" s="1032"/>
      <c r="S2" s="1032"/>
      <c r="T2" s="1032"/>
      <c r="U2" s="1033"/>
    </row>
    <row r="3" spans="1:26" ht="14.95" customHeight="1">
      <c r="A3" s="7" t="s">
        <v>79</v>
      </c>
      <c r="B3" s="1084" t="str">
        <f>HYPERLINK("#'Objetos de dominio'!B7", 'Objetos de dominio'!B7)</f>
        <v>Son los distintos tamaños en los que la pizzería puede ofrecer una pizza.</v>
      </c>
      <c r="C3" s="1032"/>
      <c r="D3" s="1032"/>
      <c r="E3" s="1032"/>
      <c r="F3" s="1032"/>
      <c r="G3" s="1032"/>
      <c r="H3" s="1032"/>
      <c r="I3" s="1032"/>
      <c r="J3" s="1032"/>
      <c r="K3" s="1032"/>
      <c r="L3" s="1032"/>
      <c r="M3" s="1032"/>
      <c r="N3" s="1032"/>
      <c r="O3" s="1032"/>
      <c r="P3" s="1032"/>
      <c r="Q3" s="1032"/>
      <c r="R3" s="1032"/>
      <c r="S3" s="1032"/>
      <c r="T3" s="1032"/>
      <c r="U3" s="1033"/>
    </row>
    <row r="4" spans="1:26" ht="14.95"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6" t="str">
        <f>HYPERLINK("#'C-Tamaño'!A18", 'C-Tamaño'!A18)</f>
        <v>Consultar tamaños disponibles</v>
      </c>
      <c r="W4" s="701" t="str">
        <f>HYPERLINK("#'C-Tamaño'!A19", 'C-Tamaño'!A19)</f>
        <v>Registrar tamaño</v>
      </c>
      <c r="X4" s="703" t="str">
        <f>HYPERLINK("#'C-Tamaño'!A21", 'C-Tamaño'!A21)</f>
        <v>Actualizar tamaño</v>
      </c>
      <c r="Y4" s="704"/>
      <c r="Z4" s="685" t="str">
        <f>HYPERLINK("#'C-Tamaño'!A23", 'C-Tamaño'!A23)</f>
        <v>Eliminar tamaño</v>
      </c>
    </row>
    <row r="5" spans="1:26" ht="14.3" customHeight="1">
      <c r="A5" s="135" t="str">
        <f>HYPERLINK("#'M-Tamaño'!A7", 'M-Tamaño'!A7)</f>
        <v>Id</v>
      </c>
      <c r="B5" s="135" t="str">
        <f>HYPERLINK("#'M-Tamaño'!A2", 'M-Tamaño'!A2)</f>
        <v>Representa el identificador unico de cada tamaño</v>
      </c>
      <c r="C5" s="9" t="s">
        <v>15</v>
      </c>
      <c r="D5" s="9" t="s">
        <v>485</v>
      </c>
      <c r="E5" s="9" t="s">
        <v>15</v>
      </c>
      <c r="F5" s="9"/>
      <c r="G5" s="9"/>
      <c r="H5" s="9"/>
      <c r="I5" s="9"/>
      <c r="J5" s="9"/>
      <c r="K5" s="9"/>
      <c r="L5" s="9"/>
      <c r="M5" s="9"/>
      <c r="N5" s="9" t="s">
        <v>100</v>
      </c>
      <c r="O5" s="9" t="s">
        <v>100</v>
      </c>
      <c r="P5" s="9"/>
      <c r="Q5" s="9" t="s">
        <v>100</v>
      </c>
      <c r="R5" s="9" t="s">
        <v>100</v>
      </c>
      <c r="S5" s="9" t="s">
        <v>100</v>
      </c>
      <c r="T5" s="9"/>
      <c r="U5" s="112" t="s">
        <v>15</v>
      </c>
      <c r="V5" s="684" t="s">
        <v>274</v>
      </c>
      <c r="W5" s="700" t="s">
        <v>276</v>
      </c>
      <c r="X5" s="527" t="s">
        <v>101</v>
      </c>
      <c r="Y5" s="570" t="s">
        <v>273</v>
      </c>
      <c r="Z5" s="684" t="s">
        <v>101</v>
      </c>
    </row>
    <row r="6" spans="1:26" ht="14.3" customHeight="1">
      <c r="A6" s="135" t="str">
        <f>HYPERLINK("#'M-Tamaño'!B7", 'M-Tamaño'!B7)</f>
        <v>Tamaño</v>
      </c>
      <c r="B6" s="135" t="str">
        <f>HYPERLINK("#'M-Tamaño'!B2", 'M-Tamaño'!B2)</f>
        <v>Nombre del tamaño (Grande, Mediana, Pequeña o No aplica)</v>
      </c>
      <c r="C6" s="9" t="s">
        <v>100</v>
      </c>
      <c r="D6" s="9" t="s">
        <v>280</v>
      </c>
      <c r="E6" s="9" t="s">
        <v>15</v>
      </c>
      <c r="F6" s="11">
        <v>1</v>
      </c>
      <c r="G6" s="12">
        <v>20</v>
      </c>
      <c r="H6" s="13"/>
      <c r="I6" s="9"/>
      <c r="J6" s="13"/>
      <c r="K6" s="9"/>
      <c r="L6" s="9"/>
      <c r="M6" s="9" t="s">
        <v>908</v>
      </c>
      <c r="N6" s="9" t="s">
        <v>100</v>
      </c>
      <c r="O6" s="9" t="s">
        <v>100</v>
      </c>
      <c r="P6" s="9"/>
      <c r="Q6" s="13" t="s">
        <v>15</v>
      </c>
      <c r="R6" s="9" t="s">
        <v>15</v>
      </c>
      <c r="S6" s="9" t="s">
        <v>100</v>
      </c>
      <c r="T6" s="9"/>
      <c r="U6" s="112" t="s">
        <v>100</v>
      </c>
      <c r="V6" s="582" t="s">
        <v>278</v>
      </c>
      <c r="W6" s="564" t="s">
        <v>101</v>
      </c>
      <c r="X6" s="570" t="s">
        <v>101</v>
      </c>
      <c r="Y6" s="570" t="s">
        <v>277</v>
      </c>
      <c r="Z6" s="582" t="s">
        <v>276</v>
      </c>
    </row>
    <row r="7" spans="1:26" ht="14.3" customHeight="1">
      <c r="A7" s="154"/>
      <c r="B7" s="155"/>
      <c r="C7" s="155"/>
      <c r="D7" s="155"/>
      <c r="E7" s="155"/>
      <c r="F7" s="156"/>
      <c r="G7" s="157"/>
      <c r="H7" s="154"/>
      <c r="I7" s="155"/>
      <c r="J7" s="154"/>
      <c r="K7" s="155"/>
      <c r="L7" s="155"/>
      <c r="M7" s="155"/>
      <c r="N7" s="155"/>
      <c r="O7" s="155"/>
      <c r="P7" s="155"/>
      <c r="Q7" s="154"/>
      <c r="R7" s="155"/>
      <c r="S7" s="155"/>
      <c r="T7" s="155"/>
      <c r="U7" s="155"/>
    </row>
    <row r="11" spans="1:26" ht="14.95" customHeight="1">
      <c r="A11" s="16" t="s">
        <v>109</v>
      </c>
      <c r="B11" s="16" t="s">
        <v>79</v>
      </c>
      <c r="C11" s="16" t="s">
        <v>110</v>
      </c>
    </row>
    <row r="12" spans="1:26" ht="14.3" customHeight="1">
      <c r="A12" s="391" t="s">
        <v>111</v>
      </c>
      <c r="B12" s="390" t="s">
        <v>909</v>
      </c>
      <c r="C12" s="139" t="str">
        <f>HYPERLINK("#'C-Tamaño'!A6", 'C-Tamaño'!A6)</f>
        <v>Tamaño</v>
      </c>
    </row>
    <row r="15" spans="1:26" ht="13.75" customHeight="1"/>
    <row r="16" spans="1:26" ht="14.95" customHeight="1">
      <c r="A16" s="1116" t="s">
        <v>113</v>
      </c>
      <c r="B16" s="1077"/>
      <c r="C16" s="1116" t="s">
        <v>79</v>
      </c>
      <c r="D16" s="1076"/>
      <c r="E16" s="1076"/>
      <c r="F16" s="1077"/>
      <c r="G16" s="1116" t="s">
        <v>114</v>
      </c>
      <c r="H16" s="1123"/>
      <c r="I16" s="1124"/>
      <c r="J16" s="1132" t="s">
        <v>115</v>
      </c>
      <c r="K16" s="1123"/>
      <c r="L16" s="1123"/>
      <c r="M16" s="1123"/>
      <c r="N16" s="1124"/>
      <c r="O16" s="1132" t="s">
        <v>116</v>
      </c>
      <c r="P16" s="1124"/>
      <c r="Q16" s="1132" t="s">
        <v>117</v>
      </c>
      <c r="R16" s="1124"/>
    </row>
    <row r="17" spans="1:22" ht="30.25" customHeight="1">
      <c r="A17" s="1078"/>
      <c r="B17" s="1080"/>
      <c r="C17" s="1078"/>
      <c r="D17" s="1079"/>
      <c r="E17" s="1079"/>
      <c r="F17" s="1080"/>
      <c r="G17" s="551" t="s">
        <v>118</v>
      </c>
      <c r="H17" s="551" t="s">
        <v>8</v>
      </c>
      <c r="I17" s="551" t="s">
        <v>79</v>
      </c>
      <c r="J17" s="691" t="s">
        <v>119</v>
      </c>
      <c r="K17" s="1132" t="s">
        <v>79</v>
      </c>
      <c r="L17" s="1123"/>
      <c r="M17" s="1123"/>
      <c r="N17" s="1124"/>
      <c r="O17" s="550" t="s">
        <v>120</v>
      </c>
      <c r="P17" s="550" t="s">
        <v>79</v>
      </c>
      <c r="Q17" s="550" t="s">
        <v>121</v>
      </c>
      <c r="R17" s="550" t="s">
        <v>122</v>
      </c>
    </row>
    <row r="18" spans="1:22" ht="50.95" customHeight="1">
      <c r="A18" s="1127" t="str">
        <f>HYPERLINK("#'C-Tamaño'!V4", 'E-Tamaño'!B7)</f>
        <v>Consultar tamaños disponibles</v>
      </c>
      <c r="B18" s="1124"/>
      <c r="C18" s="1122" t="str">
        <f>'E-Tamaño'!C7</f>
        <v>Permite consultar los tamaños disponibles en el sistema para definir el tamaño de un producto.</v>
      </c>
      <c r="D18" s="1123"/>
      <c r="E18" s="1123"/>
      <c r="F18" s="1124"/>
      <c r="G18" s="607" t="s">
        <v>425</v>
      </c>
      <c r="H18" s="607" t="s">
        <v>299</v>
      </c>
      <c r="I18" s="694" t="s">
        <v>910</v>
      </c>
      <c r="J18" s="695" t="s">
        <v>911</v>
      </c>
      <c r="K18" s="1133" t="s">
        <v>912</v>
      </c>
      <c r="L18" s="1123"/>
      <c r="M18" s="1123"/>
      <c r="N18" s="1124"/>
      <c r="O18" s="776" t="str">
        <f>HYPERLINK("#'P-Tamaño'!A5", 'P-Tamaño'!A5)</f>
        <v>P-TAM-001</v>
      </c>
      <c r="P18" s="512" t="str">
        <f>'P-Tamaño'!B5</f>
        <v>Asegurar que el tamaño exista con el identificador indicado.</v>
      </c>
      <c r="Q18" s="512" t="s">
        <v>913</v>
      </c>
      <c r="R18" s="512" t="s">
        <v>914</v>
      </c>
    </row>
    <row r="19" spans="1:22" ht="50.95" customHeight="1">
      <c r="A19" s="1121" t="str">
        <f>HYPERLINK("#'E-Tamaño'!B8", 'E-Tamaño'!B8)</f>
        <v>Registrar tamaño</v>
      </c>
      <c r="B19" s="1077"/>
      <c r="C19" s="1131" t="str">
        <f>'E-Tamaño'!C8</f>
        <v>Permite agregar un nuevo tamaño al catalogo, para cuando la pizzeria empiece a ofrecer una presentacion que no exista todavia.</v>
      </c>
      <c r="D19" s="1076"/>
      <c r="E19" s="1076"/>
      <c r="F19" s="1077"/>
      <c r="G19" s="1121" t="s">
        <v>20</v>
      </c>
      <c r="H19" s="1121" t="s">
        <v>280</v>
      </c>
      <c r="I19" s="1130" t="s">
        <v>915</v>
      </c>
      <c r="J19" s="1120" t="s">
        <v>751</v>
      </c>
      <c r="K19" s="1131" t="s">
        <v>916</v>
      </c>
      <c r="L19" s="1076"/>
      <c r="M19" s="1076"/>
      <c r="N19" s="1077"/>
      <c r="O19" s="777" t="str">
        <f>HYPERLINK("#'P-Tamaño'!A6", 'P-Tamaño'!A6)</f>
        <v>P-TAM-002</v>
      </c>
      <c r="P19" s="514" t="str">
        <f>'P-Tamaño'!B6</f>
        <v>Asegurar que los datos ingresados sean validos segun el tipo de dato, la obligatoriedad y el formato correspondiente.</v>
      </c>
      <c r="Q19" s="514" t="s">
        <v>917</v>
      </c>
      <c r="R19" s="514" t="s">
        <v>918</v>
      </c>
      <c r="S19" s="614"/>
      <c r="T19" s="614"/>
      <c r="U19" s="614"/>
      <c r="V19" s="614"/>
    </row>
    <row r="20" spans="1:22" ht="50.95" customHeight="1">
      <c r="A20" s="1078"/>
      <c r="B20" s="1080"/>
      <c r="C20" s="1078"/>
      <c r="D20" s="1079"/>
      <c r="E20" s="1079"/>
      <c r="F20" s="1080"/>
      <c r="G20" s="1089"/>
      <c r="H20" s="1089"/>
      <c r="I20" s="1089"/>
      <c r="J20" s="1089"/>
      <c r="K20" s="1078"/>
      <c r="L20" s="1079"/>
      <c r="M20" s="1079"/>
      <c r="N20" s="1080"/>
      <c r="O20" s="777" t="str">
        <f>HYPERLINK("#'P-Tamaño'!A7", 'P-Tamaño'!A7)</f>
        <v>P-TAM-003</v>
      </c>
      <c r="P20" s="514" t="str">
        <f>'P-Tamaño'!B7</f>
        <v>Asegurar que no exista otro tamaño con el mismo Nombre al registrarlo.</v>
      </c>
      <c r="Q20" s="514" t="s">
        <v>919</v>
      </c>
      <c r="R20" s="514" t="s">
        <v>920</v>
      </c>
      <c r="S20" s="614"/>
      <c r="T20" s="614"/>
      <c r="U20" s="614"/>
      <c r="V20" s="614"/>
    </row>
    <row r="21" spans="1:22" ht="50.95" customHeight="1">
      <c r="A21" s="1117" t="str">
        <f>HYPERLINK("#'E-Tamaño'!B10", 'E-Tamaño'!B10)</f>
        <v>Actualizar tamaño</v>
      </c>
      <c r="B21" s="1077"/>
      <c r="C21" s="1126" t="str">
        <f>'E-Tamaño'!C10</f>
        <v>Permite modificar el nombre de un tamaño que ya existe.</v>
      </c>
      <c r="D21" s="1076"/>
      <c r="E21" s="1076"/>
      <c r="F21" s="1077"/>
      <c r="G21" s="1117" t="s">
        <v>16</v>
      </c>
      <c r="H21" s="1117" t="s">
        <v>299</v>
      </c>
      <c r="I21" s="1125" t="s">
        <v>921</v>
      </c>
      <c r="J21" s="1134" t="s">
        <v>751</v>
      </c>
      <c r="K21" s="1126" t="s">
        <v>922</v>
      </c>
      <c r="L21" s="1076"/>
      <c r="M21" s="1076"/>
      <c r="N21" s="1077"/>
      <c r="O21" s="767" t="str">
        <f>HYPERLINK("#'P-Tamaño'!A8", 'P-Tamaño'!A8)</f>
        <v>P-TAM-004</v>
      </c>
      <c r="P21" s="598" t="str">
        <f>'P-Tamaño'!B8</f>
        <v>Asegurar que el tamaño que se desea modificar se encuentre registrado en el sistema.</v>
      </c>
      <c r="Q21" s="598" t="s">
        <v>923</v>
      </c>
      <c r="R21" s="598" t="s">
        <v>924</v>
      </c>
      <c r="S21" s="614"/>
      <c r="T21" s="614"/>
      <c r="U21" s="614"/>
      <c r="V21" s="614"/>
    </row>
    <row r="22" spans="1:22" ht="50.95" customHeight="1">
      <c r="A22" s="1078"/>
      <c r="B22" s="1080"/>
      <c r="C22" s="1078"/>
      <c r="D22" s="1079"/>
      <c r="E22" s="1079"/>
      <c r="F22" s="1080"/>
      <c r="G22" s="1089"/>
      <c r="H22" s="1089"/>
      <c r="I22" s="1089"/>
      <c r="J22" s="1089"/>
      <c r="K22" s="1078"/>
      <c r="L22" s="1079"/>
      <c r="M22" s="1079"/>
      <c r="N22" s="1080"/>
      <c r="O22" s="767" t="str">
        <f>HYPERLINK("#'P-Tamaño'!A6", 'P-Tamaño'!A6)</f>
        <v>P-TAM-002</v>
      </c>
      <c r="P22" s="598" t="str">
        <f>'P-Tamaño'!B6</f>
        <v>Asegurar que los datos ingresados sean validos segun el tipo de dato, la obligatoriedad y el formato correspondiente.</v>
      </c>
      <c r="Q22" s="598" t="s">
        <v>925</v>
      </c>
      <c r="R22" s="598" t="s">
        <v>926</v>
      </c>
      <c r="S22" s="614"/>
      <c r="T22" s="614"/>
      <c r="U22" s="614"/>
      <c r="V22" s="614"/>
    </row>
    <row r="23" spans="1:22" ht="50.95" customHeight="1">
      <c r="A23" s="1127" t="str">
        <f>HYPERLINK("#'E-Tamaño'!B12", 'E-Tamaño'!B12)</f>
        <v>Eliminar tamaño</v>
      </c>
      <c r="B23" s="1077"/>
      <c r="C23" s="977" t="str">
        <f>'E-Tamaño'!C12</f>
        <v>Permite eliminar un tamaño que no tenga productos asociados que deban conservarse.</v>
      </c>
      <c r="D23" s="1076"/>
      <c r="E23" s="1076"/>
      <c r="F23" s="1077"/>
      <c r="G23" s="1127" t="s">
        <v>16</v>
      </c>
      <c r="H23" s="1127" t="s">
        <v>299</v>
      </c>
      <c r="I23" s="1154" t="s">
        <v>927</v>
      </c>
      <c r="J23" s="1155" t="s">
        <v>751</v>
      </c>
      <c r="K23" s="977" t="s">
        <v>928</v>
      </c>
      <c r="L23" s="1076"/>
      <c r="M23" s="1076"/>
      <c r="N23" s="1077"/>
      <c r="O23" s="776" t="str">
        <f>HYPERLINK("#'P-Tamaño'!A9", 'P-Tamaño'!A9)</f>
        <v>P-TAM-005</v>
      </c>
      <c r="P23" s="512" t="str">
        <f>'P-Tamaño'!B9</f>
        <v>Asegurar que un tamaño no pueda eliminarse cuando tenga productos asociados que deban conservarse para mantener la trazabilidad.</v>
      </c>
      <c r="Q23" s="512" t="s">
        <v>929</v>
      </c>
      <c r="R23" s="512" t="s">
        <v>930</v>
      </c>
      <c r="S23" s="614"/>
      <c r="T23" s="614"/>
      <c r="U23" s="614"/>
      <c r="V23" s="614"/>
    </row>
    <row r="24" spans="1:22" ht="50.95" customHeight="1">
      <c r="A24" s="1078"/>
      <c r="B24" s="1080"/>
      <c r="C24" s="1078"/>
      <c r="D24" s="1079"/>
      <c r="E24" s="1079"/>
      <c r="F24" s="1080"/>
      <c r="G24" s="1089"/>
      <c r="H24" s="1089"/>
      <c r="I24" s="1089"/>
      <c r="J24" s="1089"/>
      <c r="K24" s="1078"/>
      <c r="L24" s="1079"/>
      <c r="M24" s="1079"/>
      <c r="N24" s="1080"/>
      <c r="O24" s="776" t="str">
        <f>HYPERLINK("#'P-Tamaño'!A10", 'P-Tamaño'!A10)</f>
        <v>P-TAM-006</v>
      </c>
      <c r="P24" s="512" t="str">
        <f>'P-Tamaño'!B10</f>
        <v>Asegurar que el tamaño que se desea eliminar exista con el identificador indicado.</v>
      </c>
      <c r="Q24" s="512" t="s">
        <v>923</v>
      </c>
      <c r="R24" s="512" t="s">
        <v>931</v>
      </c>
      <c r="S24" s="614"/>
      <c r="T24" s="614"/>
      <c r="U24" s="614"/>
      <c r="V24" s="614"/>
    </row>
  </sheetData>
  <mergeCells count="33">
    <mergeCell ref="G23:G24"/>
    <mergeCell ref="K17:N17"/>
    <mergeCell ref="K21:N22"/>
    <mergeCell ref="C16:F17"/>
    <mergeCell ref="H21:H22"/>
    <mergeCell ref="H23:H24"/>
    <mergeCell ref="J23:J24"/>
    <mergeCell ref="A21:B22"/>
    <mergeCell ref="G19:G20"/>
    <mergeCell ref="B3:U3"/>
    <mergeCell ref="C18:F18"/>
    <mergeCell ref="K18:N18"/>
    <mergeCell ref="K19:N20"/>
    <mergeCell ref="A16:B17"/>
    <mergeCell ref="G21:G22"/>
    <mergeCell ref="J19:J20"/>
    <mergeCell ref="Q16:R16"/>
    <mergeCell ref="A23:B24"/>
    <mergeCell ref="A19:B20"/>
    <mergeCell ref="I21:I22"/>
    <mergeCell ref="C21:F22"/>
    <mergeCell ref="B2:U2"/>
    <mergeCell ref="A18:B18"/>
    <mergeCell ref="H19:H20"/>
    <mergeCell ref="O16:P16"/>
    <mergeCell ref="G16:I16"/>
    <mergeCell ref="K23:N24"/>
    <mergeCell ref="C23:F24"/>
    <mergeCell ref="J16:N16"/>
    <mergeCell ref="J21:J22"/>
    <mergeCell ref="I23:I24"/>
    <mergeCell ref="I19:I20"/>
    <mergeCell ref="C19:F20"/>
  </mergeCells>
  <hyperlinks>
    <hyperlink ref="A1" location="'Modelo de dominio'!A1" display="&lt;&lt;&lt;Modelo de Dominio" xr:uid="{00000000-0004-0000-3B00-000000000000}"/>
    <hyperlink ref="B1" location="'Objetos de dominio'!A1" display="&lt;&lt;&lt;Objetos de Dominio" xr:uid="{00000000-0004-0000-3B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13"/>
  <sheetViews>
    <sheetView topLeftCell="B1" workbookViewId="0">
      <selection activeCell="A12" sqref="A12:J13"/>
    </sheetView>
  </sheetViews>
  <sheetFormatPr baseColWidth="10" defaultRowHeight="12.9"/>
  <cols>
    <col min="1" max="1" width="17" bestFit="1" customWidth="1"/>
    <col min="2" max="2" width="22.25" bestFit="1" customWidth="1"/>
    <col min="3" max="3" width="69" bestFit="1" customWidth="1"/>
    <col min="4" max="4" width="26.375" bestFit="1" customWidth="1"/>
    <col min="5" max="5" width="16.875" bestFit="1" customWidth="1"/>
    <col min="6" max="6" width="10.375" customWidth="1"/>
    <col min="7" max="7" width="17.375" bestFit="1" customWidth="1"/>
    <col min="8" max="8" width="13.75" bestFit="1" customWidth="1"/>
    <col min="9" max="9" width="23.625" bestFit="1" customWidth="1"/>
    <col min="10" max="10" width="19.875" bestFit="1" customWidth="1"/>
  </cols>
  <sheetData>
    <row r="1" spans="1:12" ht="18.7" customHeight="1">
      <c r="A1" s="49" t="s">
        <v>0</v>
      </c>
      <c r="B1" s="50" t="s">
        <v>1</v>
      </c>
      <c r="C1" s="73"/>
      <c r="D1" s="73"/>
      <c r="E1" s="73"/>
      <c r="F1" s="73"/>
      <c r="G1" s="73"/>
      <c r="H1" s="73"/>
      <c r="I1" s="73"/>
      <c r="J1" s="73"/>
      <c r="K1" s="73"/>
      <c r="L1" s="73"/>
    </row>
    <row r="2" spans="1:12" ht="13.75" customHeight="1">
      <c r="A2" s="333" t="s">
        <v>209</v>
      </c>
      <c r="B2" s="1135" t="s">
        <v>751</v>
      </c>
      <c r="C2" s="1123"/>
      <c r="D2" s="1123"/>
      <c r="E2" s="1123"/>
      <c r="F2" s="1123"/>
      <c r="G2" s="1123"/>
      <c r="H2" s="1123"/>
      <c r="I2" s="1123"/>
      <c r="J2" s="1124"/>
      <c r="K2" s="375"/>
      <c r="L2" s="375"/>
    </row>
    <row r="3" spans="1:12" ht="13.75" customHeight="1">
      <c r="A3" s="334" t="s">
        <v>210</v>
      </c>
      <c r="B3" s="1139" t="str">
        <f>'C-Tamaño'!B3</f>
        <v>Son los distintos tamaños en los que la pizzería puede ofrecer una pizza.</v>
      </c>
      <c r="C3" s="1123"/>
      <c r="D3" s="1123"/>
      <c r="E3" s="1123"/>
      <c r="F3" s="1123"/>
      <c r="G3" s="1123"/>
      <c r="H3" s="1123"/>
      <c r="I3" s="1123"/>
      <c r="J3" s="1124"/>
      <c r="K3" s="375"/>
      <c r="L3" s="375"/>
    </row>
    <row r="4" spans="1:12" ht="27" customHeight="1">
      <c r="A4" s="355" t="s">
        <v>211</v>
      </c>
      <c r="B4" s="1140" t="s">
        <v>212</v>
      </c>
      <c r="C4" s="1080"/>
      <c r="D4" s="362" t="s">
        <v>213</v>
      </c>
      <c r="E4" s="1141" t="s">
        <v>214</v>
      </c>
      <c r="F4" s="1080"/>
      <c r="G4" s="363" t="s">
        <v>215</v>
      </c>
      <c r="H4" s="364" t="s">
        <v>216</v>
      </c>
      <c r="I4" s="365" t="s">
        <v>217</v>
      </c>
      <c r="J4" s="366" t="s">
        <v>218</v>
      </c>
      <c r="K4" s="370"/>
      <c r="L4" s="371"/>
    </row>
    <row r="5" spans="1:12" ht="13.75" customHeight="1">
      <c r="A5" s="355" t="s">
        <v>211</v>
      </c>
      <c r="B5" s="604" t="s">
        <v>219</v>
      </c>
      <c r="C5" s="604" t="s">
        <v>79</v>
      </c>
      <c r="D5" s="356" t="s">
        <v>220</v>
      </c>
      <c r="E5" s="1142" t="s">
        <v>221</v>
      </c>
      <c r="F5" s="1124"/>
      <c r="G5" s="357" t="s">
        <v>222</v>
      </c>
      <c r="H5" s="358" t="s">
        <v>223</v>
      </c>
      <c r="I5" s="359" t="s">
        <v>224</v>
      </c>
      <c r="J5" s="360" t="s">
        <v>225</v>
      </c>
      <c r="K5" s="370"/>
      <c r="L5" s="371"/>
    </row>
    <row r="6" spans="1:12" ht="13.75" customHeight="1">
      <c r="A6" s="559"/>
      <c r="B6" s="559"/>
      <c r="C6" s="559"/>
      <c r="D6" s="559"/>
      <c r="E6" s="603" t="s">
        <v>226</v>
      </c>
      <c r="F6" s="603" t="s">
        <v>79</v>
      </c>
      <c r="G6" s="357" t="s">
        <v>227</v>
      </c>
      <c r="H6" s="559"/>
      <c r="I6" s="559"/>
      <c r="J6" s="559"/>
      <c r="K6" s="375"/>
      <c r="L6" s="375"/>
    </row>
    <row r="7" spans="1:12" ht="48.25" customHeight="1">
      <c r="A7" s="567" t="s">
        <v>228</v>
      </c>
      <c r="B7" s="567" t="s">
        <v>932</v>
      </c>
      <c r="C7" s="567" t="s">
        <v>933</v>
      </c>
      <c r="D7" s="567" t="s">
        <v>751</v>
      </c>
      <c r="E7" s="567"/>
      <c r="F7" s="567"/>
      <c r="G7" s="779" t="str">
        <f>HYPERLINK("#'P-Tamaño'!A5", "P-TAM-001")</f>
        <v>P-TAM-001</v>
      </c>
      <c r="H7" s="567"/>
      <c r="I7" s="567" t="s">
        <v>1358</v>
      </c>
      <c r="J7" s="567"/>
      <c r="K7" s="367"/>
      <c r="L7" s="367"/>
    </row>
    <row r="8" spans="1:12" ht="48.25" customHeight="1">
      <c r="A8" s="1137" t="s">
        <v>228</v>
      </c>
      <c r="B8" s="1137" t="s">
        <v>934</v>
      </c>
      <c r="C8" s="1137" t="s">
        <v>935</v>
      </c>
      <c r="D8" s="1137" t="s">
        <v>751</v>
      </c>
      <c r="E8" s="1137"/>
      <c r="F8" s="1137"/>
      <c r="G8" s="794" t="str">
        <f>HYPERLINK("#'P-Tamaño'!A6", "P-TAM-002")</f>
        <v>P-TAM-002</v>
      </c>
      <c r="H8" s="1137"/>
      <c r="I8" s="1137" t="s">
        <v>936</v>
      </c>
      <c r="J8" s="1137"/>
    </row>
    <row r="9" spans="1:12" ht="48.25" customHeight="1">
      <c r="A9" s="1138"/>
      <c r="B9" s="1138"/>
      <c r="C9" s="1138"/>
      <c r="D9" s="1138"/>
      <c r="E9" s="1138"/>
      <c r="F9" s="1138"/>
      <c r="G9" s="794" t="str">
        <f>HYPERLINK("#'P-Tamaño'!A7", "P-TAM-003")</f>
        <v>P-TAM-003</v>
      </c>
      <c r="H9" s="1138"/>
      <c r="I9" s="1138"/>
      <c r="J9" s="1138"/>
    </row>
    <row r="10" spans="1:12" ht="48.25" customHeight="1">
      <c r="A10" s="1136" t="s">
        <v>228</v>
      </c>
      <c r="B10" s="1136" t="s">
        <v>937</v>
      </c>
      <c r="C10" s="1136" t="s">
        <v>938</v>
      </c>
      <c r="D10" s="1136" t="s">
        <v>751</v>
      </c>
      <c r="E10" s="1136"/>
      <c r="F10" s="1136"/>
      <c r="G10" s="779" t="str">
        <f>HYPERLINK("#'P-Tamaño'!A8", "P-TAM-004")</f>
        <v>P-TAM-004</v>
      </c>
      <c r="H10" s="1136"/>
      <c r="I10" s="1136" t="s">
        <v>939</v>
      </c>
      <c r="J10" s="1136"/>
    </row>
    <row r="11" spans="1:12" ht="48.25" customHeight="1">
      <c r="A11" s="1089"/>
      <c r="B11" s="1089"/>
      <c r="C11" s="1089"/>
      <c r="D11" s="1089"/>
      <c r="E11" s="1089"/>
      <c r="F11" s="1089"/>
      <c r="G11" s="779" t="str">
        <f>HYPERLINK("#'P-Tamaño'!A6", "P-TAM-002")</f>
        <v>P-TAM-002</v>
      </c>
      <c r="H11" s="1089"/>
      <c r="I11" s="1089"/>
      <c r="J11" s="1089"/>
    </row>
    <row r="12" spans="1:12" ht="48.25" customHeight="1">
      <c r="A12" s="1137" t="s">
        <v>228</v>
      </c>
      <c r="B12" s="1137" t="s">
        <v>940</v>
      </c>
      <c r="C12" s="1137" t="s">
        <v>941</v>
      </c>
      <c r="D12" s="1137" t="s">
        <v>751</v>
      </c>
      <c r="E12" s="1137"/>
      <c r="F12" s="1137"/>
      <c r="G12" s="794" t="str">
        <f>HYPERLINK("#'P-Tamaño'!A9", "P-TAM-005")</f>
        <v>P-TAM-005</v>
      </c>
      <c r="H12" s="1137"/>
      <c r="I12" s="1137" t="s">
        <v>942</v>
      </c>
      <c r="J12" s="1137"/>
    </row>
    <row r="13" spans="1:12" ht="48.25" customHeight="1">
      <c r="A13" s="1138"/>
      <c r="B13" s="1138"/>
      <c r="C13" s="1138"/>
      <c r="D13" s="1138"/>
      <c r="E13" s="1138"/>
      <c r="F13" s="1138"/>
      <c r="G13" s="794" t="str">
        <f>HYPERLINK("#'P-Tamaño'!A10", "P-TAM-006")</f>
        <v>P-TAM-006</v>
      </c>
      <c r="H13" s="1138"/>
      <c r="I13" s="1138"/>
      <c r="J13" s="1138"/>
    </row>
  </sheetData>
  <mergeCells count="32">
    <mergeCell ref="E5:F5"/>
    <mergeCell ref="B8:B9"/>
    <mergeCell ref="C10:C11"/>
    <mergeCell ref="E10:E11"/>
    <mergeCell ref="A8:A9"/>
    <mergeCell ref="C8:C9"/>
    <mergeCell ref="I8:I9"/>
    <mergeCell ref="H12:H13"/>
    <mergeCell ref="E8:E9"/>
    <mergeCell ref="B12:B13"/>
    <mergeCell ref="F12:F13"/>
    <mergeCell ref="A12:A13"/>
    <mergeCell ref="C12:C13"/>
    <mergeCell ref="I12:I13"/>
    <mergeCell ref="D12:D13"/>
    <mergeCell ref="B10:B11"/>
    <mergeCell ref="B2:J2"/>
    <mergeCell ref="J10:J11"/>
    <mergeCell ref="J12:J13"/>
    <mergeCell ref="D8:D9"/>
    <mergeCell ref="A10:A11"/>
    <mergeCell ref="I10:I11"/>
    <mergeCell ref="B3:J3"/>
    <mergeCell ref="D10:D11"/>
    <mergeCell ref="H8:H9"/>
    <mergeCell ref="B4:C4"/>
    <mergeCell ref="J8:J9"/>
    <mergeCell ref="E12:E13"/>
    <mergeCell ref="F10:F11"/>
    <mergeCell ref="H10:H11"/>
    <mergeCell ref="E4:F4"/>
    <mergeCell ref="F8:F9"/>
  </mergeCells>
  <hyperlinks>
    <hyperlink ref="A1" location="'Modelo de dominio'!A1" display="&lt;&lt;&lt;Modelo de Dominio" xr:uid="{00000000-0004-0000-3C00-000000000000}"/>
    <hyperlink ref="B1" location="'Objetos de dominio'!A1" display="&lt;&lt;&lt;Objetos de Dominio" xr:uid="{00000000-0004-0000-3C00-000001000000}"/>
    <hyperlink ref="B3" location="'Objetos de dominio'!B24" display="Objeto de dominio que representa la clasificacion de cada movimiento de inventario, indicando si corresponde a una entrada o una salida de existencias." xr:uid="{00000000-0004-0000-3C00-000002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10"/>
  <sheetViews>
    <sheetView workbookViewId="0">
      <selection activeCell="B1" sqref="B1"/>
    </sheetView>
  </sheetViews>
  <sheetFormatPr baseColWidth="10" defaultRowHeight="12.9"/>
  <cols>
    <col min="1" max="1" width="26.625" customWidth="1"/>
    <col min="2" max="2" width="68.25" customWidth="1"/>
    <col min="3" max="3" width="22.875" customWidth="1"/>
    <col min="4" max="4" width="22" customWidth="1"/>
  </cols>
  <sheetData>
    <row r="1" spans="1:4" ht="18.7" customHeight="1">
      <c r="A1" s="49" t="s">
        <v>0</v>
      </c>
      <c r="B1" s="50" t="s">
        <v>1</v>
      </c>
      <c r="C1" s="73"/>
      <c r="D1" s="73"/>
    </row>
    <row r="2" spans="1:4" ht="14.3" customHeight="1">
      <c r="A2" s="189" t="s">
        <v>233</v>
      </c>
      <c r="B2" s="1143" t="s">
        <v>751</v>
      </c>
      <c r="C2" s="1144"/>
      <c r="D2" s="540"/>
    </row>
    <row r="3" spans="1:4" ht="14.3" customHeight="1">
      <c r="A3" s="190" t="s">
        <v>21</v>
      </c>
      <c r="B3" s="1111" t="str">
        <f>'C-Tamaño'!B3</f>
        <v>Son los distintos tamaños en los que la pizzería puede ofrecer una pizza.</v>
      </c>
      <c r="C3" s="1033"/>
      <c r="D3" s="541"/>
    </row>
    <row r="4" spans="1:4" ht="14.3" customHeight="1">
      <c r="A4" s="191" t="s">
        <v>234</v>
      </c>
      <c r="B4" s="55" t="s">
        <v>235</v>
      </c>
      <c r="C4" s="55" t="s">
        <v>236</v>
      </c>
      <c r="D4" s="192" t="s">
        <v>237</v>
      </c>
    </row>
    <row r="5" spans="1:4">
      <c r="A5" s="193" t="s">
        <v>943</v>
      </c>
      <c r="B5" s="114" t="s">
        <v>944</v>
      </c>
      <c r="C5" s="114" t="s">
        <v>751</v>
      </c>
      <c r="D5" s="194"/>
    </row>
    <row r="6" spans="1:4">
      <c r="A6" s="193" t="s">
        <v>945</v>
      </c>
      <c r="B6" s="441" t="s">
        <v>946</v>
      </c>
      <c r="C6" s="441" t="s">
        <v>751</v>
      </c>
      <c r="D6" s="194"/>
    </row>
    <row r="7" spans="1:4">
      <c r="A7" s="193" t="s">
        <v>947</v>
      </c>
      <c r="B7" s="441" t="s">
        <v>948</v>
      </c>
      <c r="C7" s="441" t="s">
        <v>751</v>
      </c>
      <c r="D7" s="194"/>
    </row>
    <row r="8" spans="1:4">
      <c r="A8" s="193" t="s">
        <v>949</v>
      </c>
      <c r="B8" s="441" t="s">
        <v>950</v>
      </c>
      <c r="C8" s="441" t="s">
        <v>751</v>
      </c>
      <c r="D8" s="194"/>
    </row>
    <row r="9" spans="1:4">
      <c r="A9" s="193" t="s">
        <v>951</v>
      </c>
      <c r="B9" s="441" t="s">
        <v>952</v>
      </c>
      <c r="C9" s="441" t="s">
        <v>751</v>
      </c>
      <c r="D9" s="194"/>
    </row>
    <row r="10" spans="1:4">
      <c r="A10" s="193" t="s">
        <v>953</v>
      </c>
      <c r="B10" s="441" t="s">
        <v>954</v>
      </c>
      <c r="C10" s="441" t="s">
        <v>751</v>
      </c>
      <c r="D10" s="194"/>
    </row>
  </sheetData>
  <mergeCells count="2">
    <mergeCell ref="B3:C3"/>
    <mergeCell ref="B2:C2"/>
  </mergeCells>
  <hyperlinks>
    <hyperlink ref="A1" location="'Modelo de dominio'!A1" display="&lt;&lt;&lt;Modelo de Dominio" xr:uid="{00000000-0004-0000-3D00-000000000000}"/>
    <hyperlink ref="B1" location="'Objetos de dominio'!A1" display="&lt;&lt;&lt;Objetos de Dominio" xr:uid="{00000000-0004-0000-3D00-000001000000}"/>
    <hyperlink ref="B3" location="'Objetos de dominio'!B25" display="Objeto de dominio que representa las distintas presentaciones de tamaño en las que la pizzeria puede ofrecer una pizza." xr:uid="{00000000-0004-0000-3D00-000002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
  <sheetViews>
    <sheetView workbookViewId="0">
      <selection activeCell="B1" sqref="B1"/>
    </sheetView>
  </sheetViews>
  <sheetFormatPr baseColWidth="10" defaultColWidth="9.125" defaultRowHeight="12.9"/>
  <cols>
    <col min="2" max="2" width="25.75" customWidth="1"/>
  </cols>
  <sheetData>
    <row r="1" spans="1:2" ht="18.7" customHeight="1">
      <c r="A1" s="76" t="s">
        <v>0</v>
      </c>
      <c r="B1" s="132" t="s">
        <v>1</v>
      </c>
    </row>
    <row r="2" spans="1:2" ht="76.75" customHeight="1">
      <c r="A2" s="103" t="s">
        <v>741</v>
      </c>
      <c r="B2" s="103" t="s">
        <v>1116</v>
      </c>
    </row>
    <row r="3" spans="1:2">
      <c r="A3" s="1114" t="s">
        <v>8</v>
      </c>
      <c r="B3" s="1113" t="s">
        <v>708</v>
      </c>
    </row>
    <row r="4" spans="1:2">
      <c r="A4" s="1090"/>
      <c r="B4" s="1086"/>
    </row>
    <row r="5" spans="1:2">
      <c r="A5" s="1115"/>
      <c r="B5" s="1044"/>
    </row>
    <row r="6" spans="1:2" ht="25.5" customHeight="1">
      <c r="A6" s="102" t="s">
        <v>14</v>
      </c>
      <c r="B6" s="102" t="s">
        <v>15</v>
      </c>
    </row>
    <row r="7" spans="1:2">
      <c r="A7" s="234" t="s">
        <v>16</v>
      </c>
      <c r="B7" s="369" t="s">
        <v>20</v>
      </c>
    </row>
    <row r="8" spans="1:2">
      <c r="A8" s="287">
        <v>1</v>
      </c>
      <c r="B8" s="478" t="s">
        <v>36</v>
      </c>
    </row>
    <row r="9" spans="1:2">
      <c r="A9" s="287">
        <v>2</v>
      </c>
      <c r="B9" s="562" t="s">
        <v>44</v>
      </c>
    </row>
    <row r="10" spans="1:2">
      <c r="A10" s="287">
        <v>3</v>
      </c>
      <c r="B10" s="562" t="s">
        <v>53</v>
      </c>
    </row>
  </sheetData>
  <mergeCells count="2">
    <mergeCell ref="B3:B5"/>
    <mergeCell ref="A3:A5"/>
  </mergeCells>
  <hyperlinks>
    <hyperlink ref="A1" location="'Modelo de dominio'!A1" display="&lt;&lt;&lt;Modelo de Dominio" xr:uid="{00000000-0004-0000-2900-000000000000}"/>
    <hyperlink ref="B1" location="'Objetos de dominio'!A1" display="&lt;&lt;&lt;Objetos de Dominio" xr:uid="{00000000-0004-0000-2900-000001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V22"/>
  <sheetViews>
    <sheetView topLeftCell="O1" zoomScale="64" workbookViewId="0">
      <selection activeCell="J18" sqref="J18"/>
    </sheetView>
  </sheetViews>
  <sheetFormatPr baseColWidth="10" defaultRowHeight="12.9"/>
  <cols>
    <col min="1" max="1" width="27.75" bestFit="1" customWidth="1"/>
    <col min="2" max="2" width="203.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38.75" bestFit="1" customWidth="1"/>
    <col min="10" max="10" width="23.25" bestFit="1" customWidth="1"/>
    <col min="11" max="11" width="21.75" bestFit="1" customWidth="1"/>
    <col min="12" max="12" width="18.75" bestFit="1" customWidth="1"/>
    <col min="13" max="13" width="167.625" bestFit="1" customWidth="1"/>
    <col min="14" max="14" width="15.375" bestFit="1" customWidth="1"/>
    <col min="15" max="15" width="31.25" bestFit="1" customWidth="1"/>
    <col min="16" max="16" width="28.25" bestFit="1" customWidth="1"/>
    <col min="17" max="17" width="59.125" bestFit="1" customWidth="1"/>
    <col min="18" max="18" width="48.875" bestFit="1" customWidth="1"/>
    <col min="19" max="19" width="23.875" bestFit="1" customWidth="1"/>
    <col min="20" max="20" width="27.375" bestFit="1" customWidth="1"/>
    <col min="21" max="21" width="15.25" bestFit="1" customWidth="1"/>
    <col min="22" max="22" width="36.625" bestFit="1" customWidth="1"/>
  </cols>
  <sheetData>
    <row r="1" spans="1:22" ht="18.7" customHeight="1">
      <c r="A1" s="76" t="s">
        <v>0</v>
      </c>
      <c r="B1" s="132" t="s">
        <v>1</v>
      </c>
      <c r="C1" s="25"/>
      <c r="D1" s="25"/>
      <c r="E1" s="25"/>
      <c r="F1" s="25"/>
      <c r="G1" s="25"/>
      <c r="H1" s="25"/>
      <c r="I1" s="25"/>
      <c r="J1" s="25"/>
      <c r="K1" s="25"/>
      <c r="L1" s="25"/>
      <c r="M1" s="25"/>
      <c r="N1" s="25"/>
      <c r="O1" s="25"/>
      <c r="P1" s="25"/>
      <c r="Q1" s="25"/>
      <c r="R1" s="25"/>
      <c r="S1" s="25"/>
      <c r="T1" s="25"/>
      <c r="U1" s="25"/>
    </row>
    <row r="2" spans="1:22" ht="14.95" customHeight="1">
      <c r="A2" s="7" t="s">
        <v>20</v>
      </c>
      <c r="B2" s="545" t="s">
        <v>34</v>
      </c>
    </row>
    <row r="3" spans="1:22" ht="14.95" customHeight="1">
      <c r="A3" s="7" t="s">
        <v>79</v>
      </c>
      <c r="B3" s="546" t="str">
        <f>HYPERLINK("#'Objetos de dominio'!B8", 'Objetos de dominio'!B8)</f>
        <v>Indica qué operación fue la que generó un movimiento de inventario: una compra, una venta, un cambio de un producto que no es perecedero, o el retiro de un lote (porque se cambió o porque se venció).</v>
      </c>
    </row>
    <row r="4" spans="1:22" ht="14.95"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HYPERLINK("#'C-CategoriaOrigen'!A18", 'C-CategoriaOrigen'!A18)</f>
        <v>Consultar categorias de origen disponibles</v>
      </c>
    </row>
    <row r="5" spans="1:22" ht="14.3" customHeight="1">
      <c r="A5" s="135" t="str">
        <f>HYPERLINK("#'M-CategoriaOrigen'!A7", 'M-CategoriaOrigen'!A7)</f>
        <v>Id</v>
      </c>
      <c r="B5" s="135" t="str">
        <f>HYPERLINK("#'M-CategoriaOrigen'!A2", 'M-CategoriaOrigen'!A2)</f>
        <v>Representa el identificador unico de cada categoria de origen</v>
      </c>
      <c r="C5" s="9" t="s">
        <v>15</v>
      </c>
      <c r="D5" s="9" t="s">
        <v>485</v>
      </c>
      <c r="E5" s="9" t="s">
        <v>15</v>
      </c>
      <c r="F5" s="9"/>
      <c r="G5" s="9"/>
      <c r="H5" s="9"/>
      <c r="I5" s="9"/>
      <c r="J5" s="9"/>
      <c r="K5" s="9"/>
      <c r="L5" s="9"/>
      <c r="M5" s="9"/>
      <c r="N5" s="9" t="s">
        <v>100</v>
      </c>
      <c r="O5" s="9" t="s">
        <v>100</v>
      </c>
      <c r="P5" s="9"/>
      <c r="Q5" s="9" t="s">
        <v>100</v>
      </c>
      <c r="R5" s="9" t="s">
        <v>100</v>
      </c>
      <c r="S5" s="9" t="s">
        <v>100</v>
      </c>
      <c r="T5" s="9"/>
      <c r="U5" s="112" t="s">
        <v>15</v>
      </c>
      <c r="V5" s="582" t="s">
        <v>274</v>
      </c>
    </row>
    <row r="6" spans="1:22" ht="14.3" customHeight="1">
      <c r="A6" s="135" t="str">
        <f>HYPERLINK("#'M-CategoriaOrigen'!B7", 'M-CategoriaOrigen'!B7)</f>
        <v>Nombre</v>
      </c>
      <c r="B6" s="135" t="str">
        <f>HYPERLINK("#'M-CategoriaOrigen'!B2", 'M-CategoriaOrigen'!B2)</f>
        <v>Nombre de la categoria de origen: indica de donde proviene la operacion (Compra, Venta o Cambio)</v>
      </c>
      <c r="C6" s="9" t="s">
        <v>100</v>
      </c>
      <c r="D6" s="9" t="s">
        <v>280</v>
      </c>
      <c r="E6" s="9" t="s">
        <v>15</v>
      </c>
      <c r="F6" s="11">
        <v>1</v>
      </c>
      <c r="G6" s="12">
        <v>10</v>
      </c>
      <c r="H6" s="13"/>
      <c r="I6" s="9"/>
      <c r="J6" s="13"/>
      <c r="K6" s="9"/>
      <c r="L6" s="9"/>
      <c r="M6" s="9" t="s">
        <v>1140</v>
      </c>
      <c r="N6" s="9" t="s">
        <v>100</v>
      </c>
      <c r="O6" s="9" t="s">
        <v>100</v>
      </c>
      <c r="P6" s="9"/>
      <c r="Q6" s="13" t="s">
        <v>15</v>
      </c>
      <c r="R6" s="9" t="s">
        <v>15</v>
      </c>
      <c r="S6" s="9" t="s">
        <v>100</v>
      </c>
      <c r="T6" s="9"/>
      <c r="U6" s="112" t="s">
        <v>100</v>
      </c>
      <c r="V6" s="582" t="s">
        <v>278</v>
      </c>
    </row>
    <row r="7" spans="1:22" ht="14.3" customHeight="1">
      <c r="A7" s="154"/>
      <c r="B7" s="155"/>
      <c r="C7" s="155"/>
      <c r="D7" s="155"/>
      <c r="E7" s="155"/>
      <c r="F7" s="156"/>
      <c r="G7" s="157"/>
      <c r="H7" s="154"/>
      <c r="I7" s="155"/>
      <c r="J7" s="154"/>
      <c r="K7" s="155"/>
      <c r="L7" s="155"/>
      <c r="M7" s="155"/>
      <c r="N7" s="155"/>
      <c r="O7" s="155"/>
      <c r="P7" s="155"/>
      <c r="Q7" s="154"/>
      <c r="R7" s="155"/>
      <c r="S7" s="155"/>
      <c r="T7" s="155"/>
      <c r="U7" s="155"/>
    </row>
    <row r="11" spans="1:22" ht="14.95" customHeight="1">
      <c r="A11" s="16" t="s">
        <v>109</v>
      </c>
      <c r="B11" s="16" t="s">
        <v>79</v>
      </c>
      <c r="C11" s="16" t="s">
        <v>110</v>
      </c>
    </row>
    <row r="12" spans="1:22" ht="14.3" customHeight="1">
      <c r="A12" s="391" t="s">
        <v>111</v>
      </c>
      <c r="B12" s="390" t="s">
        <v>1141</v>
      </c>
      <c r="C12" s="139" t="str">
        <f>HYPERLINK("#'C-CategoriaOrigen'!A6", 'C-CategoriaOrigen'!A6)</f>
        <v>Nombre</v>
      </c>
    </row>
    <row r="15" spans="1:22" ht="13.75" customHeight="1"/>
    <row r="16" spans="1:22" ht="14.95" customHeight="1">
      <c r="A16" s="1116" t="s">
        <v>113</v>
      </c>
      <c r="B16" s="1077"/>
      <c r="C16" s="1116" t="s">
        <v>79</v>
      </c>
      <c r="D16" s="1076"/>
      <c r="E16" s="1076"/>
      <c r="F16" s="1077"/>
      <c r="G16" s="1116" t="s">
        <v>114</v>
      </c>
      <c r="H16" s="1123"/>
      <c r="I16" s="1124"/>
      <c r="J16" s="1132" t="s">
        <v>115</v>
      </c>
      <c r="K16" s="1123"/>
      <c r="L16" s="1123"/>
      <c r="M16" s="1123"/>
      <c r="N16" s="1124"/>
      <c r="O16" s="1132" t="s">
        <v>116</v>
      </c>
      <c r="P16" s="1124"/>
      <c r="Q16" s="1132" t="s">
        <v>117</v>
      </c>
      <c r="R16" s="1124"/>
    </row>
    <row r="17" spans="1:18" ht="30.25" customHeight="1">
      <c r="A17" s="1078"/>
      <c r="B17" s="1080"/>
      <c r="C17" s="1078"/>
      <c r="D17" s="1079"/>
      <c r="E17" s="1079"/>
      <c r="F17" s="1080"/>
      <c r="G17" s="551" t="s">
        <v>118</v>
      </c>
      <c r="H17" s="551" t="s">
        <v>8</v>
      </c>
      <c r="I17" s="551" t="s">
        <v>79</v>
      </c>
      <c r="J17" s="691" t="s">
        <v>119</v>
      </c>
      <c r="K17" s="1132" t="s">
        <v>79</v>
      </c>
      <c r="L17" s="1123"/>
      <c r="M17" s="1123"/>
      <c r="N17" s="1124"/>
      <c r="O17" s="550" t="s">
        <v>120</v>
      </c>
      <c r="P17" s="550" t="s">
        <v>79</v>
      </c>
      <c r="Q17" s="550" t="s">
        <v>121</v>
      </c>
      <c r="R17" s="550" t="s">
        <v>122</v>
      </c>
    </row>
    <row r="18" spans="1:18" ht="50.95" customHeight="1">
      <c r="A18" s="1127" t="str">
        <f>HYPERLINK("#'C-CategoriaOrigen'!V4", 'E-CategoriaOrigen'!B7)</f>
        <v>Consultar categorias de origen disponibles</v>
      </c>
      <c r="B18" s="1124"/>
      <c r="C18" s="977" t="str">
        <f>'E-CategoriaOrigen'!C7</f>
        <v>Permite consultar las categorias de origen (Compra, Venta o Cambio) que indican que operacion genero un movimiento de inventario.</v>
      </c>
      <c r="D18" s="1123"/>
      <c r="E18" s="1123"/>
      <c r="F18" s="1124"/>
      <c r="G18" s="579" t="s">
        <v>425</v>
      </c>
      <c r="H18" s="579" t="s">
        <v>299</v>
      </c>
      <c r="I18" s="705" t="s">
        <v>1373</v>
      </c>
      <c r="J18" s="706" t="s">
        <v>1374</v>
      </c>
      <c r="K18" s="1133" t="s">
        <v>1375</v>
      </c>
      <c r="L18" s="1123"/>
      <c r="M18" s="1123"/>
      <c r="N18" s="1124"/>
      <c r="O18" s="776" t="str">
        <f>HYPERLINK("#'P-CategoriaOrigen'!A5", 'P-CategoriaOrigen'!A5)</f>
        <v>P-ORI-001</v>
      </c>
      <c r="P18" s="512" t="str">
        <f>'P-CategoriaOrigen'!B5</f>
        <v>Asegurar que la categoria de origen exista con el identificador indicado.</v>
      </c>
      <c r="Q18" s="552" t="s">
        <v>1376</v>
      </c>
      <c r="R18" s="512" t="s">
        <v>1377</v>
      </c>
    </row>
    <row r="19" spans="1:18">
      <c r="O19" s="437"/>
    </row>
    <row r="20" spans="1:18">
      <c r="O20" s="438"/>
    </row>
    <row r="21" spans="1:18">
      <c r="A21" s="354"/>
      <c r="B21" s="375"/>
      <c r="C21" s="352"/>
      <c r="D21" s="375"/>
      <c r="E21" s="375"/>
      <c r="F21" s="375"/>
      <c r="G21" s="354"/>
      <c r="H21" s="354"/>
      <c r="I21" s="352"/>
      <c r="J21" s="352"/>
      <c r="K21" s="352"/>
      <c r="L21" s="375"/>
      <c r="M21" s="375"/>
      <c r="N21" s="375"/>
      <c r="O21" s="352"/>
      <c r="P21" s="353"/>
      <c r="Q21" s="353"/>
      <c r="R21" s="353"/>
    </row>
    <row r="22" spans="1:18">
      <c r="A22" s="375"/>
      <c r="B22" s="375"/>
      <c r="C22" s="375"/>
      <c r="D22" s="375"/>
      <c r="E22" s="375"/>
      <c r="F22" s="375"/>
      <c r="G22" s="375"/>
      <c r="H22" s="375"/>
      <c r="I22" s="375"/>
      <c r="J22" s="375"/>
      <c r="K22" s="375"/>
      <c r="L22" s="375"/>
      <c r="M22" s="375"/>
      <c r="N22" s="375"/>
      <c r="O22" s="352"/>
      <c r="P22" s="353"/>
      <c r="Q22" s="375"/>
      <c r="R22" s="375"/>
    </row>
  </sheetData>
  <mergeCells count="10">
    <mergeCell ref="Q16:R16"/>
    <mergeCell ref="G16:I16"/>
    <mergeCell ref="C18:F18"/>
    <mergeCell ref="O16:P16"/>
    <mergeCell ref="K18:N18"/>
    <mergeCell ref="A16:B17"/>
    <mergeCell ref="K17:N17"/>
    <mergeCell ref="J16:N16"/>
    <mergeCell ref="C16:F17"/>
    <mergeCell ref="A18:B18"/>
  </mergeCells>
  <hyperlinks>
    <hyperlink ref="A1" location="'Modelo de dominio'!A1" display="&lt;&lt;&lt;Modelo de Dominio" xr:uid="{00000000-0004-0000-2A00-000000000000}"/>
    <hyperlink ref="B1" location="'Objetos de dominio'!A1" display="&lt;&lt;&lt;Objetos de Dominio" xr:uid="{00000000-0004-0000-2A00-000001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15"/>
  <sheetViews>
    <sheetView topLeftCell="A2" workbookViewId="0">
      <selection activeCell="G13" sqref="G13"/>
    </sheetView>
  </sheetViews>
  <sheetFormatPr baseColWidth="10" defaultRowHeight="12.9"/>
  <cols>
    <col min="1" max="1" width="17" bestFit="1" customWidth="1"/>
    <col min="2" max="2" width="13.875" bestFit="1" customWidth="1"/>
    <col min="3" max="3" width="61.25" bestFit="1" customWidth="1"/>
    <col min="4" max="4" width="26.375" bestFit="1" customWidth="1"/>
    <col min="5" max="6" width="10.375" bestFit="1" customWidth="1"/>
    <col min="7" max="7" width="17.375" bestFit="1" customWidth="1"/>
    <col min="8" max="8" width="13.75" bestFit="1" customWidth="1"/>
    <col min="9" max="9" width="15" bestFit="1" customWidth="1"/>
    <col min="10" max="10" width="19.875" bestFit="1" customWidth="1"/>
  </cols>
  <sheetData>
    <row r="1" spans="1:12" ht="18.7" customHeight="1">
      <c r="A1" s="49" t="s">
        <v>0</v>
      </c>
      <c r="B1" s="50" t="s">
        <v>1</v>
      </c>
      <c r="C1" s="73"/>
      <c r="D1" s="73"/>
      <c r="E1" s="73"/>
      <c r="F1" s="73"/>
      <c r="G1" s="73"/>
      <c r="H1" s="73"/>
      <c r="I1" s="73"/>
      <c r="J1" s="73"/>
      <c r="K1" s="374"/>
      <c r="L1" s="374"/>
    </row>
    <row r="2" spans="1:12" ht="13.75" customHeight="1">
      <c r="A2" s="51" t="s">
        <v>209</v>
      </c>
      <c r="B2" s="372" t="s">
        <v>34</v>
      </c>
      <c r="C2" s="373"/>
      <c r="D2" s="373"/>
      <c r="E2" s="373"/>
      <c r="F2" s="373"/>
      <c r="G2" s="373"/>
      <c r="H2" s="373"/>
      <c r="I2" s="373"/>
      <c r="J2" s="577"/>
      <c r="K2" s="375"/>
      <c r="L2" s="375"/>
    </row>
    <row r="3" spans="1:12" ht="13.75" customHeight="1">
      <c r="A3" s="52" t="s">
        <v>210</v>
      </c>
      <c r="B3" s="1063" t="str">
        <f>'C-CategoriaOrigen'!B3</f>
        <v>Indica qué operación fue la que generó un movimiento de inventario: una compra, una venta, un cambio de un producto que no es perecedero, o el retiro de un lote (porque se cambió o porque se venció).</v>
      </c>
      <c r="C3" s="1032"/>
      <c r="D3" s="1032"/>
      <c r="E3" s="1032"/>
      <c r="F3" s="1032"/>
      <c r="G3" s="1032"/>
      <c r="H3" s="1032"/>
      <c r="I3" s="1032"/>
      <c r="J3" s="1033"/>
      <c r="K3" s="375"/>
      <c r="L3" s="375"/>
    </row>
    <row r="4" spans="1:12" ht="13.75" customHeight="1">
      <c r="A4" s="575" t="s">
        <v>211</v>
      </c>
      <c r="B4" s="1100" t="s">
        <v>212</v>
      </c>
      <c r="C4" s="1033"/>
      <c r="D4" s="226" t="s">
        <v>213</v>
      </c>
      <c r="E4" s="1106" t="s">
        <v>214</v>
      </c>
      <c r="F4" s="1033"/>
      <c r="G4" s="53" t="s">
        <v>215</v>
      </c>
      <c r="H4" s="381" t="s">
        <v>216</v>
      </c>
      <c r="I4" s="377" t="s">
        <v>217</v>
      </c>
      <c r="J4" s="380" t="s">
        <v>218</v>
      </c>
      <c r="K4" s="370"/>
      <c r="L4" s="371"/>
    </row>
    <row r="5" spans="1:12" ht="13.75" customHeight="1">
      <c r="A5" s="1110" t="s">
        <v>211</v>
      </c>
      <c r="B5" s="1100" t="s">
        <v>219</v>
      </c>
      <c r="C5" s="1100" t="s">
        <v>79</v>
      </c>
      <c r="D5" s="1101" t="s">
        <v>220</v>
      </c>
      <c r="E5" s="1106" t="s">
        <v>221</v>
      </c>
      <c r="F5" s="1033"/>
      <c r="G5" s="53" t="s">
        <v>222</v>
      </c>
      <c r="H5" s="1158" t="s">
        <v>223</v>
      </c>
      <c r="I5" s="1103" t="s">
        <v>224</v>
      </c>
      <c r="J5" s="1097" t="s">
        <v>225</v>
      </c>
      <c r="K5" s="370"/>
      <c r="L5" s="371"/>
    </row>
    <row r="6" spans="1:12" ht="13.75" customHeight="1">
      <c r="A6" s="1066"/>
      <c r="B6" s="1066"/>
      <c r="C6" s="1066"/>
      <c r="D6" s="1066"/>
      <c r="E6" s="126" t="s">
        <v>226</v>
      </c>
      <c r="F6" s="126" t="s">
        <v>79</v>
      </c>
      <c r="G6" s="127" t="s">
        <v>227</v>
      </c>
      <c r="H6" s="1066"/>
      <c r="I6" s="1066"/>
      <c r="J6" s="1066"/>
      <c r="K6" s="375"/>
      <c r="L6" s="375"/>
    </row>
    <row r="7" spans="1:12" ht="12.9" customHeight="1">
      <c r="A7" s="1156" t="s">
        <v>228</v>
      </c>
      <c r="B7" s="1156" t="s">
        <v>1369</v>
      </c>
      <c r="C7" s="1156" t="s">
        <v>1370</v>
      </c>
      <c r="D7" s="1156" t="s">
        <v>34</v>
      </c>
      <c r="E7" s="1156"/>
      <c r="F7" s="1157"/>
      <c r="G7" s="1159" t="str">
        <f>HYPERLINK("#'P-CategoriaOrigen'!A5", "P-ORI-001")</f>
        <v>P-ORI-001</v>
      </c>
      <c r="H7" s="1156"/>
      <c r="I7" s="1156" t="s">
        <v>1371</v>
      </c>
      <c r="J7" s="1156"/>
      <c r="K7" s="367"/>
      <c r="L7" s="367"/>
    </row>
    <row r="8" spans="1:12">
      <c r="A8" s="1089"/>
      <c r="B8" s="1089"/>
      <c r="C8" s="1089"/>
      <c r="D8" s="1089"/>
      <c r="E8" s="1089"/>
      <c r="F8" s="1089"/>
      <c r="G8" s="1089"/>
      <c r="H8" s="1089"/>
      <c r="I8" s="1089"/>
      <c r="J8" s="1089"/>
      <c r="K8" s="375"/>
      <c r="L8" s="375"/>
    </row>
    <row r="9" spans="1:12">
      <c r="G9" s="436"/>
      <c r="K9" s="375"/>
      <c r="L9" s="375"/>
    </row>
    <row r="10" spans="1:12">
      <c r="A10" s="375"/>
      <c r="B10" s="375"/>
      <c r="C10" s="375"/>
      <c r="D10" s="375"/>
      <c r="E10" s="375"/>
      <c r="F10" s="375"/>
      <c r="G10" s="361"/>
      <c r="H10" s="375"/>
      <c r="I10" s="375"/>
      <c r="J10" s="375"/>
      <c r="K10" s="367"/>
      <c r="L10" s="367"/>
    </row>
    <row r="11" spans="1:12">
      <c r="A11" s="375"/>
      <c r="B11" s="375"/>
      <c r="C11" s="375"/>
      <c r="D11" s="375"/>
      <c r="E11" s="375"/>
      <c r="F11" s="375"/>
      <c r="G11" s="361"/>
      <c r="H11" s="375"/>
      <c r="I11" s="375"/>
      <c r="J11" s="375"/>
      <c r="K11" s="375"/>
      <c r="L11" s="375"/>
    </row>
    <row r="12" spans="1:12">
      <c r="A12" s="375"/>
      <c r="B12" s="375"/>
      <c r="C12" s="375"/>
      <c r="D12" s="375"/>
      <c r="E12" s="375"/>
      <c r="F12" s="375"/>
      <c r="G12" s="361"/>
      <c r="H12" s="375"/>
      <c r="I12" s="375"/>
      <c r="J12" s="375"/>
      <c r="K12" s="375"/>
      <c r="L12" s="375"/>
    </row>
    <row r="13" spans="1:12">
      <c r="A13" s="375"/>
      <c r="B13" s="375"/>
      <c r="C13" s="375"/>
      <c r="D13" s="375"/>
      <c r="E13" s="375"/>
      <c r="F13" s="375"/>
      <c r="G13" s="361"/>
      <c r="I13" s="375"/>
      <c r="J13" s="375"/>
    </row>
    <row r="14" spans="1:12">
      <c r="A14" s="375"/>
      <c r="B14" s="375"/>
      <c r="C14" s="375"/>
      <c r="D14" s="375"/>
      <c r="E14" s="375"/>
      <c r="F14" s="375"/>
      <c r="G14" s="361"/>
      <c r="H14" s="375"/>
      <c r="I14" s="375"/>
      <c r="J14" s="375"/>
    </row>
    <row r="15" spans="1:12">
      <c r="A15" s="375"/>
      <c r="B15" s="375"/>
      <c r="C15" s="375"/>
      <c r="D15" s="375"/>
      <c r="E15" s="375"/>
      <c r="F15" s="375"/>
      <c r="G15" s="361"/>
      <c r="H15" s="375"/>
      <c r="I15" s="375"/>
      <c r="J15" s="375"/>
    </row>
  </sheetData>
  <mergeCells count="21">
    <mergeCell ref="A5:A6"/>
    <mergeCell ref="C7:C8"/>
    <mergeCell ref="E7:E8"/>
    <mergeCell ref="B5:B6"/>
    <mergeCell ref="D5:D6"/>
    <mergeCell ref="E5:F5"/>
    <mergeCell ref="A7:A8"/>
    <mergeCell ref="D7:D8"/>
    <mergeCell ref="B3:J3"/>
    <mergeCell ref="J5:J6"/>
    <mergeCell ref="B7:B8"/>
    <mergeCell ref="F7:F8"/>
    <mergeCell ref="B4:C4"/>
    <mergeCell ref="C5:C6"/>
    <mergeCell ref="J7:J8"/>
    <mergeCell ref="I5:I6"/>
    <mergeCell ref="H5:H6"/>
    <mergeCell ref="G7:G8"/>
    <mergeCell ref="I7:I8"/>
    <mergeCell ref="E4:F4"/>
    <mergeCell ref="H7:H8"/>
  </mergeCells>
  <hyperlinks>
    <hyperlink ref="A1" location="'Modelo de dominio'!A1" display="&lt;&lt;&lt;Modelo de Dominio" xr:uid="{00000000-0004-0000-2B00-000000000000}"/>
    <hyperlink ref="B1" location="'Objetos de dominio'!A1" display="&lt;&lt;&lt;Objetos de Dominio" xr:uid="{00000000-0004-0000-2B00-000001000000}"/>
    <hyperlink ref="B3" location="'Objetos de dominio'!B9" display="Objeto de dominio que representa los precios que ha tenido cada producto en la pizzeria  a lo largo del tiempo " xr:uid="{00000000-0004-0000-2B00-000002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5"/>
  <sheetViews>
    <sheetView workbookViewId="0">
      <selection activeCell="B1" sqref="B1"/>
    </sheetView>
  </sheetViews>
  <sheetFormatPr baseColWidth="10" defaultRowHeight="12.9"/>
  <cols>
    <col min="1" max="1" width="17.625" bestFit="1" customWidth="1"/>
    <col min="2" max="2" width="120.75" bestFit="1" customWidth="1"/>
    <col min="3" max="3" width="19.375" bestFit="1" customWidth="1"/>
    <col min="4" max="4" width="19.125" bestFit="1" customWidth="1"/>
  </cols>
  <sheetData>
    <row r="1" spans="1:4" ht="18.7" customHeight="1">
      <c r="A1" s="49" t="s">
        <v>0</v>
      </c>
      <c r="B1" s="50" t="s">
        <v>1</v>
      </c>
      <c r="C1" s="73"/>
      <c r="D1" s="73"/>
    </row>
    <row r="2" spans="1:4" ht="14.3" customHeight="1">
      <c r="A2" s="189" t="s">
        <v>233</v>
      </c>
      <c r="B2" s="1143" t="s">
        <v>34</v>
      </c>
      <c r="C2" s="1144"/>
      <c r="D2" s="540"/>
    </row>
    <row r="3" spans="1:4" ht="14.3" customHeight="1">
      <c r="A3" s="190" t="s">
        <v>21</v>
      </c>
      <c r="B3" s="1111" t="str">
        <f>'C-CategoriaOrigen'!B3</f>
        <v>Indica qué operación fue la que generó un movimiento de inventario: una compra, una venta, un cambio de un producto que no es perecedero, o el retiro de un lote (porque se cambió o porque se venció).</v>
      </c>
      <c r="C3" s="1033"/>
      <c r="D3" s="541"/>
    </row>
    <row r="4" spans="1:4" ht="14.3" customHeight="1">
      <c r="A4" s="191" t="s">
        <v>234</v>
      </c>
      <c r="B4" s="55" t="s">
        <v>235</v>
      </c>
      <c r="C4" s="55" t="s">
        <v>236</v>
      </c>
      <c r="D4" s="192" t="s">
        <v>237</v>
      </c>
    </row>
    <row r="5" spans="1:4">
      <c r="A5" s="193" t="s">
        <v>743</v>
      </c>
      <c r="B5" s="114" t="s">
        <v>1372</v>
      </c>
      <c r="C5" s="114" t="s">
        <v>34</v>
      </c>
      <c r="D5" s="194"/>
    </row>
  </sheetData>
  <mergeCells count="2">
    <mergeCell ref="B3:C3"/>
    <mergeCell ref="B2:C2"/>
  </mergeCells>
  <hyperlinks>
    <hyperlink ref="A1" location="'Modelo de dominio'!A1" display="&lt;&lt;&lt;Modelo de Dominio" xr:uid="{00000000-0004-0000-2C00-000000000000}"/>
    <hyperlink ref="B1" location="'Objetos de dominio'!A1" display="&lt;&lt;&lt;Objetos de Dominio" xr:uid="{00000000-0004-0000-2C00-000001000000}"/>
    <hyperlink ref="B3" location="'Objetos de dominio'!B27" display="Objeto de dominio que representa la clasificacion de cada movimiento de inventario segun la operacion que lo origino: una compra, una venta, un cambio de producto no perecedero, o el retiro de un lote (por cambio o por desecho de un perecedero proximo a vencer)." xr:uid="{00000000-0004-0000-2C00-000002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0">
    <tabColor theme="0"/>
    <outlinePr summaryBelow="0" summaryRight="0"/>
  </sheetPr>
  <dimension ref="A1:X14"/>
  <sheetViews>
    <sheetView workbookViewId="0">
      <selection activeCell="E6" sqref="E6"/>
    </sheetView>
  </sheetViews>
  <sheetFormatPr baseColWidth="10" defaultColWidth="12.625" defaultRowHeight="15.8" customHeight="1"/>
  <cols>
    <col min="2" max="2" width="15.875" customWidth="1"/>
    <col min="3" max="3" width="18.375" customWidth="1"/>
    <col min="4" max="4" width="18.625" customWidth="1"/>
    <col min="5" max="5" width="29" customWidth="1"/>
    <col min="6" max="6" width="32.125" customWidth="1"/>
    <col min="7" max="7" width="17.25" customWidth="1"/>
  </cols>
  <sheetData>
    <row r="1" spans="1:24" ht="18.7" customHeight="1">
      <c r="A1" s="137" t="s">
        <v>254</v>
      </c>
      <c r="B1" s="137" t="s">
        <v>255</v>
      </c>
      <c r="C1" s="33"/>
      <c r="D1" s="33"/>
      <c r="E1" s="33"/>
      <c r="F1" s="34"/>
      <c r="G1" s="34"/>
      <c r="H1" s="34"/>
      <c r="I1" s="34"/>
      <c r="J1" s="34"/>
      <c r="K1" s="34"/>
      <c r="L1" s="34"/>
      <c r="M1" s="34"/>
      <c r="N1" s="34"/>
      <c r="O1" s="34"/>
      <c r="P1" s="34"/>
      <c r="Q1" s="34"/>
      <c r="R1" s="34"/>
      <c r="S1" s="34"/>
      <c r="T1" s="34"/>
      <c r="U1" s="34"/>
      <c r="V1" s="34"/>
      <c r="W1" s="34"/>
      <c r="X1" s="34"/>
    </row>
    <row r="2" spans="1:24" ht="83.25" customHeight="1">
      <c r="A2" s="253" t="s">
        <v>1159</v>
      </c>
      <c r="B2" s="253" t="s">
        <v>256</v>
      </c>
      <c r="C2" s="253" t="s">
        <v>257</v>
      </c>
      <c r="D2" s="253" t="s">
        <v>258</v>
      </c>
      <c r="E2" s="253" t="s">
        <v>259</v>
      </c>
      <c r="F2" s="254"/>
      <c r="G2" s="82"/>
      <c r="H2" s="82"/>
      <c r="I2" s="82"/>
      <c r="J2" s="82"/>
      <c r="K2" s="82"/>
      <c r="L2" s="82"/>
      <c r="M2" s="82"/>
      <c r="N2" s="82"/>
      <c r="O2" s="82"/>
      <c r="P2" s="82"/>
      <c r="Q2" s="82"/>
      <c r="R2" s="82"/>
      <c r="S2" s="82"/>
      <c r="T2" s="82"/>
      <c r="U2" s="82"/>
      <c r="V2" s="82"/>
      <c r="W2" s="82"/>
      <c r="X2" s="82"/>
    </row>
    <row r="3" spans="1:24" ht="43.5" customHeight="1">
      <c r="A3" s="255" t="s">
        <v>8</v>
      </c>
      <c r="B3" s="256" t="s">
        <v>260</v>
      </c>
      <c r="C3" s="256" t="s">
        <v>9</v>
      </c>
      <c r="D3" s="256" t="s">
        <v>750</v>
      </c>
      <c r="E3" s="256" t="s">
        <v>261</v>
      </c>
      <c r="F3" s="257"/>
      <c r="G3" s="82"/>
      <c r="H3" s="82"/>
      <c r="I3" s="82"/>
      <c r="J3" s="82"/>
      <c r="K3" s="82"/>
      <c r="L3" s="82"/>
      <c r="M3" s="82"/>
      <c r="N3" s="82"/>
      <c r="O3" s="82"/>
      <c r="P3" s="82"/>
      <c r="Q3" s="82"/>
      <c r="R3" s="82"/>
      <c r="S3" s="82"/>
      <c r="T3" s="82"/>
      <c r="U3" s="82"/>
      <c r="V3" s="82"/>
      <c r="W3" s="82"/>
      <c r="X3" s="82"/>
    </row>
    <row r="4" spans="1:24" ht="12.75" customHeight="1">
      <c r="A4" s="258" t="s">
        <v>14</v>
      </c>
      <c r="B4" s="258" t="s">
        <v>15</v>
      </c>
      <c r="C4" s="258" t="s">
        <v>15</v>
      </c>
      <c r="D4" s="258" t="s">
        <v>15</v>
      </c>
      <c r="E4" s="259" t="s">
        <v>15</v>
      </c>
      <c r="F4" s="260"/>
      <c r="G4" s="82"/>
      <c r="H4" s="82"/>
      <c r="I4" s="82"/>
      <c r="J4" s="82"/>
      <c r="K4" s="82"/>
      <c r="L4" s="82"/>
      <c r="M4" s="82"/>
      <c r="N4" s="82"/>
      <c r="O4" s="82"/>
      <c r="P4" s="82"/>
      <c r="Q4" s="82"/>
      <c r="R4" s="82"/>
      <c r="S4" s="82"/>
      <c r="T4" s="82"/>
      <c r="U4" s="82"/>
      <c r="V4" s="82"/>
      <c r="W4" s="82"/>
      <c r="X4" s="82"/>
    </row>
    <row r="5" spans="1:24" ht="12.75" customHeight="1">
      <c r="A5" s="261" t="s">
        <v>16</v>
      </c>
      <c r="B5" s="266" t="s">
        <v>260</v>
      </c>
      <c r="C5" s="262" t="s">
        <v>262</v>
      </c>
      <c r="D5" s="263" t="s">
        <v>263</v>
      </c>
      <c r="E5" s="264" t="s">
        <v>1153</v>
      </c>
      <c r="F5" s="250" t="s">
        <v>18</v>
      </c>
      <c r="G5" s="39"/>
      <c r="H5" s="39"/>
      <c r="I5" s="39"/>
      <c r="J5" s="39"/>
      <c r="K5" s="39"/>
      <c r="L5" s="39"/>
      <c r="M5" s="39"/>
      <c r="N5" s="39"/>
      <c r="O5" s="39"/>
      <c r="P5" s="39"/>
      <c r="Q5" s="39"/>
      <c r="R5" s="39"/>
      <c r="S5" s="39"/>
      <c r="T5" s="39"/>
      <c r="U5" s="39"/>
      <c r="V5" s="39"/>
      <c r="W5" s="39"/>
      <c r="X5" s="39"/>
    </row>
    <row r="6" spans="1:24" ht="12.75" customHeight="1">
      <c r="A6" s="262">
        <v>1</v>
      </c>
      <c r="B6" s="267" t="str">
        <f>HYPERLINK("#'M-Proveedor'!B6", 'M-Proveedor'!B6)</f>
        <v>Colanta</v>
      </c>
      <c r="C6" s="275">
        <v>46266</v>
      </c>
      <c r="D6" s="265" t="s">
        <v>264</v>
      </c>
      <c r="E6" s="262">
        <f>SUMIF('M-DetalleCompra'!$G:$G,F6,'M-DetalleCompra'!$E:$E)</f>
        <v>692500</v>
      </c>
      <c r="F6" s="251" t="str">
        <f t="shared" ref="F6:F14" si="0">CONCATENATE(B6," ",D6)</f>
        <v>Colanta FE-1023</v>
      </c>
      <c r="G6" s="39"/>
      <c r="H6" s="39"/>
      <c r="I6" s="39"/>
      <c r="J6" s="39"/>
      <c r="K6" s="39"/>
      <c r="L6" s="39"/>
      <c r="M6" s="39"/>
      <c r="N6" s="39"/>
      <c r="O6" s="39"/>
      <c r="P6" s="39"/>
      <c r="Q6" s="39"/>
      <c r="R6" s="39"/>
      <c r="S6" s="39"/>
      <c r="T6" s="39"/>
      <c r="U6" s="39"/>
      <c r="V6" s="39"/>
      <c r="W6" s="39"/>
      <c r="X6" s="39"/>
    </row>
    <row r="7" spans="1:24" ht="12.75" customHeight="1">
      <c r="A7" s="262">
        <v>2</v>
      </c>
      <c r="B7" s="267" t="str">
        <f>HYPERLINK("#'M-Proveedor'!B7", 'M-Proveedor'!B7)</f>
        <v>Harinera del valle</v>
      </c>
      <c r="C7" s="275">
        <v>46144</v>
      </c>
      <c r="D7" s="265" t="s">
        <v>265</v>
      </c>
      <c r="E7" s="262">
        <f>SUMIF('M-DetalleCompra'!$G:$G,F7,'M-DetalleCompra'!$E:$E)</f>
        <v>551000</v>
      </c>
      <c r="F7" s="252" t="str">
        <f t="shared" si="0"/>
        <v>Harinera del valle FV-4587</v>
      </c>
      <c r="G7" s="39"/>
      <c r="H7" s="39"/>
      <c r="I7" s="39"/>
      <c r="J7" s="39"/>
      <c r="K7" s="39"/>
      <c r="L7" s="39"/>
      <c r="M7" s="39"/>
      <c r="N7" s="39"/>
      <c r="O7" s="39"/>
      <c r="P7" s="39"/>
      <c r="Q7" s="39"/>
      <c r="R7" s="39"/>
      <c r="S7" s="39"/>
      <c r="T7" s="39"/>
      <c r="U7" s="39"/>
      <c r="V7" s="39"/>
      <c r="W7" s="39"/>
      <c r="X7" s="39"/>
    </row>
    <row r="8" spans="1:24" ht="12.75" customHeight="1">
      <c r="A8" s="262">
        <v>3</v>
      </c>
      <c r="B8" s="267" t="str">
        <f>HYPERLINK("#'M-Proveedor'!B8", 'M-Proveedor'!B8)</f>
        <v>Postobon</v>
      </c>
      <c r="C8" s="275">
        <v>46213</v>
      </c>
      <c r="D8" s="265" t="s">
        <v>266</v>
      </c>
      <c r="E8" s="262">
        <f>SUMIF('M-DetalleCompra'!$G:$G,F8,'M-DetalleCompra'!$E:$E)</f>
        <v>3600</v>
      </c>
      <c r="F8" s="252" t="str">
        <f t="shared" si="0"/>
        <v>Postobon PO-9012</v>
      </c>
      <c r="G8" s="39"/>
      <c r="H8" s="39"/>
      <c r="I8" s="39"/>
      <c r="J8" s="39"/>
      <c r="K8" s="39"/>
      <c r="L8" s="39"/>
      <c r="M8" s="39"/>
      <c r="N8" s="39"/>
      <c r="O8" s="39"/>
      <c r="P8" s="39"/>
      <c r="Q8" s="39"/>
      <c r="R8" s="39"/>
      <c r="S8" s="39"/>
      <c r="T8" s="39"/>
      <c r="U8" s="39"/>
      <c r="V8" s="39"/>
      <c r="W8" s="39"/>
      <c r="X8" s="39"/>
    </row>
    <row r="9" spans="1:24" ht="15.8" customHeight="1">
      <c r="A9" s="249">
        <v>4</v>
      </c>
      <c r="B9" s="268" t="str">
        <f>HYPERLINK("#'M-Proveedor'!B7", 'M-Proveedor'!B7)</f>
        <v>Harinera del valle</v>
      </c>
      <c r="C9" s="276">
        <v>46249</v>
      </c>
      <c r="D9" s="249" t="s">
        <v>267</v>
      </c>
      <c r="E9" s="249">
        <f>SUMIF('M-DetalleCompra'!$G:$G,F9,'M-DetalleCompra'!$E:$E)</f>
        <v>126000</v>
      </c>
      <c r="F9" s="252" t="str">
        <f t="shared" si="0"/>
        <v>Harinera del valle FV-5102</v>
      </c>
    </row>
    <row r="10" spans="1:24" ht="12.75" customHeight="1">
      <c r="A10" s="249">
        <v>5</v>
      </c>
      <c r="B10" s="268" t="str">
        <f>HYPERLINK("#'M-Proveedor'!B6", 'M-Proveedor'!B6)</f>
        <v>Colanta</v>
      </c>
      <c r="C10" s="276">
        <v>46204</v>
      </c>
      <c r="D10" s="249" t="s">
        <v>268</v>
      </c>
      <c r="E10" s="249">
        <f>SUMIF('M-DetalleCompra'!$G:$G,F10,'M-DetalleCompra'!$E:$E)</f>
        <v>3750</v>
      </c>
      <c r="F10" s="249" t="str">
        <f t="shared" si="0"/>
        <v>Colanta FE-1102</v>
      </c>
    </row>
    <row r="11" spans="1:24" ht="12.75" customHeight="1">
      <c r="A11" s="249">
        <v>6</v>
      </c>
      <c r="B11" s="268" t="str">
        <f>HYPERLINK("#'M-Proveedor'!B9", 'M-Proveedor'!B9)</f>
        <v>Central de Abastos</v>
      </c>
      <c r="C11" s="276">
        <v>46188</v>
      </c>
      <c r="D11" s="249" t="s">
        <v>269</v>
      </c>
      <c r="E11" s="249">
        <f>SUMIF('M-DetalleCompra'!$G:$G,F11,'M-DetalleCompra'!$E:$E)</f>
        <v>105000</v>
      </c>
      <c r="F11" s="249" t="str">
        <f t="shared" si="0"/>
        <v>Central de Abastos CA-2201</v>
      </c>
    </row>
    <row r="12" spans="1:24" ht="15.8" customHeight="1">
      <c r="A12" s="249">
        <v>7</v>
      </c>
      <c r="B12" s="288" t="str">
        <f>HYPERLINK("#'M-Proveedor'!B6", 'M-Proveedor'!B6)</f>
        <v>Colanta</v>
      </c>
      <c r="C12" s="276">
        <v>46291</v>
      </c>
      <c r="D12" s="249" t="s">
        <v>270</v>
      </c>
      <c r="E12" s="249">
        <f>SUMIF('M-DetalleCompra'!$G:$G,F12,'M-DetalleCompra'!$E:$E)</f>
        <v>7500</v>
      </c>
      <c r="F12" s="249" t="str">
        <f t="shared" si="0"/>
        <v>Colanta FE-1250</v>
      </c>
    </row>
    <row r="13" spans="1:24" ht="15.8" customHeight="1">
      <c r="A13" s="249">
        <v>8</v>
      </c>
      <c r="B13" s="288" t="str">
        <f>HYPERLINK("#'M-Proveedor'!B9", 'M-Proveedor'!B9)</f>
        <v>Central de Abastos</v>
      </c>
      <c r="C13" s="276">
        <v>46293</v>
      </c>
      <c r="D13" s="249" t="s">
        <v>271</v>
      </c>
      <c r="E13" s="249">
        <f>SUMIF('M-DetalleCompra'!$G:$G,F13,'M-DetalleCompra'!$E:$E)</f>
        <v>36000</v>
      </c>
      <c r="F13" s="249" t="str">
        <f t="shared" si="0"/>
        <v>Central de Abastos CA-2310</v>
      </c>
    </row>
    <row r="14" spans="1:24" ht="15.8" customHeight="1">
      <c r="A14" s="249">
        <v>9</v>
      </c>
      <c r="B14" s="288" t="str">
        <f>HYPERLINK("#'M-Proveedor'!B6", 'M-Proveedor'!B6)</f>
        <v>Colanta</v>
      </c>
      <c r="C14" s="276">
        <v>46295</v>
      </c>
      <c r="D14" s="249" t="s">
        <v>272</v>
      </c>
      <c r="E14" s="249">
        <f>SUMIF('M-DetalleCompra'!$G:$G,F14,'M-DetalleCompra'!$E:$E)</f>
        <v>12500</v>
      </c>
      <c r="F14" s="249" t="str">
        <f t="shared" si="0"/>
        <v>Colanta FE-1263</v>
      </c>
    </row>
  </sheetData>
  <hyperlinks>
    <hyperlink ref="A1" location="'Modelo de dominio'!A1" display="&lt;&lt;&lt; Modelo de dominio" xr:uid="{00000000-0004-0000-0800-000000000000}"/>
    <hyperlink ref="B1" location="'Objetos de dominio'!A1" display="&lt;&lt;&lt; Objetos de dominio" xr:uid="{00000000-0004-0000-0800-000001000000}"/>
    <hyperlink ref="B5" location="'M-Proveedor'!A1" display="Proveedor" xr:uid="{00000000-0004-0000-0800-000002000000}"/>
    <hyperlink ref="B6" location="'M-Proveedor'!B6" display="Colanta" xr:uid="{00000000-0004-0000-0800-000003000000}"/>
    <hyperlink ref="B7" location="'M-Proveedor'!B7" display="Harinera del valle" xr:uid="{00000000-0004-0000-0800-000004000000}"/>
    <hyperlink ref="B8" location="'M-Proveedor'!B8" display="Postobon" xr:uid="{00000000-0004-0000-0800-000005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21">
    <outlinePr summaryBelow="0" summaryRight="0"/>
  </sheetPr>
  <dimension ref="A1:WQJ32"/>
  <sheetViews>
    <sheetView topLeftCell="Q1" zoomScale="61" zoomScaleNormal="72" workbookViewId="0">
      <selection activeCell="Z4" sqref="Z4"/>
    </sheetView>
  </sheetViews>
  <sheetFormatPr baseColWidth="10" defaultColWidth="12.625" defaultRowHeight="12.9"/>
  <cols>
    <col min="1" max="1" width="27.75" bestFit="1" customWidth="1"/>
    <col min="2" max="2" width="65.6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57.75" bestFit="1" customWidth="1"/>
    <col min="10" max="10" width="23.25" bestFit="1" customWidth="1"/>
    <col min="11" max="11" width="21.75" bestFit="1" customWidth="1"/>
    <col min="12" max="12" width="18.75" bestFit="1" customWidth="1"/>
    <col min="13" max="13" width="117" customWidth="1"/>
    <col min="14" max="14" width="25.75" customWidth="1"/>
    <col min="15" max="15" width="31.25" bestFit="1" customWidth="1"/>
    <col min="16" max="16" width="28.25" bestFit="1" customWidth="1"/>
    <col min="17" max="17" width="78" bestFit="1" customWidth="1"/>
    <col min="18" max="18" width="63.25" bestFit="1" customWidth="1"/>
    <col min="19" max="19" width="23.875" bestFit="1" customWidth="1"/>
    <col min="20" max="20" width="27.375" bestFit="1" customWidth="1"/>
    <col min="21" max="21" width="15.25" bestFit="1" customWidth="1"/>
    <col min="22" max="22" width="17.375" customWidth="1"/>
    <col min="23" max="23" width="17.25" customWidth="1"/>
    <col min="25" max="25" width="18.125" customWidth="1"/>
    <col min="26" max="26" width="17" customWidth="1"/>
  </cols>
  <sheetData>
    <row r="1" spans="1:26" ht="13.75" customHeight="1">
      <c r="A1" s="76" t="s">
        <v>0</v>
      </c>
      <c r="B1" s="132" t="s">
        <v>1</v>
      </c>
      <c r="C1" s="25"/>
      <c r="D1" s="25"/>
      <c r="E1" s="25"/>
      <c r="F1" s="25"/>
      <c r="G1" s="25"/>
      <c r="H1" s="25"/>
      <c r="I1" s="25"/>
      <c r="J1" s="25"/>
      <c r="K1" s="25"/>
      <c r="L1" s="25"/>
      <c r="M1" s="25"/>
      <c r="N1" s="25"/>
      <c r="O1" s="25"/>
      <c r="P1" s="25"/>
      <c r="Q1" s="25"/>
      <c r="R1" s="25"/>
      <c r="S1" s="25"/>
      <c r="T1" s="25"/>
      <c r="U1" s="25"/>
    </row>
    <row r="2" spans="1:26" ht="14.3" customHeight="1">
      <c r="A2" s="7" t="s">
        <v>20</v>
      </c>
      <c r="B2" s="1074" t="s">
        <v>36</v>
      </c>
      <c r="C2" s="1032"/>
      <c r="D2" s="1032"/>
      <c r="E2" s="1032"/>
      <c r="F2" s="1032"/>
      <c r="G2" s="1032"/>
      <c r="H2" s="1032"/>
      <c r="I2" s="1032"/>
      <c r="J2" s="1032"/>
      <c r="K2" s="1032"/>
      <c r="L2" s="1032"/>
      <c r="M2" s="1032"/>
      <c r="N2" s="1032"/>
      <c r="O2" s="1032"/>
      <c r="P2" s="1032"/>
      <c r="Q2" s="1032"/>
      <c r="R2" s="1032"/>
      <c r="S2" s="1032"/>
      <c r="T2" s="1032"/>
      <c r="U2" s="1033"/>
    </row>
    <row r="3" spans="1:26" ht="14.3" customHeight="1">
      <c r="A3" s="7" t="s">
        <v>79</v>
      </c>
      <c r="B3" s="1084" t="str">
        <f>HYPERLINK("#'Objetos de dominio'!B9", 'Objetos de dominio'!B10)</f>
        <v>Es cuando la pizzería le compra insumos o productos a un proveedor.</v>
      </c>
      <c r="C3" s="1032"/>
      <c r="D3" s="1032"/>
      <c r="E3" s="1032"/>
      <c r="F3" s="1032"/>
      <c r="G3" s="1032"/>
      <c r="H3" s="1032"/>
      <c r="I3" s="1032"/>
      <c r="J3" s="1032"/>
      <c r="K3" s="1032"/>
      <c r="L3" s="1032"/>
      <c r="M3" s="1032"/>
      <c r="N3" s="1032"/>
      <c r="O3" s="1032"/>
      <c r="P3" s="1032"/>
      <c r="Q3" s="1032"/>
      <c r="R3" s="1032"/>
      <c r="S3" s="1032"/>
      <c r="T3" s="1032"/>
      <c r="U3" s="1033"/>
    </row>
    <row r="4" spans="1:26" ht="14.3" customHeight="1">
      <c r="A4" s="8" t="s">
        <v>80</v>
      </c>
      <c r="B4" s="696"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HYPERLINK("#'C-Compra'!A20", 'C-Compra'!A20)</f>
        <v>Registrar compra</v>
      </c>
      <c r="W4" s="1205" t="str">
        <f>HYPERLINK("#'C-Compra'!A25", 'C-Compra'!A25)</f>
        <v>Modificar compra</v>
      </c>
      <c r="X4" s="1206"/>
      <c r="Y4" s="553" t="str">
        <f>HYPERLINK("#'C-Compra'!A29", 'C-Compra'!A29)</f>
        <v>Eliminar compra</v>
      </c>
      <c r="Z4" s="564" t="str">
        <f>HYPERLINK("#'C-Compra'!A31", 'C-Compra'!A31)</f>
        <v>Consultar compra</v>
      </c>
    </row>
    <row r="5" spans="1:26" ht="13.75" customHeight="1">
      <c r="A5" s="707" t="str">
        <f>HYPERLINK("#'M-Compra'!A5", 'M-Compra'!A5)</f>
        <v>Id</v>
      </c>
      <c r="B5" s="708" t="str">
        <f>HYPERLINK("#'M-Compra'!A2", 'M-Compra'!A2)</f>
        <v>Identificador unico de cada compra de la pizzeria</v>
      </c>
      <c r="C5" s="697" t="s">
        <v>15</v>
      </c>
      <c r="D5" s="9" t="s">
        <v>99</v>
      </c>
      <c r="E5" s="9" t="s">
        <v>15</v>
      </c>
      <c r="F5" s="9"/>
      <c r="G5" s="9"/>
      <c r="H5" s="9"/>
      <c r="I5" s="9"/>
      <c r="J5" s="9"/>
      <c r="K5" s="9"/>
      <c r="L5" s="9"/>
      <c r="M5" s="9"/>
      <c r="N5" s="13" t="s">
        <v>100</v>
      </c>
      <c r="O5" s="9" t="s">
        <v>100</v>
      </c>
      <c r="P5" s="9"/>
      <c r="Q5" s="9" t="s">
        <v>100</v>
      </c>
      <c r="R5" s="9" t="s">
        <v>100</v>
      </c>
      <c r="S5" s="9" t="s">
        <v>100</v>
      </c>
      <c r="T5" s="9" t="s">
        <v>100</v>
      </c>
      <c r="U5" s="112" t="s">
        <v>15</v>
      </c>
      <c r="V5" s="582" t="s">
        <v>101</v>
      </c>
      <c r="W5" s="549" t="s">
        <v>101</v>
      </c>
      <c r="X5" s="549" t="s">
        <v>273</v>
      </c>
      <c r="Y5" s="553" t="s">
        <v>101</v>
      </c>
      <c r="Z5" s="564" t="s">
        <v>274</v>
      </c>
    </row>
    <row r="6" spans="1:26" ht="13.75" customHeight="1">
      <c r="A6" s="135" t="str">
        <f>HYPERLINK("#'M-Compra'!B5", 'M-Compra'!B5)</f>
        <v>Proveedor</v>
      </c>
      <c r="B6" s="698" t="str">
        <f>HYPERLINK("#'M-Compra'!B2", 'M-Compra'!B2)</f>
        <v xml:space="preserve">Nombre del proveedor al que se le hizo la compra </v>
      </c>
      <c r="C6" s="9" t="s">
        <v>100</v>
      </c>
      <c r="D6" s="13" t="s">
        <v>260</v>
      </c>
      <c r="E6" s="9" t="s">
        <v>15</v>
      </c>
      <c r="F6" s="12"/>
      <c r="G6" s="12"/>
      <c r="H6" s="9"/>
      <c r="I6" s="9"/>
      <c r="J6" s="9"/>
      <c r="K6" s="9"/>
      <c r="L6" s="9"/>
      <c r="M6" s="13" t="s">
        <v>275</v>
      </c>
      <c r="N6" s="9" t="s">
        <v>100</v>
      </c>
      <c r="O6" s="9" t="s">
        <v>100</v>
      </c>
      <c r="P6" s="9"/>
      <c r="Q6" s="9" t="s">
        <v>100</v>
      </c>
      <c r="R6" s="9" t="s">
        <v>100</v>
      </c>
      <c r="S6" s="9" t="s">
        <v>100</v>
      </c>
      <c r="T6" s="9" t="s">
        <v>100</v>
      </c>
      <c r="U6" s="112" t="s">
        <v>100</v>
      </c>
      <c r="V6" s="582" t="s">
        <v>101</v>
      </c>
      <c r="W6" s="549" t="s">
        <v>276</v>
      </c>
      <c r="X6" s="549" t="s">
        <v>277</v>
      </c>
      <c r="Y6" s="553" t="s">
        <v>276</v>
      </c>
      <c r="Z6" s="564" t="s">
        <v>278</v>
      </c>
    </row>
    <row r="7" spans="1:26" ht="40.75" customHeight="1">
      <c r="A7" s="135" t="str">
        <f>HYPERLINK("#'M-Compra'!C5", 'M-Compra'!C5)</f>
        <v>FechaCompra</v>
      </c>
      <c r="B7" s="135" t="str">
        <f>HYPERLINK("#'M-Compra'!C2", 'M-Compra'!C2)</f>
        <v>Representa la fecha en la que se efectuó la compra</v>
      </c>
      <c r="C7" s="9" t="s">
        <v>100</v>
      </c>
      <c r="D7" s="9" t="s">
        <v>9</v>
      </c>
      <c r="E7" s="9" t="s">
        <v>15</v>
      </c>
      <c r="F7" s="11"/>
      <c r="G7" s="12"/>
      <c r="H7" s="13"/>
      <c r="I7" s="9"/>
      <c r="J7" s="13"/>
      <c r="K7" s="36"/>
      <c r="L7" s="9" t="s">
        <v>107</v>
      </c>
      <c r="M7" s="37" t="s">
        <v>279</v>
      </c>
      <c r="N7" s="37" t="s">
        <v>100</v>
      </c>
      <c r="O7" s="9" t="s">
        <v>100</v>
      </c>
      <c r="P7" s="9"/>
      <c r="Q7" s="13" t="s">
        <v>100</v>
      </c>
      <c r="R7" s="9" t="s">
        <v>100</v>
      </c>
      <c r="S7" s="9" t="s">
        <v>100</v>
      </c>
      <c r="T7" s="9" t="s">
        <v>100</v>
      </c>
      <c r="U7" s="483" t="s">
        <v>100</v>
      </c>
      <c r="V7" s="582" t="s">
        <v>101</v>
      </c>
      <c r="W7" s="549" t="s">
        <v>276</v>
      </c>
      <c r="X7" s="549" t="s">
        <v>277</v>
      </c>
      <c r="Y7" s="553" t="s">
        <v>276</v>
      </c>
      <c r="Z7" s="564" t="s">
        <v>278</v>
      </c>
    </row>
    <row r="8" spans="1:26" ht="13.75" customHeight="1">
      <c r="A8" s="135" t="str">
        <f>HYPERLINK("#'M-Compra'!D5", 'M-Compra'!D5)</f>
        <v>NumeroFactura</v>
      </c>
      <c r="B8" s="135" t="str">
        <f>HYPERLINK("#'M-Compra'!D2", 'M-Compra'!D2)</f>
        <v>Número de factura que el proveedor entrega al momento de la compra.</v>
      </c>
      <c r="C8" s="9" t="s">
        <v>100</v>
      </c>
      <c r="D8" s="9" t="s">
        <v>280</v>
      </c>
      <c r="E8" s="9" t="s">
        <v>15</v>
      </c>
      <c r="F8" s="11">
        <v>4</v>
      </c>
      <c r="G8" s="12">
        <v>40</v>
      </c>
      <c r="H8" s="13"/>
      <c r="I8" s="9"/>
      <c r="J8" s="13"/>
      <c r="K8" s="9"/>
      <c r="L8" s="9"/>
      <c r="M8" s="13" t="s">
        <v>281</v>
      </c>
      <c r="N8" s="9" t="s">
        <v>100</v>
      </c>
      <c r="O8" s="9" t="s">
        <v>100</v>
      </c>
      <c r="P8" s="9"/>
      <c r="Q8" s="13" t="s">
        <v>15</v>
      </c>
      <c r="R8" s="9" t="s">
        <v>15</v>
      </c>
      <c r="S8" s="9" t="s">
        <v>100</v>
      </c>
      <c r="T8" s="112" t="s">
        <v>100</v>
      </c>
      <c r="U8" s="484" t="s">
        <v>100</v>
      </c>
      <c r="V8" s="582" t="s">
        <v>101</v>
      </c>
      <c r="W8" s="549" t="s">
        <v>276</v>
      </c>
      <c r="X8" s="549" t="s">
        <v>277</v>
      </c>
      <c r="Y8" s="553" t="s">
        <v>276</v>
      </c>
      <c r="Z8" s="564" t="s">
        <v>278</v>
      </c>
    </row>
    <row r="9" spans="1:26" ht="13.75" customHeight="1">
      <c r="A9" s="135" t="str">
        <f>HYPERLINK("#'M-Compra'!E5", 'M-Compra'!E5)</f>
        <v>Total</v>
      </c>
      <c r="B9" s="135" t="str">
        <f>HYPERLINK("#'M-Compra'!E2", 'M-Compra'!E2)</f>
        <v xml:space="preserve">Representa el valor monetario total de los productos comprados al proveedor. </v>
      </c>
      <c r="C9" s="9" t="s">
        <v>100</v>
      </c>
      <c r="D9" s="9" t="s">
        <v>13</v>
      </c>
      <c r="E9" s="9" t="s">
        <v>15</v>
      </c>
      <c r="F9" s="11"/>
      <c r="G9" s="12"/>
      <c r="H9" s="13">
        <v>2</v>
      </c>
      <c r="I9" s="9" t="s">
        <v>282</v>
      </c>
      <c r="J9" s="13" t="s">
        <v>104</v>
      </c>
      <c r="K9" s="36">
        <v>5000000</v>
      </c>
      <c r="L9" s="9"/>
      <c r="M9" s="37" t="s">
        <v>283</v>
      </c>
      <c r="N9" s="37" t="s">
        <v>284</v>
      </c>
      <c r="O9" s="9" t="s">
        <v>100</v>
      </c>
      <c r="P9" s="9"/>
      <c r="Q9" s="13" t="s">
        <v>100</v>
      </c>
      <c r="R9" s="9" t="s">
        <v>100</v>
      </c>
      <c r="S9" s="9" t="s">
        <v>100</v>
      </c>
      <c r="T9" s="9" t="s">
        <v>100</v>
      </c>
      <c r="U9" s="485" t="s">
        <v>100</v>
      </c>
      <c r="V9" s="582" t="s">
        <v>101</v>
      </c>
      <c r="W9" s="549" t="s">
        <v>276</v>
      </c>
      <c r="X9" s="549" t="s">
        <v>273</v>
      </c>
      <c r="Y9" s="553" t="s">
        <v>276</v>
      </c>
      <c r="Z9" s="564" t="s">
        <v>278</v>
      </c>
    </row>
    <row r="11" spans="1:26" ht="14.3" customHeight="1">
      <c r="A11" s="440" t="s">
        <v>109</v>
      </c>
      <c r="B11" s="440" t="s">
        <v>79</v>
      </c>
      <c r="C11" s="440" t="s">
        <v>110</v>
      </c>
    </row>
    <row r="12" spans="1:26" ht="14.3" customHeight="1">
      <c r="A12" s="1189" t="s">
        <v>111</v>
      </c>
      <c r="B12" s="1207" t="s">
        <v>285</v>
      </c>
      <c r="C12" s="784" t="str">
        <f>HYPERLINK("#'C-Compra'!A6", 'C-Compra'!A6)</f>
        <v>Proveedor</v>
      </c>
    </row>
    <row r="13" spans="1:26">
      <c r="A13" s="1089"/>
      <c r="B13" s="1089"/>
      <c r="C13" s="785" t="str">
        <f>HYPERLINK("#'C-Compra'!A8", 'C-Compra'!A8)</f>
        <v>NumeroFactura</v>
      </c>
    </row>
    <row r="17" spans="1:18 16000:16000" ht="13.75" customHeight="1"/>
    <row r="18" spans="1:18 16000:16000" ht="14.3" customHeight="1">
      <c r="A18" s="1116" t="s">
        <v>113</v>
      </c>
      <c r="B18" s="1077"/>
      <c r="C18" s="1116" t="s">
        <v>79</v>
      </c>
      <c r="D18" s="1076"/>
      <c r="E18" s="1076"/>
      <c r="F18" s="1077"/>
      <c r="G18" s="1116" t="s">
        <v>114</v>
      </c>
      <c r="H18" s="1123"/>
      <c r="I18" s="1124"/>
      <c r="J18" s="1132" t="s">
        <v>115</v>
      </c>
      <c r="K18" s="1123"/>
      <c r="L18" s="1123"/>
      <c r="M18" s="1123"/>
      <c r="N18" s="1124"/>
      <c r="O18" s="1132" t="s">
        <v>116</v>
      </c>
      <c r="P18" s="1124"/>
      <c r="Q18" s="1132" t="s">
        <v>117</v>
      </c>
      <c r="R18" s="1124"/>
    </row>
    <row r="19" spans="1:18 16000:16000" ht="14.3" customHeight="1">
      <c r="A19" s="1078"/>
      <c r="B19" s="1080"/>
      <c r="C19" s="1078"/>
      <c r="D19" s="1079"/>
      <c r="E19" s="1079"/>
      <c r="F19" s="1080"/>
      <c r="G19" s="551" t="s">
        <v>118</v>
      </c>
      <c r="H19" s="551" t="s">
        <v>8</v>
      </c>
      <c r="I19" s="551" t="s">
        <v>79</v>
      </c>
      <c r="J19" s="691" t="s">
        <v>119</v>
      </c>
      <c r="K19" s="1132" t="s">
        <v>79</v>
      </c>
      <c r="L19" s="1123"/>
      <c r="M19" s="1123"/>
      <c r="N19" s="1124"/>
      <c r="O19" s="289" t="s">
        <v>120</v>
      </c>
      <c r="P19" s="550" t="s">
        <v>79</v>
      </c>
      <c r="Q19" s="550" t="s">
        <v>121</v>
      </c>
      <c r="R19" s="550" t="s">
        <v>122</v>
      </c>
    </row>
    <row r="20" spans="1:18 16000:16000" ht="76.75" customHeight="1">
      <c r="A20" s="1011" t="str">
        <f>HYPERLINK("#'C-Compra'!V4", 'E-Compra'!B7)</f>
        <v>Registrar compra</v>
      </c>
      <c r="B20" s="1012"/>
      <c r="C20" s="1011" t="str">
        <f>'E-Compra'!C7</f>
        <v>Registrar una nueva compra asociada a un proveedor y a la pizzería correspondiente, dejando constancia de la operación de adquisición.</v>
      </c>
      <c r="D20" s="1017"/>
      <c r="E20" s="1017"/>
      <c r="F20" s="1012"/>
      <c r="G20" s="1020" t="s">
        <v>123</v>
      </c>
      <c r="H20" s="1020" t="s">
        <v>36</v>
      </c>
      <c r="I20" s="1211" t="s">
        <v>286</v>
      </c>
      <c r="J20" s="1214" t="s">
        <v>36</v>
      </c>
      <c r="K20" s="1208" t="s">
        <v>287</v>
      </c>
      <c r="L20" s="1017"/>
      <c r="M20" s="1017"/>
      <c r="N20" s="1012"/>
      <c r="O20" s="776" t="str">
        <f>HYPERLINK("#'P-Compra'!A5", 'P-Compra'!A5)</f>
        <v>P-COM-001</v>
      </c>
      <c r="P20" s="512" t="str">
        <f>'P-Compra'!B5</f>
        <v>Asegurar que los datos requeridos para registrar una compra sean válidos de acuerdo con el tipo de dato, obligatoriedad, formato y rango correspondiente.</v>
      </c>
      <c r="Q20" s="552" t="s">
        <v>288</v>
      </c>
      <c r="R20" s="552" t="s">
        <v>127</v>
      </c>
    </row>
    <row r="21" spans="1:18 16000:16000" ht="51.65">
      <c r="A21" s="1013"/>
      <c r="B21" s="1014"/>
      <c r="C21" s="1013"/>
      <c r="D21" s="1018"/>
      <c r="E21" s="1018"/>
      <c r="F21" s="1014"/>
      <c r="G21" s="1021"/>
      <c r="H21" s="1021"/>
      <c r="I21" s="1212"/>
      <c r="J21" s="1215"/>
      <c r="K21" s="1209"/>
      <c r="L21" s="1018"/>
      <c r="M21" s="1018"/>
      <c r="N21" s="1014"/>
      <c r="O21" s="776" t="str">
        <f>HYPERLINK("#'P-Compra'!A6", 'P-Compra'!A6)</f>
        <v>P-COM-002</v>
      </c>
      <c r="P21" s="512" t="str">
        <f>'P-Compra'!B6</f>
        <v>Asegurar que el proveedor asociado a la compra exista y se encuentre registrado en el sistema.</v>
      </c>
      <c r="Q21" s="552" t="s">
        <v>289</v>
      </c>
      <c r="R21" s="552" t="s">
        <v>290</v>
      </c>
    </row>
    <row r="22" spans="1:18 16000:16000" ht="38.75">
      <c r="A22" s="1013"/>
      <c r="B22" s="1014"/>
      <c r="C22" s="1013"/>
      <c r="D22" s="1018"/>
      <c r="E22" s="1018"/>
      <c r="F22" s="1014"/>
      <c r="G22" s="1021"/>
      <c r="H22" s="1021"/>
      <c r="I22" s="1212"/>
      <c r="J22" s="1215"/>
      <c r="K22" s="1209"/>
      <c r="L22" s="1018"/>
      <c r="M22" s="1018"/>
      <c r="N22" s="1014"/>
      <c r="O22" s="776" t="str">
        <f>HYPERLINK("#'P-Compra'!A11", 'P-Compra'!A11)</f>
        <v>P-COM-007</v>
      </c>
      <c r="P22" s="512" t="str">
        <f>'P-Compra'!B11</f>
        <v>Asegurar que no exista otra compra con el mismo Proveedor y el mismo NumeroFactura.</v>
      </c>
      <c r="Q22" s="552" t="s">
        <v>291</v>
      </c>
      <c r="R22" s="552" t="s">
        <v>292</v>
      </c>
    </row>
    <row r="23" spans="1:18 16000:16000" ht="25.5" customHeight="1">
      <c r="A23" s="1013"/>
      <c r="B23" s="1014"/>
      <c r="C23" s="1013"/>
      <c r="D23" s="1018"/>
      <c r="E23" s="1018"/>
      <c r="F23" s="1014"/>
      <c r="G23" s="1021"/>
      <c r="H23" s="1021"/>
      <c r="I23" s="1212"/>
      <c r="J23" s="1215"/>
      <c r="K23" s="1209"/>
      <c r="L23" s="1018"/>
      <c r="M23" s="1018"/>
      <c r="N23" s="1014"/>
      <c r="O23" s="776" t="str">
        <f>HYPERLINK("#'P-Compra'!A12", 'P-Compra'!A12)</f>
        <v>P-COM-008</v>
      </c>
      <c r="P23" s="512" t="str">
        <f>'P-Compra'!B12</f>
        <v>Asegurar que el proveedor asociado a la compra no se encuentre retirado o inactivo al momento de registrar la compra.</v>
      </c>
      <c r="Q23" s="552" t="s">
        <v>293</v>
      </c>
      <c r="R23" s="552" t="s">
        <v>294</v>
      </c>
    </row>
    <row r="24" spans="1:18 16000:16000" ht="38.25" customHeight="1">
      <c r="A24" s="1015"/>
      <c r="B24" s="1016"/>
      <c r="C24" s="1015"/>
      <c r="D24" s="1019"/>
      <c r="E24" s="1019"/>
      <c r="F24" s="1016"/>
      <c r="G24" s="1022"/>
      <c r="H24" s="1022"/>
      <c r="I24" s="1213"/>
      <c r="J24" s="1215"/>
      <c r="K24" s="1210"/>
      <c r="L24" s="1019"/>
      <c r="M24" s="1019"/>
      <c r="N24" s="1016"/>
      <c r="O24" s="776" t="str">
        <f>HYPERLINK("#'P-Compra'!A13", 'P-Compra'!A13)</f>
        <v>P-COM-009</v>
      </c>
      <c r="P24" s="512" t="str">
        <f>'P-Compra'!B13</f>
        <v>Asegurar que el total de la compra corresponda a la suma de los precios de compra de sus detalles y no supere 5.000.000; el total no lo digita el usuario, se calcula.</v>
      </c>
      <c r="Q24" s="552" t="s">
        <v>1414</v>
      </c>
      <c r="R24" s="552" t="s">
        <v>1415</v>
      </c>
    </row>
    <row r="25" spans="1:18 16000:16000" ht="38.75" customHeight="1">
      <c r="A25" s="1190" t="str">
        <f>HYPERLINK("#'C-Compra'!W4", 'E-Compra'!B12)</f>
        <v>Modificar compra</v>
      </c>
      <c r="B25" s="1191"/>
      <c r="C25" s="1196" t="str">
        <f>'E-Compra'!C12</f>
        <v>Permite corregir la información de una compra existente antes de que tenga movimientos de inventario asociados.</v>
      </c>
      <c r="D25" s="1197"/>
      <c r="E25" s="1197"/>
      <c r="F25" s="1198"/>
      <c r="G25" s="1186" t="s">
        <v>123</v>
      </c>
      <c r="H25" s="1186" t="s">
        <v>36</v>
      </c>
      <c r="I25" s="1186" t="s">
        <v>295</v>
      </c>
      <c r="J25" s="1187" t="s">
        <v>36</v>
      </c>
      <c r="K25" s="1177" t="s">
        <v>296</v>
      </c>
      <c r="L25" s="1178"/>
      <c r="M25" s="1178"/>
      <c r="N25" s="1179"/>
      <c r="O25" s="786" t="str">
        <f>HYPERLINK("#'P-Compra'!A7", 'P-Compra'!A7)</f>
        <v>P-COM-003</v>
      </c>
      <c r="P25" s="548" t="str">
        <f>'P-Compra'!B7</f>
        <v>Asegurar que la compra que se desea modificar se encuentre registrada en el sistema.</v>
      </c>
      <c r="Q25" s="548" t="s">
        <v>297</v>
      </c>
      <c r="R25" s="548" t="s">
        <v>298</v>
      </c>
    </row>
    <row r="26" spans="1:18 16000:16000">
      <c r="A26" s="1192"/>
      <c r="B26" s="1193"/>
      <c r="C26" s="1199"/>
      <c r="D26" s="1200"/>
      <c r="E26" s="1200"/>
      <c r="F26" s="1201"/>
      <c r="G26" s="1187"/>
      <c r="H26" s="1187"/>
      <c r="I26" s="1187"/>
      <c r="J26" s="1187"/>
      <c r="K26" s="1180"/>
      <c r="L26" s="1181"/>
      <c r="M26" s="1181"/>
      <c r="N26" s="1182"/>
      <c r="O26" s="786" t="str">
        <f>HYPERLINK("#'P-Compra'!A5", 'P-Compra'!A5)</f>
        <v>P-COM-001</v>
      </c>
      <c r="P26" s="548" t="str">
        <f>'P-Compra'!B5</f>
        <v>Asegurar que los datos requeridos para registrar una compra sean válidos de acuerdo con el tipo de dato, obligatoriedad, formato y rango correspondiente.</v>
      </c>
      <c r="Q26" s="548" t="s">
        <v>1416</v>
      </c>
      <c r="R26" s="548" t="s">
        <v>1400</v>
      </c>
    </row>
    <row r="27" spans="1:18 16000:16000" ht="13.75" customHeight="1">
      <c r="A27" s="1192"/>
      <c r="B27" s="1193"/>
      <c r="C27" s="1199"/>
      <c r="D27" s="1200"/>
      <c r="E27" s="1200"/>
      <c r="F27" s="1201"/>
      <c r="G27" s="1187"/>
      <c r="H27" s="1187"/>
      <c r="I27" s="1187"/>
      <c r="J27" s="1187"/>
      <c r="K27" s="1180"/>
      <c r="L27" s="1181"/>
      <c r="M27" s="1181"/>
      <c r="N27" s="1182"/>
      <c r="O27" s="786" t="str">
        <f>HYPERLINK("#'P-Compra'!A11", 'P-Compra'!A11)</f>
        <v>P-COM-007</v>
      </c>
      <c r="P27" s="548" t="str">
        <f>'P-Compra'!B11</f>
        <v>Asegurar que no exista otra compra con el mismo Proveedor y el mismo NumeroFactura.</v>
      </c>
      <c r="Q27" s="548" t="s">
        <v>1417</v>
      </c>
      <c r="R27" s="548" t="s">
        <v>1418</v>
      </c>
    </row>
    <row r="28" spans="1:18 16000:16000" s="614" customFormat="1" ht="13.75" customHeight="1">
      <c r="A28" s="1194"/>
      <c r="B28" s="1195"/>
      <c r="C28" s="1202"/>
      <c r="D28" s="1203"/>
      <c r="E28" s="1203"/>
      <c r="F28" s="1204"/>
      <c r="G28" s="1188"/>
      <c r="H28" s="1188"/>
      <c r="I28" s="1188"/>
      <c r="J28" s="1188"/>
      <c r="K28" s="1183"/>
      <c r="L28" s="1184"/>
      <c r="M28" s="1184"/>
      <c r="N28" s="1185"/>
      <c r="O28" s="786" t="str">
        <f>HYPERLINK("#'P-Compra'!A12", 'P-Compra'!A12)</f>
        <v>P-COM-008</v>
      </c>
      <c r="P28" s="548" t="str">
        <f>'P-Compra'!B12</f>
        <v>Asegurar que el proveedor asociado a la compra no se encuentre retirado o inactivo al momento de registrar la compra.</v>
      </c>
      <c r="Q28" s="548" t="s">
        <v>1419</v>
      </c>
      <c r="R28" s="548" t="s">
        <v>1420</v>
      </c>
      <c r="WQJ28"/>
    </row>
    <row r="29" spans="1:18 16000:16000" s="614" customFormat="1" ht="13.75" customHeight="1">
      <c r="A29" s="1163" t="str">
        <f>HYPERLINK("#'C-Compra'!Y4", 'E-Compra'!B16)</f>
        <v>Eliminar compra</v>
      </c>
      <c r="B29" s="1164"/>
      <c r="C29" s="1167" t="str">
        <f>'E-Compra'!C16</f>
        <v>Permite eliminar una compra que no tenga detalles de compra asociados que deban conservarse para mantener la trazabilidad.</v>
      </c>
      <c r="D29" s="1168"/>
      <c r="E29" s="1168"/>
      <c r="F29" s="1169"/>
      <c r="G29" s="1175" t="s">
        <v>16</v>
      </c>
      <c r="H29" s="1175" t="s">
        <v>299</v>
      </c>
      <c r="I29" s="1175" t="s">
        <v>300</v>
      </c>
      <c r="J29" s="1175" t="s">
        <v>36</v>
      </c>
      <c r="K29" s="1163" t="s">
        <v>301</v>
      </c>
      <c r="L29" s="1173"/>
      <c r="M29" s="1173"/>
      <c r="N29" s="1164"/>
      <c r="O29" s="787" t="str">
        <f>HYPERLINK("#'P-Compra'!A8", 'P-Compra'!A8)</f>
        <v>P-COM-004</v>
      </c>
      <c r="P29" s="553" t="str">
        <f>'P-Compra'!B8</f>
        <v>Asegurar que la compra que se desea eliminar se encuentre registrada en el sistema.</v>
      </c>
      <c r="Q29" s="553" t="s">
        <v>302</v>
      </c>
      <c r="R29" s="553" t="s">
        <v>303</v>
      </c>
      <c r="WQJ29"/>
    </row>
    <row r="30" spans="1:18 16000:16000" s="614" customFormat="1" ht="13.75" customHeight="1">
      <c r="A30" s="1165"/>
      <c r="B30" s="1166"/>
      <c r="C30" s="1170"/>
      <c r="D30" s="1171"/>
      <c r="E30" s="1171"/>
      <c r="F30" s="1172"/>
      <c r="G30" s="1176"/>
      <c r="H30" s="1176"/>
      <c r="I30" s="1176"/>
      <c r="J30" s="1176"/>
      <c r="K30" s="1165"/>
      <c r="L30" s="1174"/>
      <c r="M30" s="1174"/>
      <c r="N30" s="1166"/>
      <c r="O30" s="787" t="str">
        <f>HYPERLINK("#'P-Compra'!A9", 'P-Compra'!A9)</f>
        <v>P-COM-005</v>
      </c>
      <c r="P30" s="553" t="str">
        <f>'P-Compra'!B9</f>
        <v>Asegurar que una compra no pueda eliminarse cuando tenga detalles de compra asociados que deban conservarse para mantener la trazabilidad de la adquisición.</v>
      </c>
      <c r="Q30" s="553" t="s">
        <v>304</v>
      </c>
      <c r="R30" s="553" t="s">
        <v>305</v>
      </c>
      <c r="WQJ30"/>
    </row>
    <row r="31" spans="1:18 16000:16000" s="614" customFormat="1" ht="13.75" customHeight="1">
      <c r="A31" s="1160" t="str">
        <f>HYPERLINK("#'C-Compra'!Z4", 'E-Compra'!B18)</f>
        <v>Consultar compra</v>
      </c>
      <c r="B31" s="1161"/>
      <c r="C31" s="1160" t="str">
        <f>'E-Compra'!C18</f>
        <v>Consultar la información registrada de una compra para conocer su proveedor, fecha, pizzería y los detalles asociados.</v>
      </c>
      <c r="D31" s="1162"/>
      <c r="E31" s="1162"/>
      <c r="F31" s="1161"/>
      <c r="G31" s="564" t="s">
        <v>16</v>
      </c>
      <c r="H31" s="564" t="s">
        <v>299</v>
      </c>
      <c r="I31" s="564" t="s">
        <v>306</v>
      </c>
      <c r="J31" s="564" t="s">
        <v>36</v>
      </c>
      <c r="K31" s="1160" t="s">
        <v>307</v>
      </c>
      <c r="L31" s="1162"/>
      <c r="M31" s="1162"/>
      <c r="N31" s="1161"/>
      <c r="O31" s="788" t="str">
        <f>HYPERLINK("#'P-Compra'!A10", 'P-Compra'!A10)</f>
        <v>P-COM-006</v>
      </c>
      <c r="P31" s="564" t="str">
        <f>'P-Compra'!B10</f>
        <v>Asegurar que la compra exista con el identificador indicado</v>
      </c>
      <c r="Q31" s="564" t="s">
        <v>308</v>
      </c>
      <c r="R31" s="564" t="s">
        <v>309</v>
      </c>
      <c r="WQJ31"/>
    </row>
    <row r="32" spans="1:18 16000:16000" ht="13.75" customHeight="1">
      <c r="C32" s="270"/>
      <c r="D32" s="269"/>
      <c r="F32" s="269"/>
      <c r="G32" s="269"/>
      <c r="H32" s="269"/>
      <c r="I32" s="269"/>
      <c r="J32" s="270"/>
      <c r="Q32" s="269"/>
      <c r="R32" s="269"/>
    </row>
  </sheetData>
  <mergeCells count="36">
    <mergeCell ref="A20:B24"/>
    <mergeCell ref="C20:F24"/>
    <mergeCell ref="A25:B28"/>
    <mergeCell ref="C25:F28"/>
    <mergeCell ref="W4:X4"/>
    <mergeCell ref="B12:B13"/>
    <mergeCell ref="O18:P18"/>
    <mergeCell ref="G18:I18"/>
    <mergeCell ref="A18:B19"/>
    <mergeCell ref="Q18:R18"/>
    <mergeCell ref="K19:N19"/>
    <mergeCell ref="K20:N24"/>
    <mergeCell ref="G20:G24"/>
    <mergeCell ref="H20:H24"/>
    <mergeCell ref="I20:I24"/>
    <mergeCell ref="J20:J24"/>
    <mergeCell ref="B2:U2"/>
    <mergeCell ref="J18:N18"/>
    <mergeCell ref="C18:F19"/>
    <mergeCell ref="B3:U3"/>
    <mergeCell ref="A12:A13"/>
    <mergeCell ref="K25:N28"/>
    <mergeCell ref="G25:G28"/>
    <mergeCell ref="H25:H28"/>
    <mergeCell ref="I25:I28"/>
    <mergeCell ref="J25:J28"/>
    <mergeCell ref="A31:B31"/>
    <mergeCell ref="C31:F31"/>
    <mergeCell ref="K31:N31"/>
    <mergeCell ref="A29:B30"/>
    <mergeCell ref="C29:F30"/>
    <mergeCell ref="K29:N30"/>
    <mergeCell ref="G29:G30"/>
    <mergeCell ref="H29:H30"/>
    <mergeCell ref="I29:I30"/>
    <mergeCell ref="J29:J30"/>
  </mergeCells>
  <hyperlinks>
    <hyperlink ref="A1" location="'Modelo de dominio'!A1" display="&lt;&lt;&lt;Modelo de Dominio" xr:uid="{00000000-0004-0000-0900-000000000000}"/>
    <hyperlink ref="B1" location="'Objetos de dominio'!A1" display="&lt;&lt;&lt;Objetos de Dominio" xr:uid="{00000000-0004-0000-0900-000001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2">
    <outlinePr summaryBelow="0" summaryRight="0"/>
  </sheetPr>
  <dimension ref="A1:WQJ18"/>
  <sheetViews>
    <sheetView topLeftCell="G1" workbookViewId="0">
      <selection activeCell="N29" sqref="N29"/>
    </sheetView>
  </sheetViews>
  <sheetFormatPr baseColWidth="10" defaultColWidth="12.625" defaultRowHeight="12.9"/>
  <cols>
    <col min="1" max="1" width="18" bestFit="1" customWidth="1"/>
    <col min="2" max="2" width="16" bestFit="1" customWidth="1"/>
    <col min="3" max="3" width="122.625" bestFit="1" customWidth="1"/>
    <col min="4" max="4" width="29.125" bestFit="1" customWidth="1"/>
    <col min="5" max="5" width="23.25" bestFit="1" customWidth="1"/>
    <col min="6" max="6" width="111.375" bestFit="1" customWidth="1"/>
    <col min="7" max="7" width="19.625" bestFit="1" customWidth="1"/>
    <col min="8" max="8" width="15.375" bestFit="1" customWidth="1"/>
    <col min="9" max="9" width="18.25" bestFit="1" customWidth="1"/>
    <col min="10" max="10" width="22.375" bestFit="1" customWidth="1"/>
  </cols>
  <sheetData>
    <row r="1" spans="1:10 16000:16000">
      <c r="A1" s="2" t="s">
        <v>0</v>
      </c>
      <c r="B1" s="132" t="s">
        <v>1</v>
      </c>
    </row>
    <row r="2" spans="1:10 16000:16000" ht="13.75" customHeight="1">
      <c r="A2" s="409" t="s">
        <v>209</v>
      </c>
      <c r="B2" s="1220" t="s">
        <v>36</v>
      </c>
      <c r="C2" s="1032"/>
      <c r="D2" s="1032"/>
      <c r="E2" s="1032"/>
      <c r="F2" s="1032"/>
      <c r="G2" s="1032"/>
      <c r="H2" s="1032"/>
      <c r="I2" s="1032"/>
      <c r="J2" s="1033"/>
    </row>
    <row r="3" spans="1:10 16000:16000" ht="13.75" customHeight="1">
      <c r="A3" s="410" t="s">
        <v>210</v>
      </c>
      <c r="B3" s="1222" t="str">
        <f>'C-Compra'!B3</f>
        <v>Es cuando la pizzería le compra insumos o productos a un proveedor.</v>
      </c>
      <c r="C3" s="1032"/>
      <c r="D3" s="1032"/>
      <c r="E3" s="1032"/>
      <c r="F3" s="1032"/>
      <c r="G3" s="1032"/>
      <c r="H3" s="1032"/>
      <c r="I3" s="1032"/>
      <c r="J3" s="1033"/>
    </row>
    <row r="4" spans="1:10 16000:16000" ht="13.75" customHeight="1">
      <c r="A4" s="554" t="s">
        <v>211</v>
      </c>
      <c r="B4" s="1221" t="s">
        <v>212</v>
      </c>
      <c r="C4" s="1033"/>
      <c r="D4" s="411" t="s">
        <v>213</v>
      </c>
      <c r="E4" s="1224" t="s">
        <v>214</v>
      </c>
      <c r="F4" s="1033"/>
      <c r="G4" s="412" t="s">
        <v>215</v>
      </c>
      <c r="H4" s="413" t="s">
        <v>216</v>
      </c>
      <c r="I4" s="414" t="s">
        <v>217</v>
      </c>
      <c r="J4" s="415" t="s">
        <v>218</v>
      </c>
    </row>
    <row r="5" spans="1:10 16000:16000" ht="13.75" customHeight="1">
      <c r="A5" s="1229" t="s">
        <v>211</v>
      </c>
      <c r="B5" s="1221" t="s">
        <v>219</v>
      </c>
      <c r="C5" s="1221" t="s">
        <v>79</v>
      </c>
      <c r="D5" s="1230" t="s">
        <v>220</v>
      </c>
      <c r="E5" s="1224" t="s">
        <v>221</v>
      </c>
      <c r="F5" s="1033"/>
      <c r="G5" s="412" t="s">
        <v>222</v>
      </c>
      <c r="H5" s="1231" t="s">
        <v>223</v>
      </c>
      <c r="I5" s="1225" t="s">
        <v>224</v>
      </c>
      <c r="J5" s="1223" t="s">
        <v>225</v>
      </c>
    </row>
    <row r="6" spans="1:10 16000:16000" ht="13.75" customHeight="1">
      <c r="A6" s="1066"/>
      <c r="B6" s="1066"/>
      <c r="C6" s="1066"/>
      <c r="D6" s="1066"/>
      <c r="E6" s="416" t="s">
        <v>226</v>
      </c>
      <c r="F6" s="416" t="s">
        <v>79</v>
      </c>
      <c r="G6" s="417" t="s">
        <v>227</v>
      </c>
      <c r="H6" s="1066"/>
      <c r="I6" s="1066"/>
      <c r="J6" s="1066"/>
    </row>
    <row r="7" spans="1:10 16000:16000" ht="13.75" customHeight="1">
      <c r="A7" s="1233" t="s">
        <v>228</v>
      </c>
      <c r="B7" s="1226" t="s">
        <v>310</v>
      </c>
      <c r="C7" s="1226" t="s">
        <v>311</v>
      </c>
      <c r="D7" s="1226" t="s">
        <v>36</v>
      </c>
      <c r="E7" s="1232" t="s">
        <v>312</v>
      </c>
      <c r="F7" s="1232" t="s">
        <v>313</v>
      </c>
      <c r="G7" s="789" t="str">
        <f>HYPERLINK("#'P-Compra'!A5", "P-COM-001")</f>
        <v>P-COM-001</v>
      </c>
      <c r="H7" s="1226"/>
      <c r="I7" s="1226" t="s">
        <v>314</v>
      </c>
      <c r="J7" s="1226"/>
    </row>
    <row r="8" spans="1:10 16000:16000" ht="13.75" customHeight="1">
      <c r="A8" s="1234"/>
      <c r="B8" s="1227"/>
      <c r="C8" s="1227"/>
      <c r="D8" s="1227"/>
      <c r="E8" s="1227"/>
      <c r="F8" s="1227"/>
      <c r="G8" s="789" t="str">
        <f>HYPERLINK("#'P-Compra'!A6", "P-COM-002")</f>
        <v>P-COM-002</v>
      </c>
      <c r="H8" s="1227"/>
      <c r="I8" s="1227"/>
      <c r="J8" s="1227"/>
    </row>
    <row r="9" spans="1:10 16000:16000" ht="13.75" customHeight="1">
      <c r="A9" s="1234"/>
      <c r="B9" s="1227"/>
      <c r="C9" s="1227"/>
      <c r="D9" s="1227"/>
      <c r="E9" s="1227"/>
      <c r="F9" s="1227"/>
      <c r="G9" s="789" t="str">
        <f>HYPERLINK("#'P-Compra'!A11", "P-COM-007")</f>
        <v>P-COM-007</v>
      </c>
      <c r="H9" s="1227"/>
      <c r="I9" s="1227"/>
      <c r="J9" s="1227"/>
    </row>
    <row r="10" spans="1:10 16000:16000" ht="13.75" customHeight="1">
      <c r="A10" s="1234"/>
      <c r="B10" s="1227"/>
      <c r="C10" s="1227"/>
      <c r="D10" s="1227"/>
      <c r="E10" s="1227"/>
      <c r="F10" s="1227"/>
      <c r="G10" s="789" t="str">
        <f>HYPERLINK("#'P-Compra'!A12", "P-COM-008")</f>
        <v>P-COM-008</v>
      </c>
      <c r="H10" s="1227"/>
      <c r="I10" s="1227"/>
      <c r="J10" s="1227"/>
    </row>
    <row r="11" spans="1:10 16000:16000" ht="13.75" customHeight="1">
      <c r="A11" s="1235"/>
      <c r="B11" s="1228"/>
      <c r="C11" s="1228"/>
      <c r="D11" s="1228"/>
      <c r="E11" s="1228"/>
      <c r="F11" s="1228"/>
      <c r="G11" s="789" t="str">
        <f>HYPERLINK("#'P-Compra'!A13", "P-COM-009")</f>
        <v>P-COM-009</v>
      </c>
      <c r="H11" s="1228"/>
      <c r="I11" s="1228"/>
      <c r="J11" s="1228"/>
    </row>
    <row r="12" spans="1:10 16000:16000" ht="13.75" customHeight="1">
      <c r="A12" s="1217" t="s">
        <v>228</v>
      </c>
      <c r="B12" s="1217" t="s">
        <v>315</v>
      </c>
      <c r="C12" s="1217" t="s">
        <v>316</v>
      </c>
      <c r="D12" s="1217" t="s">
        <v>36</v>
      </c>
      <c r="E12" s="1217" t="s">
        <v>317</v>
      </c>
      <c r="F12" s="1217" t="s">
        <v>318</v>
      </c>
      <c r="G12" s="869" t="str">
        <f>HYPERLINK("#'P-Compra'!A7", "P-COM-003")</f>
        <v>P-COM-003</v>
      </c>
      <c r="H12" s="1217"/>
      <c r="I12" s="1217" t="s">
        <v>319</v>
      </c>
      <c r="J12" s="1217"/>
    </row>
    <row r="13" spans="1:10 16000:16000" ht="13.75" customHeight="1">
      <c r="A13" s="1218"/>
      <c r="B13" s="1218"/>
      <c r="C13" s="1218"/>
      <c r="D13" s="1218"/>
      <c r="E13" s="1218"/>
      <c r="F13" s="1218"/>
      <c r="G13" s="869" t="str">
        <f>HYPERLINK("#'P-Compra'!A5", "P-COM-001")</f>
        <v>P-COM-001</v>
      </c>
      <c r="H13" s="1218"/>
      <c r="I13" s="1218"/>
      <c r="J13" s="1218"/>
    </row>
    <row r="14" spans="1:10 16000:16000">
      <c r="A14" s="1218"/>
      <c r="B14" s="1218"/>
      <c r="C14" s="1218"/>
      <c r="D14" s="1218"/>
      <c r="E14" s="1218"/>
      <c r="F14" s="1218"/>
      <c r="G14" s="869" t="str">
        <f>HYPERLINK("#'P-Compra'!A11", "P-COM-007")</f>
        <v>P-COM-007</v>
      </c>
      <c r="H14" s="1218"/>
      <c r="I14" s="1218"/>
      <c r="J14" s="1218"/>
    </row>
    <row r="15" spans="1:10 16000:16000" s="614" customFormat="1">
      <c r="A15" s="1219"/>
      <c r="B15" s="1219"/>
      <c r="C15" s="1219"/>
      <c r="D15" s="1219"/>
      <c r="E15" s="1219"/>
      <c r="F15" s="1219"/>
      <c r="G15" s="869" t="str">
        <f>HYPERLINK("#'P-Compra'!A12", "P-COM-008")</f>
        <v>P-COM-008</v>
      </c>
      <c r="H15" s="1219"/>
      <c r="I15" s="1219"/>
      <c r="J15" s="1219"/>
      <c r="WQJ15"/>
    </row>
    <row r="16" spans="1:10 16000:16000" s="614" customFormat="1">
      <c r="A16" s="1216" t="s">
        <v>228</v>
      </c>
      <c r="B16" s="1216" t="s">
        <v>320</v>
      </c>
      <c r="C16" s="1216" t="s">
        <v>321</v>
      </c>
      <c r="D16" s="1216" t="s">
        <v>36</v>
      </c>
      <c r="E16" s="1216" t="s">
        <v>317</v>
      </c>
      <c r="F16" s="1216" t="s">
        <v>322</v>
      </c>
      <c r="G16" s="870" t="str">
        <f>HYPERLINK("#'P-Compra'!A8", "P-COM-004")</f>
        <v>P-COM-004</v>
      </c>
      <c r="H16" s="1216"/>
      <c r="I16" s="1216" t="s">
        <v>323</v>
      </c>
      <c r="J16" s="1216"/>
      <c r="WQJ16"/>
    </row>
    <row r="17" spans="1:10 16000:16000" s="614" customFormat="1">
      <c r="A17" s="1216"/>
      <c r="B17" s="1216"/>
      <c r="C17" s="1216"/>
      <c r="D17" s="1216"/>
      <c r="E17" s="1216"/>
      <c r="F17" s="1216"/>
      <c r="G17" s="870" t="str">
        <f>HYPERLINK("#'P-Compra'!A9", "P-COM-005")</f>
        <v>P-COM-005</v>
      </c>
      <c r="H17" s="1216"/>
      <c r="I17" s="1216"/>
      <c r="J17" s="1216"/>
      <c r="WQJ17"/>
    </row>
    <row r="18" spans="1:10 16000:16000" s="614" customFormat="1">
      <c r="A18" s="239" t="s">
        <v>228</v>
      </c>
      <c r="B18" s="239" t="s">
        <v>324</v>
      </c>
      <c r="C18" s="239" t="s">
        <v>325</v>
      </c>
      <c r="D18" s="239" t="s">
        <v>36</v>
      </c>
      <c r="E18" s="239" t="s">
        <v>312</v>
      </c>
      <c r="F18" s="239" t="s">
        <v>326</v>
      </c>
      <c r="G18" s="871" t="str">
        <f>HYPERLINK("#'P-Compra'!A10", "P-COM-006")</f>
        <v>P-COM-006</v>
      </c>
      <c r="H18" s="239"/>
      <c r="I18" s="239" t="s">
        <v>327</v>
      </c>
      <c r="J18" s="239"/>
      <c r="WQJ18"/>
    </row>
  </sheetData>
  <mergeCells count="39">
    <mergeCell ref="A5:A6"/>
    <mergeCell ref="E5:F5"/>
    <mergeCell ref="D5:D6"/>
    <mergeCell ref="H5:H6"/>
    <mergeCell ref="F7:F11"/>
    <mergeCell ref="H7:H11"/>
    <mergeCell ref="A7:A11"/>
    <mergeCell ref="B7:B11"/>
    <mergeCell ref="C7:C11"/>
    <mergeCell ref="D7:D11"/>
    <mergeCell ref="E7:E11"/>
    <mergeCell ref="I7:I11"/>
    <mergeCell ref="J7:J11"/>
    <mergeCell ref="F12:F15"/>
    <mergeCell ref="H12:H15"/>
    <mergeCell ref="I12:I15"/>
    <mergeCell ref="J12:J15"/>
    <mergeCell ref="B2:J2"/>
    <mergeCell ref="C5:C6"/>
    <mergeCell ref="B3:J3"/>
    <mergeCell ref="J5:J6"/>
    <mergeCell ref="B4:C4"/>
    <mergeCell ref="E4:F4"/>
    <mergeCell ref="B5:B6"/>
    <mergeCell ref="I5:I6"/>
    <mergeCell ref="F16:F17"/>
    <mergeCell ref="H16:H17"/>
    <mergeCell ref="I16:I17"/>
    <mergeCell ref="J16:J17"/>
    <mergeCell ref="A12:A15"/>
    <mergeCell ref="B12:B15"/>
    <mergeCell ref="C12:C15"/>
    <mergeCell ref="D12:D15"/>
    <mergeCell ref="E12:E15"/>
    <mergeCell ref="A16:A17"/>
    <mergeCell ref="B16:B17"/>
    <mergeCell ref="C16:C17"/>
    <mergeCell ref="D16:D17"/>
    <mergeCell ref="E16:E17"/>
  </mergeCells>
  <hyperlinks>
    <hyperlink ref="A1" location="'Modelo de dominio'!A1" display="&lt;&lt;&lt;Modelo de Dominio" xr:uid="{00000000-0004-0000-0A00-000000000000}"/>
    <hyperlink ref="B1" location="'Objetos de dominio'!A1" display="&lt;&lt;&lt;Objetos de Dominio" xr:uid="{00000000-0004-0000-0A00-000001000000}"/>
    <hyperlink ref="B3" location="'Objetos de dominio'!B7" display="='C-Compra'!B3" xr:uid="{00000000-0004-0000-0A00-000002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3">
    <outlinePr summaryBelow="0" summaryRight="0"/>
  </sheetPr>
  <dimension ref="A1:Z998"/>
  <sheetViews>
    <sheetView workbookViewId="0">
      <selection activeCell="B20" sqref="B20"/>
    </sheetView>
  </sheetViews>
  <sheetFormatPr baseColWidth="10" defaultColWidth="12.625" defaultRowHeight="12.9"/>
  <cols>
    <col min="1" max="1" width="17.625" bestFit="1" customWidth="1"/>
    <col min="2" max="2" width="146.125" bestFit="1" customWidth="1"/>
    <col min="3" max="3" width="19.5" bestFit="1" customWidth="1"/>
    <col min="4" max="4" width="19.125" bestFit="1" customWidth="1"/>
  </cols>
  <sheetData>
    <row r="1" spans="1:26" ht="13.6">
      <c r="A1" s="2" t="s">
        <v>0</v>
      </c>
      <c r="B1" s="132" t="s">
        <v>1</v>
      </c>
      <c r="C1" s="27"/>
      <c r="D1" s="73"/>
      <c r="E1" s="27"/>
      <c r="F1" s="27"/>
      <c r="G1" s="27"/>
      <c r="H1" s="27"/>
      <c r="I1" s="27"/>
      <c r="J1" s="27"/>
      <c r="K1" s="27"/>
      <c r="L1" s="27"/>
      <c r="M1" s="27"/>
      <c r="N1" s="27"/>
      <c r="O1" s="27"/>
      <c r="P1" s="27"/>
      <c r="Q1" s="27"/>
      <c r="R1" s="27"/>
      <c r="S1" s="27"/>
      <c r="T1" s="27"/>
      <c r="U1" s="27"/>
      <c r="V1" s="27"/>
      <c r="W1" s="27"/>
      <c r="X1" s="27"/>
      <c r="Y1" s="27"/>
      <c r="Z1" s="27"/>
    </row>
    <row r="2" spans="1:26" ht="13.6">
      <c r="A2" s="54" t="s">
        <v>233</v>
      </c>
      <c r="B2" s="1237" t="s">
        <v>36</v>
      </c>
      <c r="C2" s="1033"/>
      <c r="E2" s="27"/>
      <c r="F2" s="27"/>
      <c r="G2" s="27"/>
      <c r="H2" s="27"/>
      <c r="I2" s="27"/>
      <c r="J2" s="27"/>
      <c r="K2" s="27"/>
      <c r="L2" s="27"/>
      <c r="M2" s="27"/>
      <c r="N2" s="27"/>
      <c r="O2" s="27"/>
      <c r="P2" s="27"/>
      <c r="Q2" s="27"/>
      <c r="R2" s="27"/>
      <c r="S2" s="27"/>
      <c r="T2" s="27"/>
      <c r="U2" s="27"/>
      <c r="V2" s="27"/>
      <c r="W2" s="27"/>
      <c r="X2" s="27"/>
      <c r="Y2" s="27"/>
      <c r="Z2" s="27"/>
    </row>
    <row r="3" spans="1:26" ht="13.6">
      <c r="A3" s="54" t="s">
        <v>21</v>
      </c>
      <c r="B3" s="1236" t="str">
        <f>'C-Compra'!B3</f>
        <v>Es cuando la pizzería le compra insumos o productos a un proveedor.</v>
      </c>
      <c r="C3" s="1033"/>
      <c r="E3" s="27"/>
      <c r="F3" s="27"/>
      <c r="G3" s="27"/>
      <c r="H3" s="27"/>
      <c r="I3" s="27"/>
      <c r="J3" s="27"/>
      <c r="K3" s="27"/>
      <c r="L3" s="27"/>
      <c r="M3" s="27"/>
      <c r="N3" s="27"/>
      <c r="O3" s="27"/>
      <c r="P3" s="27"/>
      <c r="Q3" s="27"/>
      <c r="R3" s="27"/>
      <c r="S3" s="27"/>
      <c r="T3" s="27"/>
      <c r="U3" s="27"/>
      <c r="V3" s="27"/>
      <c r="W3" s="27"/>
      <c r="X3" s="27"/>
      <c r="Y3" s="27"/>
      <c r="Z3" s="27"/>
    </row>
    <row r="4" spans="1:26" ht="13.6">
      <c r="A4" s="55" t="s">
        <v>234</v>
      </c>
      <c r="B4" s="55" t="s">
        <v>235</v>
      </c>
      <c r="C4" s="55" t="s">
        <v>236</v>
      </c>
      <c r="D4" s="55" t="s">
        <v>237</v>
      </c>
      <c r="E4" s="27"/>
      <c r="F4" s="27"/>
      <c r="G4" s="27"/>
      <c r="H4" s="27"/>
      <c r="I4" s="27"/>
      <c r="J4" s="27"/>
      <c r="K4" s="27"/>
      <c r="L4" s="27"/>
      <c r="M4" s="27"/>
      <c r="N4" s="27"/>
      <c r="O4" s="27"/>
      <c r="P4" s="27"/>
      <c r="Q4" s="27"/>
      <c r="R4" s="27"/>
      <c r="S4" s="27"/>
      <c r="T4" s="27"/>
      <c r="U4" s="27"/>
      <c r="V4" s="27"/>
      <c r="W4" s="27"/>
      <c r="X4" s="27"/>
      <c r="Y4" s="27"/>
      <c r="Z4" s="27"/>
    </row>
    <row r="5" spans="1:26" ht="13.6">
      <c r="A5" s="38" t="s">
        <v>328</v>
      </c>
      <c r="B5" s="38" t="s">
        <v>329</v>
      </c>
      <c r="C5" s="38" t="s">
        <v>36</v>
      </c>
      <c r="D5" s="290"/>
      <c r="E5" s="27"/>
      <c r="F5" s="27"/>
      <c r="G5" s="27"/>
      <c r="H5" s="27"/>
      <c r="I5" s="27"/>
      <c r="J5" s="27"/>
      <c r="K5" s="27"/>
      <c r="L5" s="27"/>
      <c r="M5" s="27"/>
      <c r="N5" s="27"/>
      <c r="O5" s="27"/>
      <c r="P5" s="27"/>
      <c r="Q5" s="27"/>
      <c r="R5" s="27"/>
      <c r="S5" s="27"/>
      <c r="T5" s="27"/>
      <c r="U5" s="27"/>
      <c r="V5" s="27"/>
      <c r="W5" s="27"/>
      <c r="X5" s="27"/>
      <c r="Y5" s="27"/>
      <c r="Z5" s="27"/>
    </row>
    <row r="6" spans="1:26" ht="13.6">
      <c r="A6" s="38" t="s">
        <v>330</v>
      </c>
      <c r="B6" s="38" t="s">
        <v>331</v>
      </c>
      <c r="C6" s="38" t="s">
        <v>260</v>
      </c>
      <c r="D6" s="791" t="str">
        <f>HYPERLINK("#'P-Proveedor'!A13", 'P-Proveedor'!A13)</f>
        <v>P-PROV-009</v>
      </c>
      <c r="E6" s="27"/>
      <c r="F6" s="27"/>
      <c r="G6" s="27"/>
      <c r="H6" s="27"/>
      <c r="I6" s="27"/>
      <c r="J6" s="27"/>
      <c r="K6" s="27"/>
      <c r="L6" s="27"/>
      <c r="M6" s="27"/>
      <c r="N6" s="27"/>
      <c r="O6" s="27"/>
      <c r="P6" s="27"/>
      <c r="Q6" s="27"/>
      <c r="R6" s="27"/>
      <c r="S6" s="27"/>
      <c r="T6" s="27"/>
      <c r="U6" s="27"/>
      <c r="V6" s="27"/>
      <c r="W6" s="27"/>
      <c r="X6" s="27"/>
      <c r="Y6" s="27"/>
      <c r="Z6" s="27"/>
    </row>
    <row r="7" spans="1:26" ht="13.6">
      <c r="A7" s="38" t="s">
        <v>332</v>
      </c>
      <c r="B7" s="38" t="s">
        <v>333</v>
      </c>
      <c r="C7" s="38" t="s">
        <v>36</v>
      </c>
      <c r="D7" s="290"/>
      <c r="E7" s="27"/>
      <c r="F7" s="27"/>
      <c r="G7" s="27"/>
      <c r="H7" s="27"/>
      <c r="I7" s="27"/>
      <c r="J7" s="27"/>
      <c r="K7" s="27"/>
      <c r="L7" s="27"/>
      <c r="M7" s="27"/>
      <c r="N7" s="27"/>
      <c r="O7" s="27"/>
      <c r="P7" s="27"/>
      <c r="Q7" s="27"/>
      <c r="R7" s="27"/>
      <c r="S7" s="27"/>
      <c r="T7" s="27"/>
      <c r="U7" s="27"/>
      <c r="V7" s="27"/>
      <c r="W7" s="27"/>
      <c r="X7" s="27"/>
      <c r="Y7" s="27"/>
      <c r="Z7" s="27"/>
    </row>
    <row r="8" spans="1:26" ht="13.6">
      <c r="A8" s="38" t="s">
        <v>334</v>
      </c>
      <c r="B8" s="38" t="s">
        <v>335</v>
      </c>
      <c r="C8" s="38" t="s">
        <v>36</v>
      </c>
      <c r="D8" s="290"/>
      <c r="E8" s="27"/>
      <c r="F8" s="27"/>
      <c r="G8" s="27"/>
      <c r="H8" s="27"/>
      <c r="I8" s="27"/>
      <c r="J8" s="27"/>
      <c r="K8" s="27"/>
      <c r="L8" s="27"/>
      <c r="M8" s="27"/>
      <c r="N8" s="27"/>
      <c r="O8" s="27"/>
      <c r="P8" s="27"/>
      <c r="Q8" s="27"/>
      <c r="R8" s="27"/>
      <c r="S8" s="27"/>
      <c r="T8" s="27"/>
      <c r="U8" s="27"/>
      <c r="V8" s="27"/>
      <c r="W8" s="27"/>
      <c r="X8" s="27"/>
      <c r="Y8" s="27"/>
      <c r="Z8" s="27"/>
    </row>
    <row r="9" spans="1:26" ht="27.2">
      <c r="A9" s="38" t="s">
        <v>336</v>
      </c>
      <c r="B9" s="38" t="s">
        <v>337</v>
      </c>
      <c r="C9" s="38" t="s">
        <v>40</v>
      </c>
      <c r="D9" s="792" t="str">
        <f>HYPERLINK("#'P-DetalleCompra'!A14", 'P-DetalleCompra'!A14)</f>
        <v>P-DC-010</v>
      </c>
      <c r="E9" s="27"/>
      <c r="F9" s="27"/>
      <c r="G9" s="27"/>
      <c r="H9" s="27"/>
      <c r="I9" s="27"/>
      <c r="J9" s="27"/>
      <c r="K9" s="27"/>
      <c r="L9" s="27"/>
      <c r="M9" s="27"/>
      <c r="N9" s="27"/>
      <c r="O9" s="27"/>
      <c r="P9" s="27"/>
      <c r="Q9" s="27"/>
      <c r="R9" s="27"/>
      <c r="S9" s="27"/>
      <c r="T9" s="27"/>
      <c r="U9" s="27"/>
      <c r="V9" s="27"/>
      <c r="W9" s="27"/>
      <c r="X9" s="27"/>
      <c r="Y9" s="27"/>
      <c r="Z9" s="27"/>
    </row>
    <row r="10" spans="1:26" ht="13.6">
      <c r="A10" s="38" t="s">
        <v>338</v>
      </c>
      <c r="B10" s="38" t="s">
        <v>339</v>
      </c>
      <c r="C10" s="38" t="s">
        <v>36</v>
      </c>
      <c r="D10" s="290"/>
      <c r="E10" s="27"/>
      <c r="F10" s="27"/>
      <c r="G10" s="27"/>
      <c r="H10" s="27"/>
      <c r="I10" s="27"/>
      <c r="J10" s="27"/>
      <c r="K10" s="27"/>
      <c r="L10" s="27"/>
      <c r="M10" s="27"/>
      <c r="N10" s="27"/>
      <c r="O10" s="27"/>
      <c r="P10" s="27"/>
      <c r="Q10" s="27"/>
      <c r="R10" s="27"/>
      <c r="S10" s="27"/>
      <c r="T10" s="27"/>
      <c r="U10" s="27"/>
      <c r="V10" s="27"/>
      <c r="W10" s="27"/>
      <c r="X10" s="27"/>
      <c r="Y10" s="27"/>
      <c r="Z10" s="27"/>
    </row>
    <row r="11" spans="1:26" ht="13.6">
      <c r="A11" s="38" t="s">
        <v>340</v>
      </c>
      <c r="B11" s="38" t="s">
        <v>341</v>
      </c>
      <c r="C11" s="38" t="s">
        <v>36</v>
      </c>
      <c r="D11" s="290"/>
      <c r="E11" s="27"/>
      <c r="F11" s="27"/>
      <c r="G11" s="27"/>
      <c r="H11" s="27"/>
      <c r="I11" s="27"/>
      <c r="J11" s="27"/>
      <c r="K11" s="27"/>
      <c r="L11" s="27"/>
      <c r="M11" s="27"/>
      <c r="N11" s="27"/>
      <c r="O11" s="27"/>
      <c r="P11" s="27"/>
      <c r="Q11" s="27"/>
      <c r="R11" s="27"/>
      <c r="S11" s="27"/>
      <c r="T11" s="27"/>
      <c r="U11" s="27"/>
      <c r="V11" s="27"/>
      <c r="W11" s="27"/>
      <c r="X11" s="27"/>
      <c r="Y11" s="27"/>
      <c r="Z11" s="27"/>
    </row>
    <row r="12" spans="1:26" ht="13.6">
      <c r="A12" s="38" t="s">
        <v>342</v>
      </c>
      <c r="B12" s="38" t="s">
        <v>343</v>
      </c>
      <c r="C12" s="38" t="s">
        <v>260</v>
      </c>
      <c r="D12" s="791" t="str">
        <f>HYPERLINK("#'P-Proveedor'!A12", 'P-Proveedor'!A12)</f>
        <v>P-PROV-008</v>
      </c>
      <c r="E12" s="27"/>
      <c r="F12" s="27"/>
      <c r="G12" s="27"/>
      <c r="H12" s="27"/>
      <c r="I12" s="27"/>
      <c r="J12" s="27"/>
      <c r="K12" s="27"/>
      <c r="L12" s="27"/>
      <c r="M12" s="27"/>
      <c r="N12" s="27"/>
      <c r="O12" s="27"/>
      <c r="P12" s="27"/>
      <c r="Q12" s="27"/>
      <c r="R12" s="27"/>
      <c r="S12" s="27"/>
      <c r="T12" s="27"/>
      <c r="U12" s="27"/>
      <c r="V12" s="27"/>
      <c r="W12" s="27"/>
      <c r="X12" s="27"/>
      <c r="Y12" s="27"/>
      <c r="Z12" s="27"/>
    </row>
    <row r="13" spans="1:26" ht="13.6">
      <c r="A13" s="38" t="s">
        <v>1412</v>
      </c>
      <c r="B13" s="38" t="s">
        <v>1413</v>
      </c>
      <c r="C13" s="38" t="s">
        <v>36</v>
      </c>
      <c r="D13" s="791"/>
      <c r="E13" s="27"/>
      <c r="F13" s="27"/>
      <c r="G13" s="27"/>
      <c r="H13" s="27"/>
      <c r="I13" s="27"/>
      <c r="J13" s="27"/>
      <c r="K13" s="27"/>
      <c r="L13" s="27"/>
      <c r="M13" s="27"/>
      <c r="N13" s="27"/>
      <c r="O13" s="27"/>
      <c r="P13" s="27"/>
      <c r="Q13" s="27"/>
      <c r="R13" s="27"/>
      <c r="S13" s="27"/>
      <c r="T13" s="27"/>
      <c r="U13" s="27"/>
      <c r="V13" s="27"/>
      <c r="W13" s="27"/>
      <c r="X13" s="27"/>
      <c r="Y13" s="27"/>
      <c r="Z13" s="27"/>
    </row>
    <row r="14" spans="1:26" ht="13.6">
      <c r="A14" s="27"/>
      <c r="B14" s="27"/>
      <c r="C14" s="27"/>
      <c r="D14" s="73"/>
      <c r="E14" s="27"/>
      <c r="F14" s="27"/>
      <c r="G14" s="27"/>
      <c r="H14" s="27"/>
      <c r="I14" s="27"/>
      <c r="J14" s="27"/>
      <c r="K14" s="27"/>
      <c r="L14" s="27"/>
      <c r="M14" s="27"/>
      <c r="N14" s="27"/>
      <c r="O14" s="27"/>
      <c r="P14" s="27"/>
      <c r="Q14" s="27"/>
      <c r="R14" s="27"/>
      <c r="S14" s="27"/>
      <c r="T14" s="27"/>
      <c r="U14" s="27"/>
      <c r="V14" s="27"/>
      <c r="W14" s="27"/>
      <c r="X14" s="27"/>
      <c r="Y14" s="27"/>
      <c r="Z14" s="27"/>
    </row>
    <row r="15" spans="1:26" ht="13.6">
      <c r="A15" s="27"/>
      <c r="B15" s="27"/>
      <c r="C15" s="27"/>
      <c r="D15" s="73"/>
      <c r="E15" s="27"/>
      <c r="F15" s="27"/>
      <c r="G15" s="27"/>
      <c r="H15" s="27"/>
      <c r="I15" s="27"/>
      <c r="J15" s="27"/>
      <c r="K15" s="27"/>
      <c r="L15" s="27"/>
      <c r="M15" s="27"/>
      <c r="N15" s="27"/>
      <c r="O15" s="27"/>
      <c r="P15" s="27"/>
      <c r="Q15" s="27"/>
      <c r="R15" s="27"/>
      <c r="S15" s="27"/>
      <c r="T15" s="27"/>
      <c r="U15" s="27"/>
      <c r="V15" s="27"/>
      <c r="W15" s="27"/>
      <c r="X15" s="27"/>
      <c r="Y15" s="27"/>
      <c r="Z15" s="27"/>
    </row>
    <row r="16" spans="1:26" ht="13.6">
      <c r="A16" s="27"/>
      <c r="B16" s="27"/>
      <c r="C16" s="27"/>
      <c r="D16" s="73"/>
      <c r="E16" s="27"/>
      <c r="F16" s="27"/>
      <c r="G16" s="27"/>
      <c r="H16" s="27"/>
      <c r="I16" s="27"/>
      <c r="J16" s="27"/>
      <c r="K16" s="27"/>
      <c r="L16" s="27"/>
      <c r="M16" s="27"/>
      <c r="N16" s="27"/>
      <c r="O16" s="27"/>
      <c r="P16" s="27"/>
      <c r="Q16" s="27"/>
      <c r="R16" s="27"/>
      <c r="S16" s="27"/>
      <c r="T16" s="27"/>
      <c r="U16" s="27"/>
      <c r="V16" s="27"/>
      <c r="W16" s="27"/>
      <c r="X16" s="27"/>
      <c r="Y16" s="27"/>
      <c r="Z16" s="27"/>
    </row>
    <row r="17" spans="1:26" ht="13.6">
      <c r="A17" s="27"/>
      <c r="B17" s="27"/>
      <c r="C17" s="27"/>
      <c r="D17" s="73"/>
      <c r="E17" s="27"/>
      <c r="F17" s="27"/>
      <c r="G17" s="27"/>
      <c r="H17" s="27"/>
      <c r="I17" s="27"/>
      <c r="J17" s="27"/>
      <c r="K17" s="27"/>
      <c r="L17" s="27"/>
      <c r="M17" s="27"/>
      <c r="N17" s="27"/>
      <c r="O17" s="27"/>
      <c r="P17" s="27"/>
      <c r="Q17" s="27"/>
      <c r="R17" s="27"/>
      <c r="S17" s="27"/>
      <c r="T17" s="27"/>
      <c r="U17" s="27"/>
      <c r="V17" s="27"/>
      <c r="W17" s="27"/>
      <c r="X17" s="27"/>
      <c r="Y17" s="27"/>
      <c r="Z17" s="27"/>
    </row>
    <row r="18" spans="1:26" ht="13.6">
      <c r="A18" s="27"/>
      <c r="B18" s="27"/>
      <c r="C18" s="27"/>
      <c r="D18" s="73"/>
      <c r="E18" s="27"/>
      <c r="F18" s="27"/>
      <c r="G18" s="27"/>
      <c r="H18" s="27"/>
      <c r="I18" s="27"/>
      <c r="J18" s="27"/>
      <c r="K18" s="27"/>
      <c r="L18" s="27"/>
      <c r="M18" s="27"/>
      <c r="N18" s="27"/>
      <c r="O18" s="27"/>
      <c r="P18" s="27"/>
      <c r="Q18" s="27"/>
      <c r="R18" s="27"/>
      <c r="S18" s="27"/>
      <c r="T18" s="27"/>
      <c r="U18" s="27"/>
      <c r="V18" s="27"/>
      <c r="W18" s="27"/>
      <c r="X18" s="27"/>
      <c r="Y18" s="27"/>
      <c r="Z18" s="27"/>
    </row>
    <row r="19" spans="1:26" ht="13.6">
      <c r="A19" s="27"/>
      <c r="B19" s="27"/>
      <c r="C19" s="27"/>
      <c r="D19" s="73"/>
      <c r="E19" s="27"/>
      <c r="F19" s="27"/>
      <c r="G19" s="27"/>
      <c r="H19" s="27"/>
      <c r="I19" s="27"/>
      <c r="J19" s="27"/>
      <c r="K19" s="27"/>
      <c r="L19" s="27"/>
      <c r="M19" s="27"/>
      <c r="N19" s="27"/>
      <c r="O19" s="27"/>
      <c r="P19" s="27"/>
      <c r="Q19" s="27"/>
      <c r="R19" s="27"/>
      <c r="S19" s="27"/>
      <c r="T19" s="27"/>
      <c r="U19" s="27"/>
      <c r="V19" s="27"/>
      <c r="W19" s="27"/>
      <c r="X19" s="27"/>
      <c r="Y19" s="27"/>
      <c r="Z19" s="27"/>
    </row>
    <row r="20" spans="1:26" ht="13.6">
      <c r="A20" s="27"/>
      <c r="B20" s="27"/>
      <c r="C20" s="27"/>
      <c r="D20" s="73"/>
      <c r="E20" s="27"/>
      <c r="F20" s="27"/>
      <c r="G20" s="27"/>
      <c r="H20" s="27"/>
      <c r="I20" s="27"/>
      <c r="J20" s="27"/>
      <c r="K20" s="27"/>
      <c r="L20" s="27"/>
      <c r="M20" s="27"/>
      <c r="N20" s="27"/>
      <c r="O20" s="27"/>
      <c r="P20" s="27"/>
      <c r="Q20" s="27"/>
      <c r="R20" s="27"/>
      <c r="S20" s="27"/>
      <c r="T20" s="27"/>
      <c r="U20" s="27"/>
      <c r="V20" s="27"/>
      <c r="W20" s="27"/>
      <c r="X20" s="27"/>
      <c r="Y20" s="27"/>
      <c r="Z20" s="27"/>
    </row>
    <row r="21" spans="1:26" ht="13.6">
      <c r="A21" s="27"/>
      <c r="B21" s="27"/>
      <c r="C21" s="27"/>
      <c r="D21" s="73"/>
      <c r="E21" s="27"/>
      <c r="F21" s="27"/>
      <c r="G21" s="27"/>
      <c r="H21" s="27"/>
      <c r="I21" s="27"/>
      <c r="J21" s="27"/>
      <c r="K21" s="27"/>
      <c r="L21" s="27"/>
      <c r="M21" s="27"/>
      <c r="N21" s="27"/>
      <c r="O21" s="27"/>
      <c r="P21" s="27"/>
      <c r="Q21" s="27"/>
      <c r="R21" s="27"/>
      <c r="S21" s="27"/>
      <c r="T21" s="27"/>
      <c r="U21" s="27"/>
      <c r="V21" s="27"/>
      <c r="W21" s="27"/>
      <c r="X21" s="27"/>
      <c r="Y21" s="27"/>
      <c r="Z21" s="27"/>
    </row>
    <row r="22" spans="1:26" ht="13.6">
      <c r="A22" s="27"/>
      <c r="B22" s="27"/>
      <c r="C22" s="27"/>
      <c r="D22" s="73"/>
      <c r="E22" s="27"/>
      <c r="F22" s="27"/>
      <c r="G22" s="27"/>
      <c r="H22" s="27"/>
      <c r="I22" s="27"/>
      <c r="J22" s="27"/>
      <c r="K22" s="27"/>
      <c r="L22" s="27"/>
      <c r="M22" s="27"/>
      <c r="N22" s="27"/>
      <c r="O22" s="27"/>
      <c r="P22" s="27"/>
      <c r="Q22" s="27"/>
      <c r="R22" s="27"/>
      <c r="S22" s="27"/>
      <c r="T22" s="27"/>
      <c r="U22" s="27"/>
      <c r="V22" s="27"/>
      <c r="W22" s="27"/>
      <c r="X22" s="27"/>
      <c r="Y22" s="27"/>
      <c r="Z22" s="27"/>
    </row>
    <row r="23" spans="1:26" ht="13.6">
      <c r="A23" s="27"/>
      <c r="B23" s="27"/>
      <c r="C23" s="27"/>
      <c r="D23" s="73"/>
      <c r="E23" s="27"/>
      <c r="F23" s="27"/>
      <c r="G23" s="27"/>
      <c r="H23" s="27"/>
      <c r="I23" s="27"/>
      <c r="J23" s="27"/>
      <c r="K23" s="27"/>
      <c r="L23" s="27"/>
      <c r="M23" s="27"/>
      <c r="N23" s="27"/>
      <c r="O23" s="27"/>
      <c r="P23" s="27"/>
      <c r="Q23" s="27"/>
      <c r="R23" s="27"/>
      <c r="S23" s="27"/>
      <c r="T23" s="27"/>
      <c r="U23" s="27"/>
      <c r="V23" s="27"/>
      <c r="W23" s="27"/>
      <c r="X23" s="27"/>
      <c r="Y23" s="27"/>
      <c r="Z23" s="27"/>
    </row>
    <row r="24" spans="1:26" ht="13.6">
      <c r="A24" s="27"/>
      <c r="B24" s="27"/>
      <c r="C24" s="27"/>
      <c r="D24" s="73"/>
      <c r="E24" s="27"/>
      <c r="F24" s="27"/>
      <c r="G24" s="27"/>
      <c r="H24" s="27"/>
      <c r="I24" s="27"/>
      <c r="J24" s="27"/>
      <c r="K24" s="27"/>
      <c r="L24" s="27"/>
      <c r="M24" s="27"/>
      <c r="N24" s="27"/>
      <c r="O24" s="27"/>
      <c r="P24" s="27"/>
      <c r="Q24" s="27"/>
      <c r="R24" s="27"/>
      <c r="S24" s="27"/>
      <c r="T24" s="27"/>
      <c r="U24" s="27"/>
      <c r="V24" s="27"/>
      <c r="W24" s="27"/>
      <c r="X24" s="27"/>
      <c r="Y24" s="27"/>
      <c r="Z24" s="27"/>
    </row>
    <row r="25" spans="1:26" ht="13.6">
      <c r="A25" s="27"/>
      <c r="B25" s="27"/>
      <c r="C25" s="27"/>
      <c r="D25" s="73"/>
      <c r="E25" s="27"/>
      <c r="F25" s="27"/>
      <c r="G25" s="27"/>
      <c r="H25" s="27"/>
      <c r="I25" s="27"/>
      <c r="J25" s="27"/>
      <c r="K25" s="27"/>
      <c r="L25" s="27"/>
      <c r="M25" s="27"/>
      <c r="N25" s="27"/>
      <c r="O25" s="27"/>
      <c r="P25" s="27"/>
      <c r="Q25" s="27"/>
      <c r="R25" s="27"/>
      <c r="S25" s="27"/>
      <c r="T25" s="27"/>
      <c r="U25" s="27"/>
      <c r="V25" s="27"/>
      <c r="W25" s="27"/>
      <c r="X25" s="27"/>
      <c r="Y25" s="27"/>
      <c r="Z25" s="27"/>
    </row>
    <row r="26" spans="1:26" ht="13.6">
      <c r="A26" s="27"/>
      <c r="B26" s="27"/>
      <c r="C26" s="27"/>
      <c r="D26" s="73"/>
      <c r="E26" s="27"/>
      <c r="F26" s="27"/>
      <c r="G26" s="27"/>
      <c r="H26" s="27"/>
      <c r="I26" s="27"/>
      <c r="J26" s="27"/>
      <c r="K26" s="27"/>
      <c r="L26" s="27"/>
      <c r="M26" s="27"/>
      <c r="N26" s="27"/>
      <c r="O26" s="27"/>
      <c r="P26" s="27"/>
      <c r="Q26" s="27"/>
      <c r="R26" s="27"/>
      <c r="S26" s="27"/>
      <c r="T26" s="27"/>
      <c r="U26" s="27"/>
      <c r="V26" s="27"/>
      <c r="W26" s="27"/>
      <c r="X26" s="27"/>
      <c r="Y26" s="27"/>
      <c r="Z26" s="27"/>
    </row>
    <row r="27" spans="1:26" ht="13.6">
      <c r="A27" s="27"/>
      <c r="B27" s="27"/>
      <c r="C27" s="27"/>
      <c r="D27" s="73"/>
      <c r="E27" s="27"/>
      <c r="F27" s="27"/>
      <c r="G27" s="27"/>
      <c r="H27" s="27"/>
      <c r="I27" s="27"/>
      <c r="J27" s="27"/>
      <c r="K27" s="27"/>
      <c r="L27" s="27"/>
      <c r="M27" s="27"/>
      <c r="N27" s="27"/>
      <c r="O27" s="27"/>
      <c r="P27" s="27"/>
      <c r="Q27" s="27"/>
      <c r="R27" s="27"/>
      <c r="S27" s="27"/>
      <c r="T27" s="27"/>
      <c r="U27" s="27"/>
      <c r="V27" s="27"/>
      <c r="W27" s="27"/>
      <c r="X27" s="27"/>
      <c r="Y27" s="27"/>
      <c r="Z27" s="27"/>
    </row>
    <row r="28" spans="1:26" ht="13.6">
      <c r="A28" s="27"/>
      <c r="B28" s="27"/>
      <c r="C28" s="27"/>
      <c r="D28" s="73"/>
      <c r="E28" s="27"/>
      <c r="F28" s="27"/>
      <c r="G28" s="27"/>
      <c r="H28" s="27"/>
      <c r="I28" s="27"/>
      <c r="J28" s="27"/>
      <c r="K28" s="27"/>
      <c r="L28" s="27"/>
      <c r="M28" s="27"/>
      <c r="N28" s="27"/>
      <c r="O28" s="27"/>
      <c r="P28" s="27"/>
      <c r="Q28" s="27"/>
      <c r="R28" s="27"/>
      <c r="S28" s="27"/>
      <c r="T28" s="27"/>
      <c r="U28" s="27"/>
      <c r="V28" s="27"/>
      <c r="W28" s="27"/>
      <c r="X28" s="27"/>
      <c r="Y28" s="27"/>
      <c r="Z28" s="27"/>
    </row>
    <row r="29" spans="1:26" ht="13.6">
      <c r="A29" s="27"/>
      <c r="B29" s="27"/>
      <c r="C29" s="27"/>
      <c r="D29" s="73"/>
      <c r="E29" s="27"/>
      <c r="F29" s="27"/>
      <c r="G29" s="27"/>
      <c r="H29" s="27"/>
      <c r="I29" s="27"/>
      <c r="J29" s="27"/>
      <c r="K29" s="27"/>
      <c r="L29" s="27"/>
      <c r="M29" s="27"/>
      <c r="N29" s="27"/>
      <c r="O29" s="27"/>
      <c r="P29" s="27"/>
      <c r="Q29" s="27"/>
      <c r="R29" s="27"/>
      <c r="S29" s="27"/>
      <c r="T29" s="27"/>
      <c r="U29" s="27"/>
      <c r="V29" s="27"/>
      <c r="W29" s="27"/>
      <c r="X29" s="27"/>
      <c r="Y29" s="27"/>
      <c r="Z29" s="27"/>
    </row>
    <row r="30" spans="1:26" ht="13.6">
      <c r="A30" s="27"/>
      <c r="B30" s="27"/>
      <c r="C30" s="27"/>
      <c r="D30" s="73"/>
      <c r="E30" s="27"/>
      <c r="F30" s="27"/>
      <c r="G30" s="27"/>
      <c r="H30" s="27"/>
      <c r="I30" s="27"/>
      <c r="J30" s="27"/>
      <c r="K30" s="27"/>
      <c r="L30" s="27"/>
      <c r="M30" s="27"/>
      <c r="N30" s="27"/>
      <c r="O30" s="27"/>
      <c r="P30" s="27"/>
      <c r="Q30" s="27"/>
      <c r="R30" s="27"/>
      <c r="S30" s="27"/>
      <c r="T30" s="27"/>
      <c r="U30" s="27"/>
      <c r="V30" s="27"/>
      <c r="W30" s="27"/>
      <c r="X30" s="27"/>
      <c r="Y30" s="27"/>
      <c r="Z30" s="27"/>
    </row>
    <row r="31" spans="1:26" ht="13.6">
      <c r="A31" s="27"/>
      <c r="B31" s="27"/>
      <c r="C31" s="27"/>
      <c r="D31" s="73"/>
      <c r="E31" s="27"/>
      <c r="F31" s="27"/>
      <c r="G31" s="27"/>
      <c r="H31" s="27"/>
      <c r="I31" s="27"/>
      <c r="J31" s="27"/>
      <c r="K31" s="27"/>
      <c r="L31" s="27"/>
      <c r="M31" s="27"/>
      <c r="N31" s="27"/>
      <c r="O31" s="27"/>
      <c r="P31" s="27"/>
      <c r="Q31" s="27"/>
      <c r="R31" s="27"/>
      <c r="S31" s="27"/>
      <c r="T31" s="27"/>
      <c r="U31" s="27"/>
      <c r="V31" s="27"/>
      <c r="W31" s="27"/>
      <c r="X31" s="27"/>
      <c r="Y31" s="27"/>
      <c r="Z31" s="27"/>
    </row>
    <row r="32" spans="1:26" ht="13.6">
      <c r="A32" s="27"/>
      <c r="B32" s="27"/>
      <c r="C32" s="27"/>
      <c r="D32" s="73"/>
      <c r="E32" s="27"/>
      <c r="F32" s="27"/>
      <c r="G32" s="27"/>
      <c r="H32" s="27"/>
      <c r="I32" s="27"/>
      <c r="J32" s="27"/>
      <c r="K32" s="27"/>
      <c r="L32" s="27"/>
      <c r="M32" s="27"/>
      <c r="N32" s="27"/>
      <c r="O32" s="27"/>
      <c r="P32" s="27"/>
      <c r="Q32" s="27"/>
      <c r="R32" s="27"/>
      <c r="S32" s="27"/>
      <c r="T32" s="27"/>
      <c r="U32" s="27"/>
      <c r="V32" s="27"/>
      <c r="W32" s="27"/>
      <c r="X32" s="27"/>
      <c r="Y32" s="27"/>
      <c r="Z32" s="27"/>
    </row>
    <row r="33" spans="1:26" ht="13.6">
      <c r="A33" s="27"/>
      <c r="B33" s="27"/>
      <c r="C33" s="27"/>
      <c r="D33" s="73"/>
      <c r="E33" s="27"/>
      <c r="F33" s="27"/>
      <c r="G33" s="27"/>
      <c r="H33" s="27"/>
      <c r="I33" s="27"/>
      <c r="J33" s="27"/>
      <c r="K33" s="27"/>
      <c r="L33" s="27"/>
      <c r="M33" s="27"/>
      <c r="N33" s="27"/>
      <c r="O33" s="27"/>
      <c r="P33" s="27"/>
      <c r="Q33" s="27"/>
      <c r="R33" s="27"/>
      <c r="S33" s="27"/>
      <c r="T33" s="27"/>
      <c r="U33" s="27"/>
      <c r="V33" s="27"/>
      <c r="W33" s="27"/>
      <c r="X33" s="27"/>
      <c r="Y33" s="27"/>
      <c r="Z33" s="27"/>
    </row>
    <row r="34" spans="1:26" ht="13.6">
      <c r="A34" s="27"/>
      <c r="B34" s="27"/>
      <c r="C34" s="27"/>
      <c r="D34" s="73"/>
      <c r="E34" s="27"/>
      <c r="F34" s="27"/>
      <c r="G34" s="27"/>
      <c r="H34" s="27"/>
      <c r="I34" s="27"/>
      <c r="J34" s="27"/>
      <c r="K34" s="27"/>
      <c r="L34" s="27"/>
      <c r="M34" s="27"/>
      <c r="N34" s="27"/>
      <c r="O34" s="27"/>
      <c r="P34" s="27"/>
      <c r="Q34" s="27"/>
      <c r="R34" s="27"/>
      <c r="S34" s="27"/>
      <c r="T34" s="27"/>
      <c r="U34" s="27"/>
      <c r="V34" s="27"/>
      <c r="W34" s="27"/>
      <c r="X34" s="27"/>
      <c r="Y34" s="27"/>
      <c r="Z34" s="27"/>
    </row>
    <row r="35" spans="1:26" ht="13.6">
      <c r="A35" s="27"/>
      <c r="B35" s="27"/>
      <c r="C35" s="27"/>
      <c r="D35" s="73"/>
      <c r="E35" s="27"/>
      <c r="F35" s="27"/>
      <c r="G35" s="27"/>
      <c r="H35" s="27"/>
      <c r="I35" s="27"/>
      <c r="J35" s="27"/>
      <c r="K35" s="27"/>
      <c r="L35" s="27"/>
      <c r="M35" s="27"/>
      <c r="N35" s="27"/>
      <c r="O35" s="27"/>
      <c r="P35" s="27"/>
      <c r="Q35" s="27"/>
      <c r="R35" s="27"/>
      <c r="S35" s="27"/>
      <c r="T35" s="27"/>
      <c r="U35" s="27"/>
      <c r="V35" s="27"/>
      <c r="W35" s="27"/>
      <c r="X35" s="27"/>
      <c r="Y35" s="27"/>
      <c r="Z35" s="27"/>
    </row>
    <row r="36" spans="1:26" ht="13.6">
      <c r="A36" s="27"/>
      <c r="B36" s="27"/>
      <c r="C36" s="27"/>
      <c r="D36" s="73"/>
      <c r="E36" s="27"/>
      <c r="F36" s="27"/>
      <c r="G36" s="27"/>
      <c r="H36" s="27"/>
      <c r="I36" s="27"/>
      <c r="J36" s="27"/>
      <c r="K36" s="27"/>
      <c r="L36" s="27"/>
      <c r="M36" s="27"/>
      <c r="N36" s="27"/>
      <c r="O36" s="27"/>
      <c r="P36" s="27"/>
      <c r="Q36" s="27"/>
      <c r="R36" s="27"/>
      <c r="S36" s="27"/>
      <c r="T36" s="27"/>
      <c r="U36" s="27"/>
      <c r="V36" s="27"/>
      <c r="W36" s="27"/>
      <c r="X36" s="27"/>
      <c r="Y36" s="27"/>
      <c r="Z36" s="27"/>
    </row>
    <row r="37" spans="1:26" ht="13.6">
      <c r="A37" s="27"/>
      <c r="B37" s="27"/>
      <c r="C37" s="27"/>
      <c r="D37" s="73"/>
      <c r="E37" s="27"/>
      <c r="F37" s="27"/>
      <c r="G37" s="27"/>
      <c r="H37" s="27"/>
      <c r="I37" s="27"/>
      <c r="J37" s="27"/>
      <c r="K37" s="27"/>
      <c r="L37" s="27"/>
      <c r="M37" s="27"/>
      <c r="N37" s="27"/>
      <c r="O37" s="27"/>
      <c r="P37" s="27"/>
      <c r="Q37" s="27"/>
      <c r="R37" s="27"/>
      <c r="S37" s="27"/>
      <c r="T37" s="27"/>
      <c r="U37" s="27"/>
      <c r="V37" s="27"/>
      <c r="W37" s="27"/>
      <c r="X37" s="27"/>
      <c r="Y37" s="27"/>
      <c r="Z37" s="27"/>
    </row>
    <row r="38" spans="1:26" ht="13.6">
      <c r="A38" s="27"/>
      <c r="B38" s="27"/>
      <c r="C38" s="27"/>
      <c r="D38" s="73"/>
      <c r="E38" s="27"/>
      <c r="F38" s="27"/>
      <c r="G38" s="27"/>
      <c r="H38" s="27"/>
      <c r="I38" s="27"/>
      <c r="J38" s="27"/>
      <c r="K38" s="27"/>
      <c r="L38" s="27"/>
      <c r="M38" s="27"/>
      <c r="N38" s="27"/>
      <c r="O38" s="27"/>
      <c r="P38" s="27"/>
      <c r="Q38" s="27"/>
      <c r="R38" s="27"/>
      <c r="S38" s="27"/>
      <c r="T38" s="27"/>
      <c r="U38" s="27"/>
      <c r="V38" s="27"/>
      <c r="W38" s="27"/>
      <c r="X38" s="27"/>
      <c r="Y38" s="27"/>
      <c r="Z38" s="27"/>
    </row>
    <row r="39" spans="1:26" ht="13.6">
      <c r="A39" s="27"/>
      <c r="B39" s="27"/>
      <c r="C39" s="27"/>
      <c r="D39" s="73"/>
      <c r="E39" s="27"/>
      <c r="F39" s="27"/>
      <c r="G39" s="27"/>
      <c r="H39" s="27"/>
      <c r="I39" s="27"/>
      <c r="J39" s="27"/>
      <c r="K39" s="27"/>
      <c r="L39" s="27"/>
      <c r="M39" s="27"/>
      <c r="N39" s="27"/>
      <c r="O39" s="27"/>
      <c r="P39" s="27"/>
      <c r="Q39" s="27"/>
      <c r="R39" s="27"/>
      <c r="S39" s="27"/>
      <c r="T39" s="27"/>
      <c r="U39" s="27"/>
      <c r="V39" s="27"/>
      <c r="W39" s="27"/>
      <c r="X39" s="27"/>
      <c r="Y39" s="27"/>
      <c r="Z39" s="27"/>
    </row>
    <row r="40" spans="1:26" ht="13.6">
      <c r="A40" s="27"/>
      <c r="B40" s="27"/>
      <c r="C40" s="27"/>
      <c r="D40" s="73"/>
      <c r="E40" s="27"/>
      <c r="F40" s="27"/>
      <c r="G40" s="27"/>
      <c r="H40" s="27"/>
      <c r="I40" s="27"/>
      <c r="J40" s="27"/>
      <c r="K40" s="27"/>
      <c r="L40" s="27"/>
      <c r="M40" s="27"/>
      <c r="N40" s="27"/>
      <c r="O40" s="27"/>
      <c r="P40" s="27"/>
      <c r="Q40" s="27"/>
      <c r="R40" s="27"/>
      <c r="S40" s="27"/>
      <c r="T40" s="27"/>
      <c r="U40" s="27"/>
      <c r="V40" s="27"/>
      <c r="W40" s="27"/>
      <c r="X40" s="27"/>
      <c r="Y40" s="27"/>
      <c r="Z40" s="27"/>
    </row>
    <row r="41" spans="1:26" ht="13.6">
      <c r="A41" s="27"/>
      <c r="B41" s="27"/>
      <c r="C41" s="27"/>
      <c r="D41" s="73"/>
      <c r="E41" s="27"/>
      <c r="F41" s="27"/>
      <c r="G41" s="27"/>
      <c r="H41" s="27"/>
      <c r="I41" s="27"/>
      <c r="J41" s="27"/>
      <c r="K41" s="27"/>
      <c r="L41" s="27"/>
      <c r="M41" s="27"/>
      <c r="N41" s="27"/>
      <c r="O41" s="27"/>
      <c r="P41" s="27"/>
      <c r="Q41" s="27"/>
      <c r="R41" s="27"/>
      <c r="S41" s="27"/>
      <c r="T41" s="27"/>
      <c r="U41" s="27"/>
      <c r="V41" s="27"/>
      <c r="W41" s="27"/>
      <c r="X41" s="27"/>
      <c r="Y41" s="27"/>
      <c r="Z41" s="27"/>
    </row>
    <row r="42" spans="1:26" ht="13.6">
      <c r="A42" s="27"/>
      <c r="B42" s="27"/>
      <c r="C42" s="27"/>
      <c r="D42" s="73"/>
      <c r="E42" s="27"/>
      <c r="F42" s="27"/>
      <c r="G42" s="27"/>
      <c r="H42" s="27"/>
      <c r="I42" s="27"/>
      <c r="J42" s="27"/>
      <c r="K42" s="27"/>
      <c r="L42" s="27"/>
      <c r="M42" s="27"/>
      <c r="N42" s="27"/>
      <c r="O42" s="27"/>
      <c r="P42" s="27"/>
      <c r="Q42" s="27"/>
      <c r="R42" s="27"/>
      <c r="S42" s="27"/>
      <c r="T42" s="27"/>
      <c r="U42" s="27"/>
      <c r="V42" s="27"/>
      <c r="W42" s="27"/>
      <c r="X42" s="27"/>
      <c r="Y42" s="27"/>
      <c r="Z42" s="27"/>
    </row>
    <row r="43" spans="1:26" ht="13.6">
      <c r="A43" s="27"/>
      <c r="B43" s="27"/>
      <c r="C43" s="27"/>
      <c r="D43" s="73"/>
      <c r="E43" s="27"/>
      <c r="F43" s="27"/>
      <c r="G43" s="27"/>
      <c r="H43" s="27"/>
      <c r="I43" s="27"/>
      <c r="J43" s="27"/>
      <c r="K43" s="27"/>
      <c r="L43" s="27"/>
      <c r="M43" s="27"/>
      <c r="N43" s="27"/>
      <c r="O43" s="27"/>
      <c r="P43" s="27"/>
      <c r="Q43" s="27"/>
      <c r="R43" s="27"/>
      <c r="S43" s="27"/>
      <c r="T43" s="27"/>
      <c r="U43" s="27"/>
      <c r="V43" s="27"/>
      <c r="W43" s="27"/>
      <c r="X43" s="27"/>
      <c r="Y43" s="27"/>
      <c r="Z43" s="27"/>
    </row>
    <row r="44" spans="1:26" ht="13.6">
      <c r="A44" s="27"/>
      <c r="B44" s="27"/>
      <c r="C44" s="27"/>
      <c r="D44" s="73"/>
      <c r="E44" s="27"/>
      <c r="F44" s="27"/>
      <c r="G44" s="27"/>
      <c r="H44" s="27"/>
      <c r="I44" s="27"/>
      <c r="J44" s="27"/>
      <c r="K44" s="27"/>
      <c r="L44" s="27"/>
      <c r="M44" s="27"/>
      <c r="N44" s="27"/>
      <c r="O44" s="27"/>
      <c r="P44" s="27"/>
      <c r="Q44" s="27"/>
      <c r="R44" s="27"/>
      <c r="S44" s="27"/>
      <c r="T44" s="27"/>
      <c r="U44" s="27"/>
      <c r="V44" s="27"/>
      <c r="W44" s="27"/>
      <c r="X44" s="27"/>
      <c r="Y44" s="27"/>
      <c r="Z44" s="27"/>
    </row>
    <row r="45" spans="1:26" ht="13.6">
      <c r="A45" s="27"/>
      <c r="B45" s="27"/>
      <c r="C45" s="27"/>
      <c r="D45" s="73"/>
      <c r="E45" s="27"/>
      <c r="F45" s="27"/>
      <c r="G45" s="27"/>
      <c r="H45" s="27"/>
      <c r="I45" s="27"/>
      <c r="J45" s="27"/>
      <c r="K45" s="27"/>
      <c r="L45" s="27"/>
      <c r="M45" s="27"/>
      <c r="N45" s="27"/>
      <c r="O45" s="27"/>
      <c r="P45" s="27"/>
      <c r="Q45" s="27"/>
      <c r="R45" s="27"/>
      <c r="S45" s="27"/>
      <c r="T45" s="27"/>
      <c r="U45" s="27"/>
      <c r="V45" s="27"/>
      <c r="W45" s="27"/>
      <c r="X45" s="27"/>
      <c r="Y45" s="27"/>
      <c r="Z45" s="27"/>
    </row>
    <row r="46" spans="1:26" ht="13.6">
      <c r="A46" s="27"/>
      <c r="B46" s="27"/>
      <c r="C46" s="27"/>
      <c r="D46" s="73"/>
      <c r="E46" s="27"/>
      <c r="F46" s="27"/>
      <c r="G46" s="27"/>
      <c r="H46" s="27"/>
      <c r="I46" s="27"/>
      <c r="J46" s="27"/>
      <c r="K46" s="27"/>
      <c r="L46" s="27"/>
      <c r="M46" s="27"/>
      <c r="N46" s="27"/>
      <c r="O46" s="27"/>
      <c r="P46" s="27"/>
      <c r="Q46" s="27"/>
      <c r="R46" s="27"/>
      <c r="S46" s="27"/>
      <c r="T46" s="27"/>
      <c r="U46" s="27"/>
      <c r="V46" s="27"/>
      <c r="W46" s="27"/>
      <c r="X46" s="27"/>
      <c r="Y46" s="27"/>
      <c r="Z46" s="27"/>
    </row>
    <row r="47" spans="1:26" ht="13.6">
      <c r="A47" s="27"/>
      <c r="B47" s="27"/>
      <c r="C47" s="27"/>
      <c r="D47" s="73"/>
      <c r="E47" s="27"/>
      <c r="F47" s="27"/>
      <c r="G47" s="27"/>
      <c r="H47" s="27"/>
      <c r="I47" s="27"/>
      <c r="J47" s="27"/>
      <c r="K47" s="27"/>
      <c r="L47" s="27"/>
      <c r="M47" s="27"/>
      <c r="N47" s="27"/>
      <c r="O47" s="27"/>
      <c r="P47" s="27"/>
      <c r="Q47" s="27"/>
      <c r="R47" s="27"/>
      <c r="S47" s="27"/>
      <c r="T47" s="27"/>
      <c r="U47" s="27"/>
      <c r="V47" s="27"/>
      <c r="W47" s="27"/>
      <c r="X47" s="27"/>
      <c r="Y47" s="27"/>
      <c r="Z47" s="27"/>
    </row>
    <row r="48" spans="1:26" ht="13.6">
      <c r="A48" s="27"/>
      <c r="B48" s="27"/>
      <c r="C48" s="27"/>
      <c r="D48" s="73"/>
      <c r="E48" s="27"/>
      <c r="F48" s="27"/>
      <c r="G48" s="27"/>
      <c r="H48" s="27"/>
      <c r="I48" s="27"/>
      <c r="J48" s="27"/>
      <c r="K48" s="27"/>
      <c r="L48" s="27"/>
      <c r="M48" s="27"/>
      <c r="N48" s="27"/>
      <c r="O48" s="27"/>
      <c r="P48" s="27"/>
      <c r="Q48" s="27"/>
      <c r="R48" s="27"/>
      <c r="S48" s="27"/>
      <c r="T48" s="27"/>
      <c r="U48" s="27"/>
      <c r="V48" s="27"/>
      <c r="W48" s="27"/>
      <c r="X48" s="27"/>
      <c r="Y48" s="27"/>
      <c r="Z48" s="27"/>
    </row>
    <row r="49" spans="1:26" ht="13.6">
      <c r="A49" s="27"/>
      <c r="B49" s="27"/>
      <c r="C49" s="27"/>
      <c r="D49" s="73"/>
      <c r="E49" s="27"/>
      <c r="F49" s="27"/>
      <c r="G49" s="27"/>
      <c r="H49" s="27"/>
      <c r="I49" s="27"/>
      <c r="J49" s="27"/>
      <c r="K49" s="27"/>
      <c r="L49" s="27"/>
      <c r="M49" s="27"/>
      <c r="N49" s="27"/>
      <c r="O49" s="27"/>
      <c r="P49" s="27"/>
      <c r="Q49" s="27"/>
      <c r="R49" s="27"/>
      <c r="S49" s="27"/>
      <c r="T49" s="27"/>
      <c r="U49" s="27"/>
      <c r="V49" s="27"/>
      <c r="W49" s="27"/>
      <c r="X49" s="27"/>
      <c r="Y49" s="27"/>
      <c r="Z49" s="27"/>
    </row>
    <row r="50" spans="1:26" ht="13.6">
      <c r="A50" s="27"/>
      <c r="B50" s="27"/>
      <c r="C50" s="27"/>
      <c r="D50" s="73"/>
      <c r="E50" s="27"/>
      <c r="F50" s="27"/>
      <c r="G50" s="27"/>
      <c r="H50" s="27"/>
      <c r="I50" s="27"/>
      <c r="J50" s="27"/>
      <c r="K50" s="27"/>
      <c r="L50" s="27"/>
      <c r="M50" s="27"/>
      <c r="N50" s="27"/>
      <c r="O50" s="27"/>
      <c r="P50" s="27"/>
      <c r="Q50" s="27"/>
      <c r="R50" s="27"/>
      <c r="S50" s="27"/>
      <c r="T50" s="27"/>
      <c r="U50" s="27"/>
      <c r="V50" s="27"/>
      <c r="W50" s="27"/>
      <c r="X50" s="27"/>
      <c r="Y50" s="27"/>
      <c r="Z50" s="27"/>
    </row>
    <row r="51" spans="1:26" ht="13.6">
      <c r="A51" s="27"/>
      <c r="B51" s="27"/>
      <c r="C51" s="27"/>
      <c r="D51" s="73"/>
      <c r="E51" s="27"/>
      <c r="F51" s="27"/>
      <c r="G51" s="27"/>
      <c r="H51" s="27"/>
      <c r="I51" s="27"/>
      <c r="J51" s="27"/>
      <c r="K51" s="27"/>
      <c r="L51" s="27"/>
      <c r="M51" s="27"/>
      <c r="N51" s="27"/>
      <c r="O51" s="27"/>
      <c r="P51" s="27"/>
      <c r="Q51" s="27"/>
      <c r="R51" s="27"/>
      <c r="S51" s="27"/>
      <c r="T51" s="27"/>
      <c r="U51" s="27"/>
      <c r="V51" s="27"/>
      <c r="W51" s="27"/>
      <c r="X51" s="27"/>
      <c r="Y51" s="27"/>
      <c r="Z51" s="27"/>
    </row>
    <row r="52" spans="1:26" ht="13.6">
      <c r="A52" s="27"/>
      <c r="B52" s="27"/>
      <c r="C52" s="27"/>
      <c r="D52" s="73"/>
      <c r="E52" s="27"/>
      <c r="F52" s="27"/>
      <c r="G52" s="27"/>
      <c r="H52" s="27"/>
      <c r="I52" s="27"/>
      <c r="J52" s="27"/>
      <c r="K52" s="27"/>
      <c r="L52" s="27"/>
      <c r="M52" s="27"/>
      <c r="N52" s="27"/>
      <c r="O52" s="27"/>
      <c r="P52" s="27"/>
      <c r="Q52" s="27"/>
      <c r="R52" s="27"/>
      <c r="S52" s="27"/>
      <c r="T52" s="27"/>
      <c r="U52" s="27"/>
      <c r="V52" s="27"/>
      <c r="W52" s="27"/>
      <c r="X52" s="27"/>
      <c r="Y52" s="27"/>
      <c r="Z52" s="27"/>
    </row>
    <row r="53" spans="1:26" ht="13.6">
      <c r="A53" s="27"/>
      <c r="B53" s="27"/>
      <c r="C53" s="27"/>
      <c r="D53" s="73"/>
      <c r="E53" s="27"/>
      <c r="F53" s="27"/>
      <c r="G53" s="27"/>
      <c r="H53" s="27"/>
      <c r="I53" s="27"/>
      <c r="J53" s="27"/>
      <c r="K53" s="27"/>
      <c r="L53" s="27"/>
      <c r="M53" s="27"/>
      <c r="N53" s="27"/>
      <c r="O53" s="27"/>
      <c r="P53" s="27"/>
      <c r="Q53" s="27"/>
      <c r="R53" s="27"/>
      <c r="S53" s="27"/>
      <c r="T53" s="27"/>
      <c r="U53" s="27"/>
      <c r="V53" s="27"/>
      <c r="W53" s="27"/>
      <c r="X53" s="27"/>
      <c r="Y53" s="27"/>
      <c r="Z53" s="27"/>
    </row>
    <row r="54" spans="1:26" ht="13.6">
      <c r="A54" s="27"/>
      <c r="B54" s="27"/>
      <c r="C54" s="27"/>
      <c r="D54" s="73"/>
      <c r="E54" s="27"/>
      <c r="F54" s="27"/>
      <c r="G54" s="27"/>
      <c r="H54" s="27"/>
      <c r="I54" s="27"/>
      <c r="J54" s="27"/>
      <c r="K54" s="27"/>
      <c r="L54" s="27"/>
      <c r="M54" s="27"/>
      <c r="N54" s="27"/>
      <c r="O54" s="27"/>
      <c r="P54" s="27"/>
      <c r="Q54" s="27"/>
      <c r="R54" s="27"/>
      <c r="S54" s="27"/>
      <c r="T54" s="27"/>
      <c r="U54" s="27"/>
      <c r="V54" s="27"/>
      <c r="W54" s="27"/>
      <c r="X54" s="27"/>
      <c r="Y54" s="27"/>
      <c r="Z54" s="27"/>
    </row>
    <row r="55" spans="1:26" ht="13.6">
      <c r="A55" s="27"/>
      <c r="B55" s="27"/>
      <c r="C55" s="27"/>
      <c r="D55" s="73"/>
      <c r="E55" s="27"/>
      <c r="F55" s="27"/>
      <c r="G55" s="27"/>
      <c r="H55" s="27"/>
      <c r="I55" s="27"/>
      <c r="J55" s="27"/>
      <c r="K55" s="27"/>
      <c r="L55" s="27"/>
      <c r="M55" s="27"/>
      <c r="N55" s="27"/>
      <c r="O55" s="27"/>
      <c r="P55" s="27"/>
      <c r="Q55" s="27"/>
      <c r="R55" s="27"/>
      <c r="S55" s="27"/>
      <c r="T55" s="27"/>
      <c r="U55" s="27"/>
      <c r="V55" s="27"/>
      <c r="W55" s="27"/>
      <c r="X55" s="27"/>
      <c r="Y55" s="27"/>
      <c r="Z55" s="27"/>
    </row>
    <row r="56" spans="1:26" ht="13.6">
      <c r="A56" s="27"/>
      <c r="B56" s="27"/>
      <c r="C56" s="27"/>
      <c r="D56" s="73"/>
      <c r="E56" s="27"/>
      <c r="F56" s="27"/>
      <c r="G56" s="27"/>
      <c r="H56" s="27"/>
      <c r="I56" s="27"/>
      <c r="J56" s="27"/>
      <c r="K56" s="27"/>
      <c r="L56" s="27"/>
      <c r="M56" s="27"/>
      <c r="N56" s="27"/>
      <c r="O56" s="27"/>
      <c r="P56" s="27"/>
      <c r="Q56" s="27"/>
      <c r="R56" s="27"/>
      <c r="S56" s="27"/>
      <c r="T56" s="27"/>
      <c r="U56" s="27"/>
      <c r="V56" s="27"/>
      <c r="W56" s="27"/>
      <c r="X56" s="27"/>
      <c r="Y56" s="27"/>
      <c r="Z56" s="27"/>
    </row>
    <row r="57" spans="1:26" ht="13.6">
      <c r="A57" s="27"/>
      <c r="B57" s="27"/>
      <c r="C57" s="27"/>
      <c r="D57" s="73"/>
      <c r="E57" s="27"/>
      <c r="F57" s="27"/>
      <c r="G57" s="27"/>
      <c r="H57" s="27"/>
      <c r="I57" s="27"/>
      <c r="J57" s="27"/>
      <c r="K57" s="27"/>
      <c r="L57" s="27"/>
      <c r="M57" s="27"/>
      <c r="N57" s="27"/>
      <c r="O57" s="27"/>
      <c r="P57" s="27"/>
      <c r="Q57" s="27"/>
      <c r="R57" s="27"/>
      <c r="S57" s="27"/>
      <c r="T57" s="27"/>
      <c r="U57" s="27"/>
      <c r="V57" s="27"/>
      <c r="W57" s="27"/>
      <c r="X57" s="27"/>
      <c r="Y57" s="27"/>
      <c r="Z57" s="27"/>
    </row>
    <row r="58" spans="1:26" ht="13.6">
      <c r="A58" s="27"/>
      <c r="B58" s="27"/>
      <c r="C58" s="27"/>
      <c r="D58" s="73"/>
      <c r="E58" s="27"/>
      <c r="F58" s="27"/>
      <c r="G58" s="27"/>
      <c r="H58" s="27"/>
      <c r="I58" s="27"/>
      <c r="J58" s="27"/>
      <c r="K58" s="27"/>
      <c r="L58" s="27"/>
      <c r="M58" s="27"/>
      <c r="N58" s="27"/>
      <c r="O58" s="27"/>
      <c r="P58" s="27"/>
      <c r="Q58" s="27"/>
      <c r="R58" s="27"/>
      <c r="S58" s="27"/>
      <c r="T58" s="27"/>
      <c r="U58" s="27"/>
      <c r="V58" s="27"/>
      <c r="W58" s="27"/>
      <c r="X58" s="27"/>
      <c r="Y58" s="27"/>
      <c r="Z58" s="27"/>
    </row>
    <row r="59" spans="1:26" ht="13.6">
      <c r="A59" s="27"/>
      <c r="B59" s="27"/>
      <c r="C59" s="27"/>
      <c r="D59" s="73"/>
      <c r="E59" s="27"/>
      <c r="F59" s="27"/>
      <c r="G59" s="27"/>
      <c r="H59" s="27"/>
      <c r="I59" s="27"/>
      <c r="J59" s="27"/>
      <c r="K59" s="27"/>
      <c r="L59" s="27"/>
      <c r="M59" s="27"/>
      <c r="N59" s="27"/>
      <c r="O59" s="27"/>
      <c r="P59" s="27"/>
      <c r="Q59" s="27"/>
      <c r="R59" s="27"/>
      <c r="S59" s="27"/>
      <c r="T59" s="27"/>
      <c r="U59" s="27"/>
      <c r="V59" s="27"/>
      <c r="W59" s="27"/>
      <c r="X59" s="27"/>
      <c r="Y59" s="27"/>
      <c r="Z59" s="27"/>
    </row>
    <row r="60" spans="1:26" ht="13.6">
      <c r="A60" s="27"/>
      <c r="B60" s="27"/>
      <c r="C60" s="27"/>
      <c r="D60" s="73"/>
      <c r="E60" s="27"/>
      <c r="F60" s="27"/>
      <c r="G60" s="27"/>
      <c r="H60" s="27"/>
      <c r="I60" s="27"/>
      <c r="J60" s="27"/>
      <c r="K60" s="27"/>
      <c r="L60" s="27"/>
      <c r="M60" s="27"/>
      <c r="N60" s="27"/>
      <c r="O60" s="27"/>
      <c r="P60" s="27"/>
      <c r="Q60" s="27"/>
      <c r="R60" s="27"/>
      <c r="S60" s="27"/>
      <c r="T60" s="27"/>
      <c r="U60" s="27"/>
      <c r="V60" s="27"/>
      <c r="W60" s="27"/>
      <c r="X60" s="27"/>
      <c r="Y60" s="27"/>
      <c r="Z60" s="27"/>
    </row>
    <row r="61" spans="1:26" ht="13.6">
      <c r="A61" s="27"/>
      <c r="B61" s="27"/>
      <c r="C61" s="27"/>
      <c r="D61" s="73"/>
      <c r="E61" s="27"/>
      <c r="F61" s="27"/>
      <c r="G61" s="27"/>
      <c r="H61" s="27"/>
      <c r="I61" s="27"/>
      <c r="J61" s="27"/>
      <c r="K61" s="27"/>
      <c r="L61" s="27"/>
      <c r="M61" s="27"/>
      <c r="N61" s="27"/>
      <c r="O61" s="27"/>
      <c r="P61" s="27"/>
      <c r="Q61" s="27"/>
      <c r="R61" s="27"/>
      <c r="S61" s="27"/>
      <c r="T61" s="27"/>
      <c r="U61" s="27"/>
      <c r="V61" s="27"/>
      <c r="W61" s="27"/>
      <c r="X61" s="27"/>
      <c r="Y61" s="27"/>
      <c r="Z61" s="27"/>
    </row>
    <row r="62" spans="1:26" ht="13.6">
      <c r="A62" s="27"/>
      <c r="B62" s="27"/>
      <c r="C62" s="27"/>
      <c r="D62" s="73"/>
      <c r="E62" s="27"/>
      <c r="F62" s="27"/>
      <c r="G62" s="27"/>
      <c r="H62" s="27"/>
      <c r="I62" s="27"/>
      <c r="J62" s="27"/>
      <c r="K62" s="27"/>
      <c r="L62" s="27"/>
      <c r="M62" s="27"/>
      <c r="N62" s="27"/>
      <c r="O62" s="27"/>
      <c r="P62" s="27"/>
      <c r="Q62" s="27"/>
      <c r="R62" s="27"/>
      <c r="S62" s="27"/>
      <c r="T62" s="27"/>
      <c r="U62" s="27"/>
      <c r="V62" s="27"/>
      <c r="W62" s="27"/>
      <c r="X62" s="27"/>
      <c r="Y62" s="27"/>
      <c r="Z62" s="27"/>
    </row>
    <row r="63" spans="1:26" ht="13.6">
      <c r="A63" s="27"/>
      <c r="B63" s="27"/>
      <c r="C63" s="27"/>
      <c r="D63" s="73"/>
      <c r="E63" s="27"/>
      <c r="F63" s="27"/>
      <c r="G63" s="27"/>
      <c r="H63" s="27"/>
      <c r="I63" s="27"/>
      <c r="J63" s="27"/>
      <c r="K63" s="27"/>
      <c r="L63" s="27"/>
      <c r="M63" s="27"/>
      <c r="N63" s="27"/>
      <c r="O63" s="27"/>
      <c r="P63" s="27"/>
      <c r="Q63" s="27"/>
      <c r="R63" s="27"/>
      <c r="S63" s="27"/>
      <c r="T63" s="27"/>
      <c r="U63" s="27"/>
      <c r="V63" s="27"/>
      <c r="W63" s="27"/>
      <c r="X63" s="27"/>
      <c r="Y63" s="27"/>
      <c r="Z63" s="27"/>
    </row>
    <row r="64" spans="1:26" ht="13.6">
      <c r="A64" s="27"/>
      <c r="B64" s="27"/>
      <c r="C64" s="27"/>
      <c r="D64" s="73"/>
      <c r="E64" s="27"/>
      <c r="F64" s="27"/>
      <c r="G64" s="27"/>
      <c r="H64" s="27"/>
      <c r="I64" s="27"/>
      <c r="J64" s="27"/>
      <c r="K64" s="27"/>
      <c r="L64" s="27"/>
      <c r="M64" s="27"/>
      <c r="N64" s="27"/>
      <c r="O64" s="27"/>
      <c r="P64" s="27"/>
      <c r="Q64" s="27"/>
      <c r="R64" s="27"/>
      <c r="S64" s="27"/>
      <c r="T64" s="27"/>
      <c r="U64" s="27"/>
      <c r="V64" s="27"/>
      <c r="W64" s="27"/>
      <c r="X64" s="27"/>
      <c r="Y64" s="27"/>
      <c r="Z64" s="27"/>
    </row>
    <row r="65" spans="1:26" ht="13.6">
      <c r="A65" s="27"/>
      <c r="B65" s="27"/>
      <c r="C65" s="27"/>
      <c r="D65" s="73"/>
      <c r="E65" s="27"/>
      <c r="F65" s="27"/>
      <c r="G65" s="27"/>
      <c r="H65" s="27"/>
      <c r="I65" s="27"/>
      <c r="J65" s="27"/>
      <c r="K65" s="27"/>
      <c r="L65" s="27"/>
      <c r="M65" s="27"/>
      <c r="N65" s="27"/>
      <c r="O65" s="27"/>
      <c r="P65" s="27"/>
      <c r="Q65" s="27"/>
      <c r="R65" s="27"/>
      <c r="S65" s="27"/>
      <c r="T65" s="27"/>
      <c r="U65" s="27"/>
      <c r="V65" s="27"/>
      <c r="W65" s="27"/>
      <c r="X65" s="27"/>
      <c r="Y65" s="27"/>
      <c r="Z65" s="27"/>
    </row>
    <row r="66" spans="1:26" ht="13.6">
      <c r="A66" s="27"/>
      <c r="B66" s="27"/>
      <c r="C66" s="27"/>
      <c r="D66" s="73"/>
      <c r="E66" s="27"/>
      <c r="F66" s="27"/>
      <c r="G66" s="27"/>
      <c r="H66" s="27"/>
      <c r="I66" s="27"/>
      <c r="J66" s="27"/>
      <c r="K66" s="27"/>
      <c r="L66" s="27"/>
      <c r="M66" s="27"/>
      <c r="N66" s="27"/>
      <c r="O66" s="27"/>
      <c r="P66" s="27"/>
      <c r="Q66" s="27"/>
      <c r="R66" s="27"/>
      <c r="S66" s="27"/>
      <c r="T66" s="27"/>
      <c r="U66" s="27"/>
      <c r="V66" s="27"/>
      <c r="W66" s="27"/>
      <c r="X66" s="27"/>
      <c r="Y66" s="27"/>
      <c r="Z66" s="27"/>
    </row>
    <row r="67" spans="1:26" ht="13.6">
      <c r="A67" s="27"/>
      <c r="B67" s="27"/>
      <c r="C67" s="27"/>
      <c r="D67" s="73"/>
      <c r="E67" s="27"/>
      <c r="F67" s="27"/>
      <c r="G67" s="27"/>
      <c r="H67" s="27"/>
      <c r="I67" s="27"/>
      <c r="J67" s="27"/>
      <c r="K67" s="27"/>
      <c r="L67" s="27"/>
      <c r="M67" s="27"/>
      <c r="N67" s="27"/>
      <c r="O67" s="27"/>
      <c r="P67" s="27"/>
      <c r="Q67" s="27"/>
      <c r="R67" s="27"/>
      <c r="S67" s="27"/>
      <c r="T67" s="27"/>
      <c r="U67" s="27"/>
      <c r="V67" s="27"/>
      <c r="W67" s="27"/>
      <c r="X67" s="27"/>
      <c r="Y67" s="27"/>
      <c r="Z67" s="27"/>
    </row>
    <row r="68" spans="1:26" ht="13.6">
      <c r="A68" s="27"/>
      <c r="B68" s="27"/>
      <c r="C68" s="27"/>
      <c r="D68" s="73"/>
      <c r="E68" s="27"/>
      <c r="F68" s="27"/>
      <c r="G68" s="27"/>
      <c r="H68" s="27"/>
      <c r="I68" s="27"/>
      <c r="J68" s="27"/>
      <c r="K68" s="27"/>
      <c r="L68" s="27"/>
      <c r="M68" s="27"/>
      <c r="N68" s="27"/>
      <c r="O68" s="27"/>
      <c r="P68" s="27"/>
      <c r="Q68" s="27"/>
      <c r="R68" s="27"/>
      <c r="S68" s="27"/>
      <c r="T68" s="27"/>
      <c r="U68" s="27"/>
      <c r="V68" s="27"/>
      <c r="W68" s="27"/>
      <c r="X68" s="27"/>
      <c r="Y68" s="27"/>
      <c r="Z68" s="27"/>
    </row>
    <row r="69" spans="1:26" ht="13.6">
      <c r="A69" s="27"/>
      <c r="B69" s="27"/>
      <c r="C69" s="27"/>
      <c r="D69" s="73"/>
      <c r="E69" s="27"/>
      <c r="F69" s="27"/>
      <c r="G69" s="27"/>
      <c r="H69" s="27"/>
      <c r="I69" s="27"/>
      <c r="J69" s="27"/>
      <c r="K69" s="27"/>
      <c r="L69" s="27"/>
      <c r="M69" s="27"/>
      <c r="N69" s="27"/>
      <c r="O69" s="27"/>
      <c r="P69" s="27"/>
      <c r="Q69" s="27"/>
      <c r="R69" s="27"/>
      <c r="S69" s="27"/>
      <c r="T69" s="27"/>
      <c r="U69" s="27"/>
      <c r="V69" s="27"/>
      <c r="W69" s="27"/>
      <c r="X69" s="27"/>
      <c r="Y69" s="27"/>
      <c r="Z69" s="27"/>
    </row>
    <row r="70" spans="1:26" ht="13.6">
      <c r="A70" s="27"/>
      <c r="B70" s="27"/>
      <c r="C70" s="27"/>
      <c r="D70" s="73"/>
      <c r="E70" s="27"/>
      <c r="F70" s="27"/>
      <c r="G70" s="27"/>
      <c r="H70" s="27"/>
      <c r="I70" s="27"/>
      <c r="J70" s="27"/>
      <c r="K70" s="27"/>
      <c r="L70" s="27"/>
      <c r="M70" s="27"/>
      <c r="N70" s="27"/>
      <c r="O70" s="27"/>
      <c r="P70" s="27"/>
      <c r="Q70" s="27"/>
      <c r="R70" s="27"/>
      <c r="S70" s="27"/>
      <c r="T70" s="27"/>
      <c r="U70" s="27"/>
      <c r="V70" s="27"/>
      <c r="W70" s="27"/>
      <c r="X70" s="27"/>
      <c r="Y70" s="27"/>
      <c r="Z70" s="27"/>
    </row>
    <row r="71" spans="1:26" ht="13.6">
      <c r="A71" s="27"/>
      <c r="B71" s="27"/>
      <c r="C71" s="27"/>
      <c r="D71" s="73"/>
      <c r="E71" s="27"/>
      <c r="F71" s="27"/>
      <c r="G71" s="27"/>
      <c r="H71" s="27"/>
      <c r="I71" s="27"/>
      <c r="J71" s="27"/>
      <c r="K71" s="27"/>
      <c r="L71" s="27"/>
      <c r="M71" s="27"/>
      <c r="N71" s="27"/>
      <c r="O71" s="27"/>
      <c r="P71" s="27"/>
      <c r="Q71" s="27"/>
      <c r="R71" s="27"/>
      <c r="S71" s="27"/>
      <c r="T71" s="27"/>
      <c r="U71" s="27"/>
      <c r="V71" s="27"/>
      <c r="W71" s="27"/>
      <c r="X71" s="27"/>
      <c r="Y71" s="27"/>
      <c r="Z71" s="27"/>
    </row>
    <row r="72" spans="1:26" ht="13.6">
      <c r="A72" s="27"/>
      <c r="B72" s="27"/>
      <c r="C72" s="27"/>
      <c r="D72" s="73"/>
      <c r="E72" s="27"/>
      <c r="F72" s="27"/>
      <c r="G72" s="27"/>
      <c r="H72" s="27"/>
      <c r="I72" s="27"/>
      <c r="J72" s="27"/>
      <c r="K72" s="27"/>
      <c r="L72" s="27"/>
      <c r="M72" s="27"/>
      <c r="N72" s="27"/>
      <c r="O72" s="27"/>
      <c r="P72" s="27"/>
      <c r="Q72" s="27"/>
      <c r="R72" s="27"/>
      <c r="S72" s="27"/>
      <c r="T72" s="27"/>
      <c r="U72" s="27"/>
      <c r="V72" s="27"/>
      <c r="W72" s="27"/>
      <c r="X72" s="27"/>
      <c r="Y72" s="27"/>
      <c r="Z72" s="27"/>
    </row>
    <row r="73" spans="1:26" ht="13.6">
      <c r="A73" s="27"/>
      <c r="B73" s="27"/>
      <c r="C73" s="27"/>
      <c r="D73" s="73"/>
      <c r="E73" s="27"/>
      <c r="F73" s="27"/>
      <c r="G73" s="27"/>
      <c r="H73" s="27"/>
      <c r="I73" s="27"/>
      <c r="J73" s="27"/>
      <c r="K73" s="27"/>
      <c r="L73" s="27"/>
      <c r="M73" s="27"/>
      <c r="N73" s="27"/>
      <c r="O73" s="27"/>
      <c r="P73" s="27"/>
      <c r="Q73" s="27"/>
      <c r="R73" s="27"/>
      <c r="S73" s="27"/>
      <c r="T73" s="27"/>
      <c r="U73" s="27"/>
      <c r="V73" s="27"/>
      <c r="W73" s="27"/>
      <c r="X73" s="27"/>
      <c r="Y73" s="27"/>
      <c r="Z73" s="27"/>
    </row>
    <row r="74" spans="1:26" ht="13.6">
      <c r="A74" s="27"/>
      <c r="B74" s="27"/>
      <c r="C74" s="27"/>
      <c r="D74" s="73"/>
      <c r="E74" s="27"/>
      <c r="F74" s="27"/>
      <c r="G74" s="27"/>
      <c r="H74" s="27"/>
      <c r="I74" s="27"/>
      <c r="J74" s="27"/>
      <c r="K74" s="27"/>
      <c r="L74" s="27"/>
      <c r="M74" s="27"/>
      <c r="N74" s="27"/>
      <c r="O74" s="27"/>
      <c r="P74" s="27"/>
      <c r="Q74" s="27"/>
      <c r="R74" s="27"/>
      <c r="S74" s="27"/>
      <c r="T74" s="27"/>
      <c r="U74" s="27"/>
      <c r="V74" s="27"/>
      <c r="W74" s="27"/>
      <c r="X74" s="27"/>
      <c r="Y74" s="27"/>
      <c r="Z74" s="27"/>
    </row>
    <row r="75" spans="1:26" ht="13.6">
      <c r="A75" s="27"/>
      <c r="B75" s="27"/>
      <c r="C75" s="27"/>
      <c r="D75" s="73"/>
      <c r="E75" s="27"/>
      <c r="F75" s="27"/>
      <c r="G75" s="27"/>
      <c r="H75" s="27"/>
      <c r="I75" s="27"/>
      <c r="J75" s="27"/>
      <c r="K75" s="27"/>
      <c r="L75" s="27"/>
      <c r="M75" s="27"/>
      <c r="N75" s="27"/>
      <c r="O75" s="27"/>
      <c r="P75" s="27"/>
      <c r="Q75" s="27"/>
      <c r="R75" s="27"/>
      <c r="S75" s="27"/>
      <c r="T75" s="27"/>
      <c r="U75" s="27"/>
      <c r="V75" s="27"/>
      <c r="W75" s="27"/>
      <c r="X75" s="27"/>
      <c r="Y75" s="27"/>
      <c r="Z75" s="27"/>
    </row>
    <row r="76" spans="1:26" ht="13.6">
      <c r="A76" s="27"/>
      <c r="B76" s="27"/>
      <c r="C76" s="27"/>
      <c r="D76" s="73"/>
      <c r="E76" s="27"/>
      <c r="F76" s="27"/>
      <c r="G76" s="27"/>
      <c r="H76" s="27"/>
      <c r="I76" s="27"/>
      <c r="J76" s="27"/>
      <c r="K76" s="27"/>
      <c r="L76" s="27"/>
      <c r="M76" s="27"/>
      <c r="N76" s="27"/>
      <c r="O76" s="27"/>
      <c r="P76" s="27"/>
      <c r="Q76" s="27"/>
      <c r="R76" s="27"/>
      <c r="S76" s="27"/>
      <c r="T76" s="27"/>
      <c r="U76" s="27"/>
      <c r="V76" s="27"/>
      <c r="W76" s="27"/>
      <c r="X76" s="27"/>
      <c r="Y76" s="27"/>
      <c r="Z76" s="27"/>
    </row>
    <row r="77" spans="1:26" ht="13.6">
      <c r="A77" s="27"/>
      <c r="B77" s="27"/>
      <c r="C77" s="27"/>
      <c r="D77" s="73"/>
      <c r="E77" s="27"/>
      <c r="F77" s="27"/>
      <c r="G77" s="27"/>
      <c r="H77" s="27"/>
      <c r="I77" s="27"/>
      <c r="J77" s="27"/>
      <c r="K77" s="27"/>
      <c r="L77" s="27"/>
      <c r="M77" s="27"/>
      <c r="N77" s="27"/>
      <c r="O77" s="27"/>
      <c r="P77" s="27"/>
      <c r="Q77" s="27"/>
      <c r="R77" s="27"/>
      <c r="S77" s="27"/>
      <c r="T77" s="27"/>
      <c r="U77" s="27"/>
      <c r="V77" s="27"/>
      <c r="W77" s="27"/>
      <c r="X77" s="27"/>
      <c r="Y77" s="27"/>
      <c r="Z77" s="27"/>
    </row>
    <row r="78" spans="1:26" ht="13.6">
      <c r="A78" s="27"/>
      <c r="B78" s="27"/>
      <c r="C78" s="27"/>
      <c r="D78" s="73"/>
      <c r="E78" s="27"/>
      <c r="F78" s="27"/>
      <c r="G78" s="27"/>
      <c r="H78" s="27"/>
      <c r="I78" s="27"/>
      <c r="J78" s="27"/>
      <c r="K78" s="27"/>
      <c r="L78" s="27"/>
      <c r="M78" s="27"/>
      <c r="N78" s="27"/>
      <c r="O78" s="27"/>
      <c r="P78" s="27"/>
      <c r="Q78" s="27"/>
      <c r="R78" s="27"/>
      <c r="S78" s="27"/>
      <c r="T78" s="27"/>
      <c r="U78" s="27"/>
      <c r="V78" s="27"/>
      <c r="W78" s="27"/>
      <c r="X78" s="27"/>
      <c r="Y78" s="27"/>
      <c r="Z78" s="27"/>
    </row>
    <row r="79" spans="1:26" ht="13.6">
      <c r="A79" s="27"/>
      <c r="B79" s="27"/>
      <c r="C79" s="27"/>
      <c r="D79" s="73"/>
      <c r="E79" s="27"/>
      <c r="F79" s="27"/>
      <c r="G79" s="27"/>
      <c r="H79" s="27"/>
      <c r="I79" s="27"/>
      <c r="J79" s="27"/>
      <c r="K79" s="27"/>
      <c r="L79" s="27"/>
      <c r="M79" s="27"/>
      <c r="N79" s="27"/>
      <c r="O79" s="27"/>
      <c r="P79" s="27"/>
      <c r="Q79" s="27"/>
      <c r="R79" s="27"/>
      <c r="S79" s="27"/>
      <c r="T79" s="27"/>
      <c r="U79" s="27"/>
      <c r="V79" s="27"/>
      <c r="W79" s="27"/>
      <c r="X79" s="27"/>
      <c r="Y79" s="27"/>
      <c r="Z79" s="27"/>
    </row>
    <row r="80" spans="1:26" ht="13.6">
      <c r="A80" s="27"/>
      <c r="B80" s="27"/>
      <c r="C80" s="27"/>
      <c r="D80" s="73"/>
      <c r="E80" s="27"/>
      <c r="F80" s="27"/>
      <c r="G80" s="27"/>
      <c r="H80" s="27"/>
      <c r="I80" s="27"/>
      <c r="J80" s="27"/>
      <c r="K80" s="27"/>
      <c r="L80" s="27"/>
      <c r="M80" s="27"/>
      <c r="N80" s="27"/>
      <c r="O80" s="27"/>
      <c r="P80" s="27"/>
      <c r="Q80" s="27"/>
      <c r="R80" s="27"/>
      <c r="S80" s="27"/>
      <c r="T80" s="27"/>
      <c r="U80" s="27"/>
      <c r="V80" s="27"/>
      <c r="W80" s="27"/>
      <c r="X80" s="27"/>
      <c r="Y80" s="27"/>
      <c r="Z80" s="27"/>
    </row>
    <row r="81" spans="1:26" ht="13.6">
      <c r="A81" s="27"/>
      <c r="B81" s="27"/>
      <c r="C81" s="27"/>
      <c r="D81" s="73"/>
      <c r="E81" s="27"/>
      <c r="F81" s="27"/>
      <c r="G81" s="27"/>
      <c r="H81" s="27"/>
      <c r="I81" s="27"/>
      <c r="J81" s="27"/>
      <c r="K81" s="27"/>
      <c r="L81" s="27"/>
      <c r="M81" s="27"/>
      <c r="N81" s="27"/>
      <c r="O81" s="27"/>
      <c r="P81" s="27"/>
      <c r="Q81" s="27"/>
      <c r="R81" s="27"/>
      <c r="S81" s="27"/>
      <c r="T81" s="27"/>
      <c r="U81" s="27"/>
      <c r="V81" s="27"/>
      <c r="W81" s="27"/>
      <c r="X81" s="27"/>
      <c r="Y81" s="27"/>
      <c r="Z81" s="27"/>
    </row>
    <row r="82" spans="1:26" ht="13.6">
      <c r="A82" s="27"/>
      <c r="B82" s="27"/>
      <c r="C82" s="27"/>
      <c r="D82" s="73"/>
      <c r="E82" s="27"/>
      <c r="F82" s="27"/>
      <c r="G82" s="27"/>
      <c r="H82" s="27"/>
      <c r="I82" s="27"/>
      <c r="J82" s="27"/>
      <c r="K82" s="27"/>
      <c r="L82" s="27"/>
      <c r="M82" s="27"/>
      <c r="N82" s="27"/>
      <c r="O82" s="27"/>
      <c r="P82" s="27"/>
      <c r="Q82" s="27"/>
      <c r="R82" s="27"/>
      <c r="S82" s="27"/>
      <c r="T82" s="27"/>
      <c r="U82" s="27"/>
      <c r="V82" s="27"/>
      <c r="W82" s="27"/>
      <c r="X82" s="27"/>
      <c r="Y82" s="27"/>
      <c r="Z82" s="27"/>
    </row>
    <row r="83" spans="1:26" ht="13.6">
      <c r="A83" s="27"/>
      <c r="B83" s="27"/>
      <c r="C83" s="27"/>
      <c r="D83" s="73"/>
      <c r="E83" s="27"/>
      <c r="F83" s="27"/>
      <c r="G83" s="27"/>
      <c r="H83" s="27"/>
      <c r="I83" s="27"/>
      <c r="J83" s="27"/>
      <c r="K83" s="27"/>
      <c r="L83" s="27"/>
      <c r="M83" s="27"/>
      <c r="N83" s="27"/>
      <c r="O83" s="27"/>
      <c r="P83" s="27"/>
      <c r="Q83" s="27"/>
      <c r="R83" s="27"/>
      <c r="S83" s="27"/>
      <c r="T83" s="27"/>
      <c r="U83" s="27"/>
      <c r="V83" s="27"/>
      <c r="W83" s="27"/>
      <c r="X83" s="27"/>
      <c r="Y83" s="27"/>
      <c r="Z83" s="27"/>
    </row>
    <row r="84" spans="1:26" ht="13.6">
      <c r="A84" s="27"/>
      <c r="B84" s="27"/>
      <c r="C84" s="27"/>
      <c r="D84" s="73"/>
      <c r="E84" s="27"/>
      <c r="F84" s="27"/>
      <c r="G84" s="27"/>
      <c r="H84" s="27"/>
      <c r="I84" s="27"/>
      <c r="J84" s="27"/>
      <c r="K84" s="27"/>
      <c r="L84" s="27"/>
      <c r="M84" s="27"/>
      <c r="N84" s="27"/>
      <c r="O84" s="27"/>
      <c r="P84" s="27"/>
      <c r="Q84" s="27"/>
      <c r="R84" s="27"/>
      <c r="S84" s="27"/>
      <c r="T84" s="27"/>
      <c r="U84" s="27"/>
      <c r="V84" s="27"/>
      <c r="W84" s="27"/>
      <c r="X84" s="27"/>
      <c r="Y84" s="27"/>
      <c r="Z84" s="27"/>
    </row>
    <row r="85" spans="1:26" ht="13.6">
      <c r="A85" s="27"/>
      <c r="B85" s="27"/>
      <c r="C85" s="27"/>
      <c r="D85" s="73"/>
      <c r="E85" s="27"/>
      <c r="F85" s="27"/>
      <c r="G85" s="27"/>
      <c r="H85" s="27"/>
      <c r="I85" s="27"/>
      <c r="J85" s="27"/>
      <c r="K85" s="27"/>
      <c r="L85" s="27"/>
      <c r="M85" s="27"/>
      <c r="N85" s="27"/>
      <c r="O85" s="27"/>
      <c r="P85" s="27"/>
      <c r="Q85" s="27"/>
      <c r="R85" s="27"/>
      <c r="S85" s="27"/>
      <c r="T85" s="27"/>
      <c r="U85" s="27"/>
      <c r="V85" s="27"/>
      <c r="W85" s="27"/>
      <c r="X85" s="27"/>
      <c r="Y85" s="27"/>
      <c r="Z85" s="27"/>
    </row>
    <row r="86" spans="1:26" ht="13.6">
      <c r="A86" s="27"/>
      <c r="B86" s="27"/>
      <c r="C86" s="27"/>
      <c r="D86" s="73"/>
      <c r="E86" s="27"/>
      <c r="F86" s="27"/>
      <c r="G86" s="27"/>
      <c r="H86" s="27"/>
      <c r="I86" s="27"/>
      <c r="J86" s="27"/>
      <c r="K86" s="27"/>
      <c r="L86" s="27"/>
      <c r="M86" s="27"/>
      <c r="N86" s="27"/>
      <c r="O86" s="27"/>
      <c r="P86" s="27"/>
      <c r="Q86" s="27"/>
      <c r="R86" s="27"/>
      <c r="S86" s="27"/>
      <c r="T86" s="27"/>
      <c r="U86" s="27"/>
      <c r="V86" s="27"/>
      <c r="W86" s="27"/>
      <c r="X86" s="27"/>
      <c r="Y86" s="27"/>
      <c r="Z86" s="27"/>
    </row>
    <row r="87" spans="1:26" ht="13.6">
      <c r="A87" s="27"/>
      <c r="B87" s="27"/>
      <c r="C87" s="27"/>
      <c r="D87" s="73"/>
      <c r="E87" s="27"/>
      <c r="F87" s="27"/>
      <c r="G87" s="27"/>
      <c r="H87" s="27"/>
      <c r="I87" s="27"/>
      <c r="J87" s="27"/>
      <c r="K87" s="27"/>
      <c r="L87" s="27"/>
      <c r="M87" s="27"/>
      <c r="N87" s="27"/>
      <c r="O87" s="27"/>
      <c r="P87" s="27"/>
      <c r="Q87" s="27"/>
      <c r="R87" s="27"/>
      <c r="S87" s="27"/>
      <c r="T87" s="27"/>
      <c r="U87" s="27"/>
      <c r="V87" s="27"/>
      <c r="W87" s="27"/>
      <c r="X87" s="27"/>
      <c r="Y87" s="27"/>
      <c r="Z87" s="27"/>
    </row>
    <row r="88" spans="1:26" ht="13.6">
      <c r="A88" s="27"/>
      <c r="B88" s="27"/>
      <c r="C88" s="27"/>
      <c r="D88" s="73"/>
      <c r="E88" s="27"/>
      <c r="F88" s="27"/>
      <c r="G88" s="27"/>
      <c r="H88" s="27"/>
      <c r="I88" s="27"/>
      <c r="J88" s="27"/>
      <c r="K88" s="27"/>
      <c r="L88" s="27"/>
      <c r="M88" s="27"/>
      <c r="N88" s="27"/>
      <c r="O88" s="27"/>
      <c r="P88" s="27"/>
      <c r="Q88" s="27"/>
      <c r="R88" s="27"/>
      <c r="S88" s="27"/>
      <c r="T88" s="27"/>
      <c r="U88" s="27"/>
      <c r="V88" s="27"/>
      <c r="W88" s="27"/>
      <c r="X88" s="27"/>
      <c r="Y88" s="27"/>
      <c r="Z88" s="27"/>
    </row>
    <row r="89" spans="1:26" ht="13.6">
      <c r="A89" s="27"/>
      <c r="B89" s="27"/>
      <c r="C89" s="27"/>
      <c r="D89" s="73"/>
      <c r="E89" s="27"/>
      <c r="F89" s="27"/>
      <c r="G89" s="27"/>
      <c r="H89" s="27"/>
      <c r="I89" s="27"/>
      <c r="J89" s="27"/>
      <c r="K89" s="27"/>
      <c r="L89" s="27"/>
      <c r="M89" s="27"/>
      <c r="N89" s="27"/>
      <c r="O89" s="27"/>
      <c r="P89" s="27"/>
      <c r="Q89" s="27"/>
      <c r="R89" s="27"/>
      <c r="S89" s="27"/>
      <c r="T89" s="27"/>
      <c r="U89" s="27"/>
      <c r="V89" s="27"/>
      <c r="W89" s="27"/>
      <c r="X89" s="27"/>
      <c r="Y89" s="27"/>
      <c r="Z89" s="27"/>
    </row>
    <row r="90" spans="1:26" ht="13.6">
      <c r="A90" s="27"/>
      <c r="B90" s="27"/>
      <c r="C90" s="27"/>
      <c r="D90" s="73"/>
      <c r="E90" s="27"/>
      <c r="F90" s="27"/>
      <c r="G90" s="27"/>
      <c r="H90" s="27"/>
      <c r="I90" s="27"/>
      <c r="J90" s="27"/>
      <c r="K90" s="27"/>
      <c r="L90" s="27"/>
      <c r="M90" s="27"/>
      <c r="N90" s="27"/>
      <c r="O90" s="27"/>
      <c r="P90" s="27"/>
      <c r="Q90" s="27"/>
      <c r="R90" s="27"/>
      <c r="S90" s="27"/>
      <c r="T90" s="27"/>
      <c r="U90" s="27"/>
      <c r="V90" s="27"/>
      <c r="W90" s="27"/>
      <c r="X90" s="27"/>
      <c r="Y90" s="27"/>
      <c r="Z90" s="27"/>
    </row>
    <row r="91" spans="1:26" ht="13.6">
      <c r="A91" s="27"/>
      <c r="B91" s="27"/>
      <c r="C91" s="27"/>
      <c r="D91" s="73"/>
      <c r="E91" s="27"/>
      <c r="F91" s="27"/>
      <c r="G91" s="27"/>
      <c r="H91" s="27"/>
      <c r="I91" s="27"/>
      <c r="J91" s="27"/>
      <c r="K91" s="27"/>
      <c r="L91" s="27"/>
      <c r="M91" s="27"/>
      <c r="N91" s="27"/>
      <c r="O91" s="27"/>
      <c r="P91" s="27"/>
      <c r="Q91" s="27"/>
      <c r="R91" s="27"/>
      <c r="S91" s="27"/>
      <c r="T91" s="27"/>
      <c r="U91" s="27"/>
      <c r="V91" s="27"/>
      <c r="W91" s="27"/>
      <c r="X91" s="27"/>
      <c r="Y91" s="27"/>
      <c r="Z91" s="27"/>
    </row>
    <row r="92" spans="1:26" ht="13.6">
      <c r="A92" s="27"/>
      <c r="B92" s="27"/>
      <c r="C92" s="27"/>
      <c r="D92" s="73"/>
      <c r="E92" s="27"/>
      <c r="F92" s="27"/>
      <c r="G92" s="27"/>
      <c r="H92" s="27"/>
      <c r="I92" s="27"/>
      <c r="J92" s="27"/>
      <c r="K92" s="27"/>
      <c r="L92" s="27"/>
      <c r="M92" s="27"/>
      <c r="N92" s="27"/>
      <c r="O92" s="27"/>
      <c r="P92" s="27"/>
      <c r="Q92" s="27"/>
      <c r="R92" s="27"/>
      <c r="S92" s="27"/>
      <c r="T92" s="27"/>
      <c r="U92" s="27"/>
      <c r="V92" s="27"/>
      <c r="W92" s="27"/>
      <c r="X92" s="27"/>
      <c r="Y92" s="27"/>
      <c r="Z92" s="27"/>
    </row>
    <row r="93" spans="1:26" ht="13.6">
      <c r="A93" s="27"/>
      <c r="B93" s="27"/>
      <c r="C93" s="27"/>
      <c r="D93" s="73"/>
      <c r="E93" s="27"/>
      <c r="F93" s="27"/>
      <c r="G93" s="27"/>
      <c r="H93" s="27"/>
      <c r="I93" s="27"/>
      <c r="J93" s="27"/>
      <c r="K93" s="27"/>
      <c r="L93" s="27"/>
      <c r="M93" s="27"/>
      <c r="N93" s="27"/>
      <c r="O93" s="27"/>
      <c r="P93" s="27"/>
      <c r="Q93" s="27"/>
      <c r="R93" s="27"/>
      <c r="S93" s="27"/>
      <c r="T93" s="27"/>
      <c r="U93" s="27"/>
      <c r="V93" s="27"/>
      <c r="W93" s="27"/>
      <c r="X93" s="27"/>
      <c r="Y93" s="27"/>
      <c r="Z93" s="27"/>
    </row>
    <row r="94" spans="1:26" ht="13.6">
      <c r="A94" s="27"/>
      <c r="B94" s="27"/>
      <c r="C94" s="27"/>
      <c r="D94" s="73"/>
      <c r="E94" s="27"/>
      <c r="F94" s="27"/>
      <c r="G94" s="27"/>
      <c r="H94" s="27"/>
      <c r="I94" s="27"/>
      <c r="J94" s="27"/>
      <c r="K94" s="27"/>
      <c r="L94" s="27"/>
      <c r="M94" s="27"/>
      <c r="N94" s="27"/>
      <c r="O94" s="27"/>
      <c r="P94" s="27"/>
      <c r="Q94" s="27"/>
      <c r="R94" s="27"/>
      <c r="S94" s="27"/>
      <c r="T94" s="27"/>
      <c r="U94" s="27"/>
      <c r="V94" s="27"/>
      <c r="W94" s="27"/>
      <c r="X94" s="27"/>
      <c r="Y94" s="27"/>
      <c r="Z94" s="27"/>
    </row>
    <row r="95" spans="1:26" ht="13.6">
      <c r="A95" s="27"/>
      <c r="B95" s="27"/>
      <c r="C95" s="27"/>
      <c r="D95" s="73"/>
      <c r="E95" s="27"/>
      <c r="F95" s="27"/>
      <c r="G95" s="27"/>
      <c r="H95" s="27"/>
      <c r="I95" s="27"/>
      <c r="J95" s="27"/>
      <c r="K95" s="27"/>
      <c r="L95" s="27"/>
      <c r="M95" s="27"/>
      <c r="N95" s="27"/>
      <c r="O95" s="27"/>
      <c r="P95" s="27"/>
      <c r="Q95" s="27"/>
      <c r="R95" s="27"/>
      <c r="S95" s="27"/>
      <c r="T95" s="27"/>
      <c r="U95" s="27"/>
      <c r="V95" s="27"/>
      <c r="W95" s="27"/>
      <c r="X95" s="27"/>
      <c r="Y95" s="27"/>
      <c r="Z95" s="27"/>
    </row>
    <row r="96" spans="1:26" ht="13.6">
      <c r="A96" s="27"/>
      <c r="B96" s="27"/>
      <c r="C96" s="27"/>
      <c r="D96" s="73"/>
      <c r="E96" s="27"/>
      <c r="F96" s="27"/>
      <c r="G96" s="27"/>
      <c r="H96" s="27"/>
      <c r="I96" s="27"/>
      <c r="J96" s="27"/>
      <c r="K96" s="27"/>
      <c r="L96" s="27"/>
      <c r="M96" s="27"/>
      <c r="N96" s="27"/>
      <c r="O96" s="27"/>
      <c r="P96" s="27"/>
      <c r="Q96" s="27"/>
      <c r="R96" s="27"/>
      <c r="S96" s="27"/>
      <c r="T96" s="27"/>
      <c r="U96" s="27"/>
      <c r="V96" s="27"/>
      <c r="W96" s="27"/>
      <c r="X96" s="27"/>
      <c r="Y96" s="27"/>
      <c r="Z96" s="27"/>
    </row>
    <row r="97" spans="1:26" ht="13.6">
      <c r="A97" s="27"/>
      <c r="B97" s="27"/>
      <c r="C97" s="27"/>
      <c r="D97" s="73"/>
      <c r="E97" s="27"/>
      <c r="F97" s="27"/>
      <c r="G97" s="27"/>
      <c r="H97" s="27"/>
      <c r="I97" s="27"/>
      <c r="J97" s="27"/>
      <c r="K97" s="27"/>
      <c r="L97" s="27"/>
      <c r="M97" s="27"/>
      <c r="N97" s="27"/>
      <c r="O97" s="27"/>
      <c r="P97" s="27"/>
      <c r="Q97" s="27"/>
      <c r="R97" s="27"/>
      <c r="S97" s="27"/>
      <c r="T97" s="27"/>
      <c r="U97" s="27"/>
      <c r="V97" s="27"/>
      <c r="W97" s="27"/>
      <c r="X97" s="27"/>
      <c r="Y97" s="27"/>
      <c r="Z97" s="27"/>
    </row>
    <row r="98" spans="1:26" ht="13.6">
      <c r="A98" s="27"/>
      <c r="B98" s="27"/>
      <c r="C98" s="27"/>
      <c r="D98" s="73"/>
      <c r="E98" s="27"/>
      <c r="F98" s="27"/>
      <c r="G98" s="27"/>
      <c r="H98" s="27"/>
      <c r="I98" s="27"/>
      <c r="J98" s="27"/>
      <c r="K98" s="27"/>
      <c r="L98" s="27"/>
      <c r="M98" s="27"/>
      <c r="N98" s="27"/>
      <c r="O98" s="27"/>
      <c r="P98" s="27"/>
      <c r="Q98" s="27"/>
      <c r="R98" s="27"/>
      <c r="S98" s="27"/>
      <c r="T98" s="27"/>
      <c r="U98" s="27"/>
      <c r="V98" s="27"/>
      <c r="W98" s="27"/>
      <c r="X98" s="27"/>
      <c r="Y98" s="27"/>
      <c r="Z98" s="27"/>
    </row>
    <row r="99" spans="1:26" ht="13.6">
      <c r="A99" s="27"/>
      <c r="B99" s="27"/>
      <c r="C99" s="27"/>
      <c r="D99" s="73"/>
      <c r="E99" s="27"/>
      <c r="F99" s="27"/>
      <c r="G99" s="27"/>
      <c r="H99" s="27"/>
      <c r="I99" s="27"/>
      <c r="J99" s="27"/>
      <c r="K99" s="27"/>
      <c r="L99" s="27"/>
      <c r="M99" s="27"/>
      <c r="N99" s="27"/>
      <c r="O99" s="27"/>
      <c r="P99" s="27"/>
      <c r="Q99" s="27"/>
      <c r="R99" s="27"/>
      <c r="S99" s="27"/>
      <c r="T99" s="27"/>
      <c r="U99" s="27"/>
      <c r="V99" s="27"/>
      <c r="W99" s="27"/>
      <c r="X99" s="27"/>
      <c r="Y99" s="27"/>
      <c r="Z99" s="27"/>
    </row>
    <row r="100" spans="1:26" ht="13.6">
      <c r="A100" s="27"/>
      <c r="B100" s="27"/>
      <c r="C100" s="27"/>
      <c r="D100" s="73"/>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6">
      <c r="A101" s="27"/>
      <c r="B101" s="27"/>
      <c r="C101" s="27"/>
      <c r="D101" s="73"/>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6">
      <c r="A102" s="27"/>
      <c r="B102" s="27"/>
      <c r="C102" s="27"/>
      <c r="D102" s="73"/>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6">
      <c r="A103" s="27"/>
      <c r="B103" s="27"/>
      <c r="C103" s="27"/>
      <c r="D103" s="73"/>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6">
      <c r="A104" s="27"/>
      <c r="B104" s="27"/>
      <c r="C104" s="27"/>
      <c r="D104" s="73"/>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6">
      <c r="A105" s="27"/>
      <c r="B105" s="27"/>
      <c r="C105" s="27"/>
      <c r="D105" s="73"/>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6">
      <c r="A106" s="27"/>
      <c r="B106" s="27"/>
      <c r="C106" s="27"/>
      <c r="D106" s="73"/>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6">
      <c r="A107" s="27"/>
      <c r="B107" s="27"/>
      <c r="C107" s="27"/>
      <c r="D107" s="73"/>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6">
      <c r="A108" s="27"/>
      <c r="B108" s="27"/>
      <c r="C108" s="27"/>
      <c r="D108" s="73"/>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6">
      <c r="A109" s="27"/>
      <c r="B109" s="27"/>
      <c r="C109" s="27"/>
      <c r="D109" s="73"/>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6">
      <c r="A110" s="27"/>
      <c r="B110" s="27"/>
      <c r="C110" s="27"/>
      <c r="D110" s="73"/>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6">
      <c r="A111" s="27"/>
      <c r="B111" s="27"/>
      <c r="C111" s="27"/>
      <c r="D111" s="73"/>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6">
      <c r="A112" s="27"/>
      <c r="B112" s="27"/>
      <c r="C112" s="27"/>
      <c r="D112" s="73"/>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6">
      <c r="A113" s="27"/>
      <c r="B113" s="27"/>
      <c r="C113" s="27"/>
      <c r="D113" s="73"/>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6">
      <c r="A114" s="27"/>
      <c r="B114" s="27"/>
      <c r="C114" s="27"/>
      <c r="D114" s="73"/>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6">
      <c r="A115" s="27"/>
      <c r="B115" s="27"/>
      <c r="C115" s="27"/>
      <c r="D115" s="73"/>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6">
      <c r="A116" s="27"/>
      <c r="B116" s="27"/>
      <c r="C116" s="27"/>
      <c r="D116" s="73"/>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6">
      <c r="A117" s="27"/>
      <c r="B117" s="27"/>
      <c r="C117" s="27"/>
      <c r="D117" s="73"/>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6">
      <c r="A118" s="27"/>
      <c r="B118" s="27"/>
      <c r="C118" s="27"/>
      <c r="D118" s="73"/>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6">
      <c r="A119" s="27"/>
      <c r="B119" s="27"/>
      <c r="C119" s="27"/>
      <c r="D119" s="73"/>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6">
      <c r="A120" s="27"/>
      <c r="B120" s="27"/>
      <c r="C120" s="27"/>
      <c r="D120" s="73"/>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6">
      <c r="A121" s="27"/>
      <c r="B121" s="27"/>
      <c r="C121" s="27"/>
      <c r="D121" s="73"/>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6">
      <c r="A122" s="27"/>
      <c r="B122" s="27"/>
      <c r="C122" s="27"/>
      <c r="D122" s="73"/>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6">
      <c r="A123" s="27"/>
      <c r="B123" s="27"/>
      <c r="C123" s="27"/>
      <c r="D123" s="73"/>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6">
      <c r="A124" s="27"/>
      <c r="B124" s="27"/>
      <c r="C124" s="27"/>
      <c r="D124" s="73"/>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6">
      <c r="A125" s="27"/>
      <c r="B125" s="27"/>
      <c r="C125" s="27"/>
      <c r="D125" s="73"/>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6">
      <c r="A126" s="27"/>
      <c r="B126" s="27"/>
      <c r="C126" s="27"/>
      <c r="D126" s="73"/>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6">
      <c r="A127" s="27"/>
      <c r="B127" s="27"/>
      <c r="C127" s="27"/>
      <c r="D127" s="73"/>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6">
      <c r="A128" s="27"/>
      <c r="B128" s="27"/>
      <c r="C128" s="27"/>
      <c r="D128" s="73"/>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6">
      <c r="A129" s="27"/>
      <c r="B129" s="27"/>
      <c r="C129" s="27"/>
      <c r="D129" s="73"/>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6">
      <c r="A130" s="27"/>
      <c r="B130" s="27"/>
      <c r="C130" s="27"/>
      <c r="D130" s="73"/>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6">
      <c r="A131" s="27"/>
      <c r="B131" s="27"/>
      <c r="C131" s="27"/>
      <c r="D131" s="73"/>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6">
      <c r="A132" s="27"/>
      <c r="B132" s="27"/>
      <c r="C132" s="27"/>
      <c r="D132" s="73"/>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6">
      <c r="A133" s="27"/>
      <c r="B133" s="27"/>
      <c r="C133" s="27"/>
      <c r="D133" s="73"/>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6">
      <c r="A134" s="27"/>
      <c r="B134" s="27"/>
      <c r="C134" s="27"/>
      <c r="D134" s="73"/>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6">
      <c r="A135" s="27"/>
      <c r="B135" s="27"/>
      <c r="C135" s="27"/>
      <c r="D135" s="73"/>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6">
      <c r="A136" s="27"/>
      <c r="B136" s="27"/>
      <c r="C136" s="27"/>
      <c r="D136" s="73"/>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6">
      <c r="A137" s="27"/>
      <c r="B137" s="27"/>
      <c r="C137" s="27"/>
      <c r="D137" s="73"/>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6">
      <c r="A138" s="27"/>
      <c r="B138" s="27"/>
      <c r="C138" s="27"/>
      <c r="D138" s="73"/>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6">
      <c r="A139" s="27"/>
      <c r="B139" s="27"/>
      <c r="C139" s="27"/>
      <c r="D139" s="73"/>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6">
      <c r="A140" s="27"/>
      <c r="B140" s="27"/>
      <c r="C140" s="27"/>
      <c r="D140" s="73"/>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6">
      <c r="A141" s="27"/>
      <c r="B141" s="27"/>
      <c r="C141" s="27"/>
      <c r="D141" s="73"/>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6">
      <c r="A142" s="27"/>
      <c r="B142" s="27"/>
      <c r="C142" s="27"/>
      <c r="D142" s="73"/>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6">
      <c r="A143" s="27"/>
      <c r="B143" s="27"/>
      <c r="C143" s="27"/>
      <c r="D143" s="73"/>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6">
      <c r="A144" s="27"/>
      <c r="B144" s="27"/>
      <c r="C144" s="27"/>
      <c r="D144" s="73"/>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6">
      <c r="A145" s="27"/>
      <c r="B145" s="27"/>
      <c r="C145" s="27"/>
      <c r="D145" s="73"/>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6">
      <c r="A146" s="27"/>
      <c r="B146" s="27"/>
      <c r="C146" s="27"/>
      <c r="D146" s="73"/>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6">
      <c r="A147" s="27"/>
      <c r="B147" s="27"/>
      <c r="C147" s="27"/>
      <c r="D147" s="73"/>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6">
      <c r="A148" s="27"/>
      <c r="B148" s="27"/>
      <c r="C148" s="27"/>
      <c r="D148" s="73"/>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6">
      <c r="A149" s="27"/>
      <c r="B149" s="27"/>
      <c r="C149" s="27"/>
      <c r="D149" s="73"/>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6">
      <c r="A150" s="27"/>
      <c r="B150" s="27"/>
      <c r="C150" s="27"/>
      <c r="D150" s="73"/>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6">
      <c r="A151" s="27"/>
      <c r="B151" s="27"/>
      <c r="C151" s="27"/>
      <c r="D151" s="73"/>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6">
      <c r="A152" s="27"/>
      <c r="B152" s="27"/>
      <c r="C152" s="27"/>
      <c r="D152" s="73"/>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6">
      <c r="A153" s="27"/>
      <c r="B153" s="27"/>
      <c r="C153" s="27"/>
      <c r="D153" s="73"/>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6">
      <c r="A154" s="27"/>
      <c r="B154" s="27"/>
      <c r="C154" s="27"/>
      <c r="D154" s="73"/>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6">
      <c r="A155" s="27"/>
      <c r="B155" s="27"/>
      <c r="C155" s="27"/>
      <c r="D155" s="73"/>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6">
      <c r="A156" s="27"/>
      <c r="B156" s="27"/>
      <c r="C156" s="27"/>
      <c r="D156" s="73"/>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6">
      <c r="A157" s="27"/>
      <c r="B157" s="27"/>
      <c r="C157" s="27"/>
      <c r="D157" s="73"/>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6">
      <c r="A158" s="27"/>
      <c r="B158" s="27"/>
      <c r="C158" s="27"/>
      <c r="D158" s="73"/>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6">
      <c r="A159" s="27"/>
      <c r="B159" s="27"/>
      <c r="C159" s="27"/>
      <c r="D159" s="73"/>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6">
      <c r="A160" s="27"/>
      <c r="B160" s="27"/>
      <c r="C160" s="27"/>
      <c r="D160" s="73"/>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6">
      <c r="A161" s="27"/>
      <c r="B161" s="27"/>
      <c r="C161" s="27"/>
      <c r="D161" s="73"/>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6">
      <c r="A162" s="27"/>
      <c r="B162" s="27"/>
      <c r="C162" s="27"/>
      <c r="D162" s="73"/>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6">
      <c r="A163" s="27"/>
      <c r="B163" s="27"/>
      <c r="C163" s="27"/>
      <c r="D163" s="73"/>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6">
      <c r="A164" s="27"/>
      <c r="B164" s="27"/>
      <c r="C164" s="27"/>
      <c r="D164" s="73"/>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6">
      <c r="A165" s="27"/>
      <c r="B165" s="27"/>
      <c r="C165" s="27"/>
      <c r="D165" s="73"/>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6">
      <c r="A166" s="27"/>
      <c r="B166" s="27"/>
      <c r="C166" s="27"/>
      <c r="D166" s="73"/>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6">
      <c r="A167" s="27"/>
      <c r="B167" s="27"/>
      <c r="C167" s="27"/>
      <c r="D167" s="73"/>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6">
      <c r="A168" s="27"/>
      <c r="B168" s="27"/>
      <c r="C168" s="27"/>
      <c r="D168" s="73"/>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6">
      <c r="A169" s="27"/>
      <c r="B169" s="27"/>
      <c r="C169" s="27"/>
      <c r="D169" s="73"/>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6">
      <c r="A170" s="27"/>
      <c r="B170" s="27"/>
      <c r="C170" s="27"/>
      <c r="D170" s="73"/>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6">
      <c r="A171" s="27"/>
      <c r="B171" s="27"/>
      <c r="C171" s="27"/>
      <c r="D171" s="73"/>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6">
      <c r="A172" s="27"/>
      <c r="B172" s="27"/>
      <c r="C172" s="27"/>
      <c r="D172" s="73"/>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6">
      <c r="A173" s="27"/>
      <c r="B173" s="27"/>
      <c r="C173" s="27"/>
      <c r="D173" s="73"/>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6">
      <c r="A174" s="27"/>
      <c r="B174" s="27"/>
      <c r="C174" s="27"/>
      <c r="D174" s="73"/>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6">
      <c r="A175" s="27"/>
      <c r="B175" s="27"/>
      <c r="C175" s="27"/>
      <c r="D175" s="73"/>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6">
      <c r="A176" s="27"/>
      <c r="B176" s="27"/>
      <c r="C176" s="27"/>
      <c r="D176" s="73"/>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6">
      <c r="A177" s="27"/>
      <c r="B177" s="27"/>
      <c r="C177" s="27"/>
      <c r="D177" s="73"/>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6">
      <c r="A178" s="27"/>
      <c r="B178" s="27"/>
      <c r="C178" s="27"/>
      <c r="D178" s="73"/>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6">
      <c r="A179" s="27"/>
      <c r="B179" s="27"/>
      <c r="C179" s="27"/>
      <c r="D179" s="73"/>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6">
      <c r="A180" s="27"/>
      <c r="B180" s="27"/>
      <c r="C180" s="27"/>
      <c r="D180" s="73"/>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6">
      <c r="A181" s="27"/>
      <c r="B181" s="27"/>
      <c r="C181" s="27"/>
      <c r="D181" s="73"/>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6">
      <c r="A182" s="27"/>
      <c r="B182" s="27"/>
      <c r="C182" s="27"/>
      <c r="D182" s="73"/>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6">
      <c r="A183" s="27"/>
      <c r="B183" s="27"/>
      <c r="C183" s="27"/>
      <c r="D183" s="73"/>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6">
      <c r="A184" s="27"/>
      <c r="B184" s="27"/>
      <c r="C184" s="27"/>
      <c r="D184" s="73"/>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6">
      <c r="A185" s="27"/>
      <c r="B185" s="27"/>
      <c r="C185" s="27"/>
      <c r="D185" s="73"/>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6">
      <c r="A186" s="27"/>
      <c r="B186" s="27"/>
      <c r="C186" s="27"/>
      <c r="D186" s="73"/>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6">
      <c r="A187" s="27"/>
      <c r="B187" s="27"/>
      <c r="C187" s="27"/>
      <c r="D187" s="73"/>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6">
      <c r="A188" s="27"/>
      <c r="B188" s="27"/>
      <c r="C188" s="27"/>
      <c r="D188" s="73"/>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6">
      <c r="A189" s="27"/>
      <c r="B189" s="27"/>
      <c r="C189" s="27"/>
      <c r="D189" s="73"/>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6">
      <c r="A190" s="27"/>
      <c r="B190" s="27"/>
      <c r="C190" s="27"/>
      <c r="D190" s="73"/>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6">
      <c r="A191" s="27"/>
      <c r="B191" s="27"/>
      <c r="C191" s="27"/>
      <c r="D191" s="73"/>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6">
      <c r="A192" s="27"/>
      <c r="B192" s="27"/>
      <c r="C192" s="27"/>
      <c r="D192" s="73"/>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6">
      <c r="A193" s="27"/>
      <c r="B193" s="27"/>
      <c r="C193" s="27"/>
      <c r="D193" s="73"/>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6">
      <c r="A194" s="27"/>
      <c r="B194" s="27"/>
      <c r="C194" s="27"/>
      <c r="D194" s="73"/>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6">
      <c r="A195" s="27"/>
      <c r="B195" s="27"/>
      <c r="C195" s="27"/>
      <c r="D195" s="73"/>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6">
      <c r="A196" s="27"/>
      <c r="B196" s="27"/>
      <c r="C196" s="27"/>
      <c r="D196" s="73"/>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6">
      <c r="A197" s="27"/>
      <c r="B197" s="27"/>
      <c r="C197" s="27"/>
      <c r="D197" s="73"/>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6">
      <c r="A198" s="27"/>
      <c r="B198" s="27"/>
      <c r="C198" s="27"/>
      <c r="D198" s="73"/>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6">
      <c r="A199" s="27"/>
      <c r="B199" s="27"/>
      <c r="C199" s="27"/>
      <c r="D199" s="73"/>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6">
      <c r="A200" s="27"/>
      <c r="B200" s="27"/>
      <c r="C200" s="27"/>
      <c r="D200" s="73"/>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6">
      <c r="A201" s="27"/>
      <c r="B201" s="27"/>
      <c r="C201" s="27"/>
      <c r="D201" s="73"/>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6">
      <c r="A202" s="27"/>
      <c r="B202" s="27"/>
      <c r="C202" s="27"/>
      <c r="D202" s="73"/>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6">
      <c r="A203" s="27"/>
      <c r="B203" s="27"/>
      <c r="C203" s="27"/>
      <c r="D203" s="73"/>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6">
      <c r="A204" s="27"/>
      <c r="B204" s="27"/>
      <c r="C204" s="27"/>
      <c r="D204" s="73"/>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6">
      <c r="A205" s="27"/>
      <c r="B205" s="27"/>
      <c r="C205" s="27"/>
      <c r="D205" s="73"/>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6">
      <c r="A206" s="27"/>
      <c r="B206" s="27"/>
      <c r="C206" s="27"/>
      <c r="D206" s="73"/>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6">
      <c r="A207" s="27"/>
      <c r="B207" s="27"/>
      <c r="C207" s="27"/>
      <c r="D207" s="73"/>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6">
      <c r="A208" s="27"/>
      <c r="B208" s="27"/>
      <c r="C208" s="27"/>
      <c r="D208" s="73"/>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6">
      <c r="A209" s="27"/>
      <c r="B209" s="27"/>
      <c r="C209" s="27"/>
      <c r="D209" s="73"/>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6">
      <c r="A210" s="27"/>
      <c r="B210" s="27"/>
      <c r="C210" s="27"/>
      <c r="D210" s="73"/>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6">
      <c r="A211" s="27"/>
      <c r="B211" s="27"/>
      <c r="C211" s="27"/>
      <c r="D211" s="73"/>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6">
      <c r="A212" s="27"/>
      <c r="B212" s="27"/>
      <c r="C212" s="27"/>
      <c r="D212" s="73"/>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6">
      <c r="A213" s="27"/>
      <c r="B213" s="27"/>
      <c r="C213" s="27"/>
      <c r="D213" s="73"/>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6">
      <c r="A214" s="27"/>
      <c r="B214" s="27"/>
      <c r="C214" s="27"/>
      <c r="D214" s="73"/>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6">
      <c r="A215" s="27"/>
      <c r="B215" s="27"/>
      <c r="C215" s="27"/>
      <c r="D215" s="73"/>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6">
      <c r="A216" s="27"/>
      <c r="B216" s="27"/>
      <c r="C216" s="27"/>
      <c r="D216" s="73"/>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6">
      <c r="A217" s="27"/>
      <c r="B217" s="27"/>
      <c r="C217" s="27"/>
      <c r="D217" s="73"/>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6">
      <c r="A218" s="27"/>
      <c r="B218" s="27"/>
      <c r="C218" s="27"/>
      <c r="D218" s="73"/>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6">
      <c r="A219" s="27"/>
      <c r="B219" s="27"/>
      <c r="C219" s="27"/>
      <c r="D219" s="73"/>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6">
      <c r="A220" s="27"/>
      <c r="B220" s="27"/>
      <c r="C220" s="27"/>
      <c r="D220" s="73"/>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6">
      <c r="A221" s="27"/>
      <c r="B221" s="27"/>
      <c r="C221" s="27"/>
      <c r="D221" s="73"/>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6">
      <c r="A222" s="27"/>
      <c r="B222" s="27"/>
      <c r="C222" s="27"/>
      <c r="D222" s="73"/>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6">
      <c r="A223" s="27"/>
      <c r="B223" s="27"/>
      <c r="C223" s="27"/>
      <c r="D223" s="73"/>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6">
      <c r="A224" s="27"/>
      <c r="B224" s="27"/>
      <c r="C224" s="27"/>
      <c r="D224" s="73"/>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6">
      <c r="A225" s="27"/>
      <c r="B225" s="27"/>
      <c r="C225" s="27"/>
      <c r="D225" s="73"/>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6">
      <c r="A226" s="27"/>
      <c r="B226" s="27"/>
      <c r="C226" s="27"/>
      <c r="D226" s="73"/>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6">
      <c r="A227" s="27"/>
      <c r="B227" s="27"/>
      <c r="C227" s="27"/>
      <c r="D227" s="73"/>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6">
      <c r="A228" s="27"/>
      <c r="B228" s="27"/>
      <c r="C228" s="27"/>
      <c r="D228" s="73"/>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6">
      <c r="A229" s="27"/>
      <c r="B229" s="27"/>
      <c r="C229" s="27"/>
      <c r="D229" s="73"/>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6">
      <c r="A230" s="27"/>
      <c r="B230" s="27"/>
      <c r="C230" s="27"/>
      <c r="D230" s="73"/>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6">
      <c r="A231" s="27"/>
      <c r="B231" s="27"/>
      <c r="C231" s="27"/>
      <c r="D231" s="73"/>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6">
      <c r="A232" s="27"/>
      <c r="B232" s="27"/>
      <c r="C232" s="27"/>
      <c r="D232" s="73"/>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6">
      <c r="A233" s="27"/>
      <c r="B233" s="27"/>
      <c r="C233" s="27"/>
      <c r="D233" s="73"/>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6">
      <c r="A234" s="27"/>
      <c r="B234" s="27"/>
      <c r="C234" s="27"/>
      <c r="D234" s="73"/>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6">
      <c r="A235" s="27"/>
      <c r="B235" s="27"/>
      <c r="C235" s="27"/>
      <c r="D235" s="73"/>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6">
      <c r="A236" s="27"/>
      <c r="B236" s="27"/>
      <c r="C236" s="27"/>
      <c r="D236" s="73"/>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6">
      <c r="A237" s="27"/>
      <c r="B237" s="27"/>
      <c r="C237" s="27"/>
      <c r="D237" s="73"/>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6">
      <c r="A238" s="27"/>
      <c r="B238" s="27"/>
      <c r="C238" s="27"/>
      <c r="D238" s="73"/>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6">
      <c r="A239" s="27"/>
      <c r="B239" s="27"/>
      <c r="C239" s="27"/>
      <c r="D239" s="73"/>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6">
      <c r="A240" s="27"/>
      <c r="B240" s="27"/>
      <c r="C240" s="27"/>
      <c r="D240" s="73"/>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6">
      <c r="A241" s="27"/>
      <c r="B241" s="27"/>
      <c r="C241" s="27"/>
      <c r="D241" s="73"/>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6">
      <c r="A242" s="27"/>
      <c r="B242" s="27"/>
      <c r="C242" s="27"/>
      <c r="D242" s="73"/>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6">
      <c r="A243" s="27"/>
      <c r="B243" s="27"/>
      <c r="C243" s="27"/>
      <c r="D243" s="73"/>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6">
      <c r="A244" s="27"/>
      <c r="B244" s="27"/>
      <c r="C244" s="27"/>
      <c r="D244" s="73"/>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6">
      <c r="A245" s="27"/>
      <c r="B245" s="27"/>
      <c r="C245" s="27"/>
      <c r="D245" s="73"/>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6">
      <c r="A246" s="27"/>
      <c r="B246" s="27"/>
      <c r="C246" s="27"/>
      <c r="D246" s="73"/>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6">
      <c r="A247" s="27"/>
      <c r="B247" s="27"/>
      <c r="C247" s="27"/>
      <c r="D247" s="73"/>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6">
      <c r="A248" s="27"/>
      <c r="B248" s="27"/>
      <c r="C248" s="27"/>
      <c r="D248" s="73"/>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6">
      <c r="A249" s="27"/>
      <c r="B249" s="27"/>
      <c r="C249" s="27"/>
      <c r="D249" s="73"/>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6">
      <c r="A250" s="27"/>
      <c r="B250" s="27"/>
      <c r="C250" s="27"/>
      <c r="D250" s="73"/>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6">
      <c r="A251" s="27"/>
      <c r="B251" s="27"/>
      <c r="C251" s="27"/>
      <c r="D251" s="73"/>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6">
      <c r="A252" s="27"/>
      <c r="B252" s="27"/>
      <c r="C252" s="27"/>
      <c r="D252" s="73"/>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6">
      <c r="A253" s="27"/>
      <c r="B253" s="27"/>
      <c r="C253" s="27"/>
      <c r="D253" s="73"/>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6">
      <c r="A254" s="27"/>
      <c r="B254" s="27"/>
      <c r="C254" s="27"/>
      <c r="D254" s="73"/>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6">
      <c r="A255" s="27"/>
      <c r="B255" s="27"/>
      <c r="C255" s="27"/>
      <c r="D255" s="73"/>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6">
      <c r="A256" s="27"/>
      <c r="B256" s="27"/>
      <c r="C256" s="27"/>
      <c r="D256" s="73"/>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6">
      <c r="A257" s="27"/>
      <c r="B257" s="27"/>
      <c r="C257" s="27"/>
      <c r="D257" s="73"/>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6">
      <c r="A258" s="27"/>
      <c r="B258" s="27"/>
      <c r="C258" s="27"/>
      <c r="D258" s="73"/>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6">
      <c r="A259" s="27"/>
      <c r="B259" s="27"/>
      <c r="C259" s="27"/>
      <c r="D259" s="73"/>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6">
      <c r="A260" s="27"/>
      <c r="B260" s="27"/>
      <c r="C260" s="27"/>
      <c r="D260" s="73"/>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6">
      <c r="A261" s="27"/>
      <c r="B261" s="27"/>
      <c r="C261" s="27"/>
      <c r="D261" s="73"/>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6">
      <c r="A262" s="27"/>
      <c r="B262" s="27"/>
      <c r="C262" s="27"/>
      <c r="D262" s="73"/>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6">
      <c r="A263" s="27"/>
      <c r="B263" s="27"/>
      <c r="C263" s="27"/>
      <c r="D263" s="73"/>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6">
      <c r="A264" s="27"/>
      <c r="B264" s="27"/>
      <c r="C264" s="27"/>
      <c r="D264" s="73"/>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6">
      <c r="A265" s="27"/>
      <c r="B265" s="27"/>
      <c r="C265" s="27"/>
      <c r="D265" s="73"/>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6">
      <c r="A266" s="27"/>
      <c r="B266" s="27"/>
      <c r="C266" s="27"/>
      <c r="D266" s="73"/>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6">
      <c r="A267" s="27"/>
      <c r="B267" s="27"/>
      <c r="C267" s="27"/>
      <c r="D267" s="73"/>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6">
      <c r="A268" s="27"/>
      <c r="B268" s="27"/>
      <c r="C268" s="27"/>
      <c r="D268" s="73"/>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6">
      <c r="A269" s="27"/>
      <c r="B269" s="27"/>
      <c r="C269" s="27"/>
      <c r="D269" s="73"/>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6">
      <c r="A270" s="27"/>
      <c r="B270" s="27"/>
      <c r="C270" s="27"/>
      <c r="D270" s="73"/>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6">
      <c r="A271" s="27"/>
      <c r="B271" s="27"/>
      <c r="C271" s="27"/>
      <c r="D271" s="73"/>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6">
      <c r="A272" s="27"/>
      <c r="B272" s="27"/>
      <c r="C272" s="27"/>
      <c r="D272" s="73"/>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6">
      <c r="A273" s="27"/>
      <c r="B273" s="27"/>
      <c r="C273" s="27"/>
      <c r="D273" s="73"/>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6">
      <c r="A274" s="27"/>
      <c r="B274" s="27"/>
      <c r="C274" s="27"/>
      <c r="D274" s="73"/>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6">
      <c r="A275" s="27"/>
      <c r="B275" s="27"/>
      <c r="C275" s="27"/>
      <c r="D275" s="73"/>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6">
      <c r="A276" s="27"/>
      <c r="B276" s="27"/>
      <c r="C276" s="27"/>
      <c r="D276" s="73"/>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6">
      <c r="A277" s="27"/>
      <c r="B277" s="27"/>
      <c r="C277" s="27"/>
      <c r="D277" s="73"/>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6">
      <c r="A278" s="27"/>
      <c r="B278" s="27"/>
      <c r="C278" s="27"/>
      <c r="D278" s="73"/>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6">
      <c r="A279" s="27"/>
      <c r="B279" s="27"/>
      <c r="C279" s="27"/>
      <c r="D279" s="73"/>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6">
      <c r="A280" s="27"/>
      <c r="B280" s="27"/>
      <c r="C280" s="27"/>
      <c r="D280" s="73"/>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6">
      <c r="A281" s="27"/>
      <c r="B281" s="27"/>
      <c r="C281" s="27"/>
      <c r="D281" s="73"/>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6">
      <c r="A282" s="27"/>
      <c r="B282" s="27"/>
      <c r="C282" s="27"/>
      <c r="D282" s="73"/>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6">
      <c r="A283" s="27"/>
      <c r="B283" s="27"/>
      <c r="C283" s="27"/>
      <c r="D283" s="73"/>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6">
      <c r="A284" s="27"/>
      <c r="B284" s="27"/>
      <c r="C284" s="27"/>
      <c r="D284" s="73"/>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6">
      <c r="A285" s="27"/>
      <c r="B285" s="27"/>
      <c r="C285" s="27"/>
      <c r="D285" s="73"/>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6">
      <c r="A286" s="27"/>
      <c r="B286" s="27"/>
      <c r="C286" s="27"/>
      <c r="D286" s="73"/>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6">
      <c r="A287" s="27"/>
      <c r="B287" s="27"/>
      <c r="C287" s="27"/>
      <c r="D287" s="73"/>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6">
      <c r="A288" s="27"/>
      <c r="B288" s="27"/>
      <c r="C288" s="27"/>
      <c r="D288" s="73"/>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6">
      <c r="A289" s="27"/>
      <c r="B289" s="27"/>
      <c r="C289" s="27"/>
      <c r="D289" s="73"/>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6">
      <c r="A290" s="27"/>
      <c r="B290" s="27"/>
      <c r="C290" s="27"/>
      <c r="D290" s="73"/>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6">
      <c r="A291" s="27"/>
      <c r="B291" s="27"/>
      <c r="C291" s="27"/>
      <c r="D291" s="73"/>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6">
      <c r="A292" s="27"/>
      <c r="B292" s="27"/>
      <c r="C292" s="27"/>
      <c r="D292" s="73"/>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6">
      <c r="A293" s="27"/>
      <c r="B293" s="27"/>
      <c r="C293" s="27"/>
      <c r="D293" s="73"/>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6">
      <c r="A294" s="27"/>
      <c r="B294" s="27"/>
      <c r="C294" s="27"/>
      <c r="D294" s="73"/>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6">
      <c r="A295" s="27"/>
      <c r="B295" s="27"/>
      <c r="C295" s="27"/>
      <c r="D295" s="73"/>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6">
      <c r="A296" s="27"/>
      <c r="B296" s="27"/>
      <c r="C296" s="27"/>
      <c r="D296" s="73"/>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6">
      <c r="A297" s="27"/>
      <c r="B297" s="27"/>
      <c r="C297" s="27"/>
      <c r="D297" s="73"/>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6">
      <c r="A298" s="27"/>
      <c r="B298" s="27"/>
      <c r="C298" s="27"/>
      <c r="D298" s="73"/>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6">
      <c r="A299" s="27"/>
      <c r="B299" s="27"/>
      <c r="C299" s="27"/>
      <c r="D299" s="73"/>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6">
      <c r="A300" s="27"/>
      <c r="B300" s="27"/>
      <c r="C300" s="27"/>
      <c r="D300" s="73"/>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6">
      <c r="A301" s="27"/>
      <c r="B301" s="27"/>
      <c r="C301" s="27"/>
      <c r="D301" s="73"/>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6">
      <c r="A302" s="27"/>
      <c r="B302" s="27"/>
      <c r="C302" s="27"/>
      <c r="D302" s="73"/>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6">
      <c r="A303" s="27"/>
      <c r="B303" s="27"/>
      <c r="C303" s="27"/>
      <c r="D303" s="73"/>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6">
      <c r="A304" s="27"/>
      <c r="B304" s="27"/>
      <c r="C304" s="27"/>
      <c r="D304" s="73"/>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6">
      <c r="A305" s="27"/>
      <c r="B305" s="27"/>
      <c r="C305" s="27"/>
      <c r="D305" s="73"/>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6">
      <c r="A306" s="27"/>
      <c r="B306" s="27"/>
      <c r="C306" s="27"/>
      <c r="D306" s="73"/>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6">
      <c r="A307" s="27"/>
      <c r="B307" s="27"/>
      <c r="C307" s="27"/>
      <c r="D307" s="73"/>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6">
      <c r="A308" s="27"/>
      <c r="B308" s="27"/>
      <c r="C308" s="27"/>
      <c r="D308" s="73"/>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6">
      <c r="A309" s="27"/>
      <c r="B309" s="27"/>
      <c r="C309" s="27"/>
      <c r="D309" s="73"/>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6">
      <c r="A310" s="27"/>
      <c r="B310" s="27"/>
      <c r="C310" s="27"/>
      <c r="D310" s="73"/>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6">
      <c r="A311" s="27"/>
      <c r="B311" s="27"/>
      <c r="C311" s="27"/>
      <c r="D311" s="73"/>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6">
      <c r="A312" s="27"/>
      <c r="B312" s="27"/>
      <c r="C312" s="27"/>
      <c r="D312" s="73"/>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6">
      <c r="A313" s="27"/>
      <c r="B313" s="27"/>
      <c r="C313" s="27"/>
      <c r="D313" s="73"/>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6">
      <c r="A314" s="27"/>
      <c r="B314" s="27"/>
      <c r="C314" s="27"/>
      <c r="D314" s="73"/>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6">
      <c r="A315" s="27"/>
      <c r="B315" s="27"/>
      <c r="C315" s="27"/>
      <c r="D315" s="73"/>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6">
      <c r="A316" s="27"/>
      <c r="B316" s="27"/>
      <c r="C316" s="27"/>
      <c r="D316" s="73"/>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6">
      <c r="A317" s="27"/>
      <c r="B317" s="27"/>
      <c r="C317" s="27"/>
      <c r="D317" s="73"/>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6">
      <c r="A318" s="27"/>
      <c r="B318" s="27"/>
      <c r="C318" s="27"/>
      <c r="D318" s="73"/>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6">
      <c r="A319" s="27"/>
      <c r="B319" s="27"/>
      <c r="C319" s="27"/>
      <c r="D319" s="73"/>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6">
      <c r="A320" s="27"/>
      <c r="B320" s="27"/>
      <c r="C320" s="27"/>
      <c r="D320" s="73"/>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6">
      <c r="A321" s="27"/>
      <c r="B321" s="27"/>
      <c r="C321" s="27"/>
      <c r="D321" s="73"/>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6">
      <c r="A322" s="27"/>
      <c r="B322" s="27"/>
      <c r="C322" s="27"/>
      <c r="D322" s="73"/>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6">
      <c r="A323" s="27"/>
      <c r="B323" s="27"/>
      <c r="C323" s="27"/>
      <c r="D323" s="73"/>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6">
      <c r="A324" s="27"/>
      <c r="B324" s="27"/>
      <c r="C324" s="27"/>
      <c r="D324" s="73"/>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6">
      <c r="A325" s="27"/>
      <c r="B325" s="27"/>
      <c r="C325" s="27"/>
      <c r="D325" s="73"/>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6">
      <c r="A326" s="27"/>
      <c r="B326" s="27"/>
      <c r="C326" s="27"/>
      <c r="D326" s="73"/>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6">
      <c r="A327" s="27"/>
      <c r="B327" s="27"/>
      <c r="C327" s="27"/>
      <c r="D327" s="73"/>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6">
      <c r="A328" s="27"/>
      <c r="B328" s="27"/>
      <c r="C328" s="27"/>
      <c r="D328" s="73"/>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6">
      <c r="A329" s="27"/>
      <c r="B329" s="27"/>
      <c r="C329" s="27"/>
      <c r="D329" s="73"/>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6">
      <c r="A330" s="27"/>
      <c r="B330" s="27"/>
      <c r="C330" s="27"/>
      <c r="D330" s="73"/>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6">
      <c r="A331" s="27"/>
      <c r="B331" s="27"/>
      <c r="C331" s="27"/>
      <c r="D331" s="73"/>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6">
      <c r="A332" s="27"/>
      <c r="B332" s="27"/>
      <c r="C332" s="27"/>
      <c r="D332" s="73"/>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6">
      <c r="A333" s="27"/>
      <c r="B333" s="27"/>
      <c r="C333" s="27"/>
      <c r="D333" s="73"/>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6">
      <c r="A334" s="27"/>
      <c r="B334" s="27"/>
      <c r="C334" s="27"/>
      <c r="D334" s="73"/>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6">
      <c r="A335" s="27"/>
      <c r="B335" s="27"/>
      <c r="C335" s="27"/>
      <c r="D335" s="73"/>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6">
      <c r="A336" s="27"/>
      <c r="B336" s="27"/>
      <c r="C336" s="27"/>
      <c r="D336" s="73"/>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6">
      <c r="A337" s="27"/>
      <c r="B337" s="27"/>
      <c r="C337" s="27"/>
      <c r="D337" s="73"/>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6">
      <c r="A338" s="27"/>
      <c r="B338" s="27"/>
      <c r="C338" s="27"/>
      <c r="D338" s="73"/>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6">
      <c r="A339" s="27"/>
      <c r="B339" s="27"/>
      <c r="C339" s="27"/>
      <c r="D339" s="73"/>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6">
      <c r="A340" s="27"/>
      <c r="B340" s="27"/>
      <c r="C340" s="27"/>
      <c r="D340" s="73"/>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6">
      <c r="A341" s="27"/>
      <c r="B341" s="27"/>
      <c r="C341" s="27"/>
      <c r="D341" s="73"/>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6">
      <c r="A342" s="27"/>
      <c r="B342" s="27"/>
      <c r="C342" s="27"/>
      <c r="D342" s="73"/>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6">
      <c r="A343" s="27"/>
      <c r="B343" s="27"/>
      <c r="C343" s="27"/>
      <c r="D343" s="73"/>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6">
      <c r="A344" s="27"/>
      <c r="B344" s="27"/>
      <c r="C344" s="27"/>
      <c r="D344" s="73"/>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6">
      <c r="A345" s="27"/>
      <c r="B345" s="27"/>
      <c r="C345" s="27"/>
      <c r="D345" s="73"/>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6">
      <c r="A346" s="27"/>
      <c r="B346" s="27"/>
      <c r="C346" s="27"/>
      <c r="D346" s="73"/>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6">
      <c r="A347" s="27"/>
      <c r="B347" s="27"/>
      <c r="C347" s="27"/>
      <c r="D347" s="73"/>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6">
      <c r="A348" s="27"/>
      <c r="B348" s="27"/>
      <c r="C348" s="27"/>
      <c r="D348" s="73"/>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6">
      <c r="A349" s="27"/>
      <c r="B349" s="27"/>
      <c r="C349" s="27"/>
      <c r="D349" s="73"/>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6">
      <c r="A350" s="27"/>
      <c r="B350" s="27"/>
      <c r="C350" s="27"/>
      <c r="D350" s="73"/>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6">
      <c r="A351" s="27"/>
      <c r="B351" s="27"/>
      <c r="C351" s="27"/>
      <c r="D351" s="73"/>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6">
      <c r="A352" s="27"/>
      <c r="B352" s="27"/>
      <c r="C352" s="27"/>
      <c r="D352" s="73"/>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6">
      <c r="A353" s="27"/>
      <c r="B353" s="27"/>
      <c r="C353" s="27"/>
      <c r="D353" s="73"/>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6">
      <c r="A354" s="27"/>
      <c r="B354" s="27"/>
      <c r="C354" s="27"/>
      <c r="D354" s="73"/>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6">
      <c r="A355" s="27"/>
      <c r="B355" s="27"/>
      <c r="C355" s="27"/>
      <c r="D355" s="73"/>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6">
      <c r="A356" s="27"/>
      <c r="B356" s="27"/>
      <c r="C356" s="27"/>
      <c r="D356" s="73"/>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6">
      <c r="A357" s="27"/>
      <c r="B357" s="27"/>
      <c r="C357" s="27"/>
      <c r="D357" s="73"/>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6">
      <c r="A358" s="27"/>
      <c r="B358" s="27"/>
      <c r="C358" s="27"/>
      <c r="D358" s="73"/>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6">
      <c r="A359" s="27"/>
      <c r="B359" s="27"/>
      <c r="C359" s="27"/>
      <c r="D359" s="73"/>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6">
      <c r="A360" s="27"/>
      <c r="B360" s="27"/>
      <c r="C360" s="27"/>
      <c r="D360" s="73"/>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6">
      <c r="A361" s="27"/>
      <c r="B361" s="27"/>
      <c r="C361" s="27"/>
      <c r="D361" s="73"/>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6">
      <c r="A362" s="27"/>
      <c r="B362" s="27"/>
      <c r="C362" s="27"/>
      <c r="D362" s="73"/>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6">
      <c r="A363" s="27"/>
      <c r="B363" s="27"/>
      <c r="C363" s="27"/>
      <c r="D363" s="73"/>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6">
      <c r="A364" s="27"/>
      <c r="B364" s="27"/>
      <c r="C364" s="27"/>
      <c r="D364" s="73"/>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6">
      <c r="A365" s="27"/>
      <c r="B365" s="27"/>
      <c r="C365" s="27"/>
      <c r="D365" s="73"/>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6">
      <c r="A366" s="27"/>
      <c r="B366" s="27"/>
      <c r="C366" s="27"/>
      <c r="D366" s="73"/>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6">
      <c r="A367" s="27"/>
      <c r="B367" s="27"/>
      <c r="C367" s="27"/>
      <c r="D367" s="73"/>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6">
      <c r="A368" s="27"/>
      <c r="B368" s="27"/>
      <c r="C368" s="27"/>
      <c r="D368" s="73"/>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6">
      <c r="A369" s="27"/>
      <c r="B369" s="27"/>
      <c r="C369" s="27"/>
      <c r="D369" s="73"/>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6">
      <c r="A370" s="27"/>
      <c r="B370" s="27"/>
      <c r="C370" s="27"/>
      <c r="D370" s="73"/>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6">
      <c r="A371" s="27"/>
      <c r="B371" s="27"/>
      <c r="C371" s="27"/>
      <c r="D371" s="73"/>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6">
      <c r="A372" s="27"/>
      <c r="B372" s="27"/>
      <c r="C372" s="27"/>
      <c r="D372" s="73"/>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6">
      <c r="A373" s="27"/>
      <c r="B373" s="27"/>
      <c r="C373" s="27"/>
      <c r="D373" s="73"/>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6">
      <c r="A374" s="27"/>
      <c r="B374" s="27"/>
      <c r="C374" s="27"/>
      <c r="D374" s="73"/>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6">
      <c r="A375" s="27"/>
      <c r="B375" s="27"/>
      <c r="C375" s="27"/>
      <c r="D375" s="73"/>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6">
      <c r="A376" s="27"/>
      <c r="B376" s="27"/>
      <c r="C376" s="27"/>
      <c r="D376" s="73"/>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6">
      <c r="A377" s="27"/>
      <c r="B377" s="27"/>
      <c r="C377" s="27"/>
      <c r="D377" s="73"/>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6">
      <c r="A378" s="27"/>
      <c r="B378" s="27"/>
      <c r="C378" s="27"/>
      <c r="D378" s="73"/>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6">
      <c r="A379" s="27"/>
      <c r="B379" s="27"/>
      <c r="C379" s="27"/>
      <c r="D379" s="73"/>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6">
      <c r="A380" s="27"/>
      <c r="B380" s="27"/>
      <c r="C380" s="27"/>
      <c r="D380" s="73"/>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6">
      <c r="A381" s="27"/>
      <c r="B381" s="27"/>
      <c r="C381" s="27"/>
      <c r="D381" s="73"/>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6">
      <c r="A382" s="27"/>
      <c r="B382" s="27"/>
      <c r="C382" s="27"/>
      <c r="D382" s="73"/>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6">
      <c r="A383" s="27"/>
      <c r="B383" s="27"/>
      <c r="C383" s="27"/>
      <c r="D383" s="73"/>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6">
      <c r="A384" s="27"/>
      <c r="B384" s="27"/>
      <c r="C384" s="27"/>
      <c r="D384" s="73"/>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6">
      <c r="A385" s="27"/>
      <c r="B385" s="27"/>
      <c r="C385" s="27"/>
      <c r="D385" s="73"/>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6">
      <c r="A386" s="27"/>
      <c r="B386" s="27"/>
      <c r="C386" s="27"/>
      <c r="D386" s="73"/>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6">
      <c r="A387" s="27"/>
      <c r="B387" s="27"/>
      <c r="C387" s="27"/>
      <c r="D387" s="73"/>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6">
      <c r="A388" s="27"/>
      <c r="B388" s="27"/>
      <c r="C388" s="27"/>
      <c r="D388" s="73"/>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6">
      <c r="A389" s="27"/>
      <c r="B389" s="27"/>
      <c r="C389" s="27"/>
      <c r="D389" s="73"/>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6">
      <c r="A390" s="27"/>
      <c r="B390" s="27"/>
      <c r="C390" s="27"/>
      <c r="D390" s="73"/>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6">
      <c r="A391" s="27"/>
      <c r="B391" s="27"/>
      <c r="C391" s="27"/>
      <c r="D391" s="73"/>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6">
      <c r="A392" s="27"/>
      <c r="B392" s="27"/>
      <c r="C392" s="27"/>
      <c r="D392" s="73"/>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6">
      <c r="A393" s="27"/>
      <c r="B393" s="27"/>
      <c r="C393" s="27"/>
      <c r="D393" s="73"/>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6">
      <c r="A394" s="27"/>
      <c r="B394" s="27"/>
      <c r="C394" s="27"/>
      <c r="D394" s="73"/>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6">
      <c r="A395" s="27"/>
      <c r="B395" s="27"/>
      <c r="C395" s="27"/>
      <c r="D395" s="73"/>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6">
      <c r="A396" s="27"/>
      <c r="B396" s="27"/>
      <c r="C396" s="27"/>
      <c r="D396" s="73"/>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6">
      <c r="A397" s="27"/>
      <c r="B397" s="27"/>
      <c r="C397" s="27"/>
      <c r="D397" s="73"/>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6">
      <c r="A398" s="27"/>
      <c r="B398" s="27"/>
      <c r="C398" s="27"/>
      <c r="D398" s="73"/>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6">
      <c r="A399" s="27"/>
      <c r="B399" s="27"/>
      <c r="C399" s="27"/>
      <c r="D399" s="73"/>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6">
      <c r="A400" s="27"/>
      <c r="B400" s="27"/>
      <c r="C400" s="27"/>
      <c r="D400" s="73"/>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6">
      <c r="A401" s="27"/>
      <c r="B401" s="27"/>
      <c r="C401" s="27"/>
      <c r="D401" s="73"/>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6">
      <c r="A402" s="27"/>
      <c r="B402" s="27"/>
      <c r="C402" s="27"/>
      <c r="D402" s="73"/>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6">
      <c r="A403" s="27"/>
      <c r="B403" s="27"/>
      <c r="C403" s="27"/>
      <c r="D403" s="73"/>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6">
      <c r="A404" s="27"/>
      <c r="B404" s="27"/>
      <c r="C404" s="27"/>
      <c r="D404" s="73"/>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6">
      <c r="A405" s="27"/>
      <c r="B405" s="27"/>
      <c r="C405" s="27"/>
      <c r="D405" s="73"/>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6">
      <c r="A406" s="27"/>
      <c r="B406" s="27"/>
      <c r="C406" s="27"/>
      <c r="D406" s="73"/>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6">
      <c r="A407" s="27"/>
      <c r="B407" s="27"/>
      <c r="C407" s="27"/>
      <c r="D407" s="73"/>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6">
      <c r="A408" s="27"/>
      <c r="B408" s="27"/>
      <c r="C408" s="27"/>
      <c r="D408" s="73"/>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6">
      <c r="A409" s="27"/>
      <c r="B409" s="27"/>
      <c r="C409" s="27"/>
      <c r="D409" s="73"/>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6">
      <c r="A410" s="27"/>
      <c r="B410" s="27"/>
      <c r="C410" s="27"/>
      <c r="D410" s="73"/>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6">
      <c r="A411" s="27"/>
      <c r="B411" s="27"/>
      <c r="C411" s="27"/>
      <c r="D411" s="73"/>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6">
      <c r="A412" s="27"/>
      <c r="B412" s="27"/>
      <c r="C412" s="27"/>
      <c r="D412" s="73"/>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6">
      <c r="A413" s="27"/>
      <c r="B413" s="27"/>
      <c r="C413" s="27"/>
      <c r="D413" s="73"/>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6">
      <c r="A414" s="27"/>
      <c r="B414" s="27"/>
      <c r="C414" s="27"/>
      <c r="D414" s="73"/>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6">
      <c r="A415" s="27"/>
      <c r="B415" s="27"/>
      <c r="C415" s="27"/>
      <c r="D415" s="73"/>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6">
      <c r="A416" s="27"/>
      <c r="B416" s="27"/>
      <c r="C416" s="27"/>
      <c r="D416" s="73"/>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6">
      <c r="A417" s="27"/>
      <c r="B417" s="27"/>
      <c r="C417" s="27"/>
      <c r="D417" s="73"/>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6">
      <c r="A418" s="27"/>
      <c r="B418" s="27"/>
      <c r="C418" s="27"/>
      <c r="D418" s="73"/>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6">
      <c r="A419" s="27"/>
      <c r="B419" s="27"/>
      <c r="C419" s="27"/>
      <c r="D419" s="73"/>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6">
      <c r="A420" s="27"/>
      <c r="B420" s="27"/>
      <c r="C420" s="27"/>
      <c r="D420" s="73"/>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6">
      <c r="A421" s="27"/>
      <c r="B421" s="27"/>
      <c r="C421" s="27"/>
      <c r="D421" s="73"/>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6">
      <c r="A422" s="27"/>
      <c r="B422" s="27"/>
      <c r="C422" s="27"/>
      <c r="D422" s="73"/>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6">
      <c r="A423" s="27"/>
      <c r="B423" s="27"/>
      <c r="C423" s="27"/>
      <c r="D423" s="73"/>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6">
      <c r="A424" s="27"/>
      <c r="B424" s="27"/>
      <c r="C424" s="27"/>
      <c r="D424" s="73"/>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6">
      <c r="A425" s="27"/>
      <c r="B425" s="27"/>
      <c r="C425" s="27"/>
      <c r="D425" s="73"/>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6">
      <c r="A426" s="27"/>
      <c r="B426" s="27"/>
      <c r="C426" s="27"/>
      <c r="D426" s="73"/>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6">
      <c r="A427" s="27"/>
      <c r="B427" s="27"/>
      <c r="C427" s="27"/>
      <c r="D427" s="73"/>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6">
      <c r="A428" s="27"/>
      <c r="B428" s="27"/>
      <c r="C428" s="27"/>
      <c r="D428" s="73"/>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6">
      <c r="A429" s="27"/>
      <c r="B429" s="27"/>
      <c r="C429" s="27"/>
      <c r="D429" s="73"/>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6">
      <c r="A430" s="27"/>
      <c r="B430" s="27"/>
      <c r="C430" s="27"/>
      <c r="D430" s="73"/>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6">
      <c r="A431" s="27"/>
      <c r="B431" s="27"/>
      <c r="C431" s="27"/>
      <c r="D431" s="73"/>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6">
      <c r="A432" s="27"/>
      <c r="B432" s="27"/>
      <c r="C432" s="27"/>
      <c r="D432" s="73"/>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6">
      <c r="A433" s="27"/>
      <c r="B433" s="27"/>
      <c r="C433" s="27"/>
      <c r="D433" s="73"/>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6">
      <c r="A434" s="27"/>
      <c r="B434" s="27"/>
      <c r="C434" s="27"/>
      <c r="D434" s="73"/>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6">
      <c r="A435" s="27"/>
      <c r="B435" s="27"/>
      <c r="C435" s="27"/>
      <c r="D435" s="73"/>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6">
      <c r="A436" s="27"/>
      <c r="B436" s="27"/>
      <c r="C436" s="27"/>
      <c r="D436" s="73"/>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6">
      <c r="A437" s="27"/>
      <c r="B437" s="27"/>
      <c r="C437" s="27"/>
      <c r="D437" s="73"/>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6">
      <c r="A438" s="27"/>
      <c r="B438" s="27"/>
      <c r="C438" s="27"/>
      <c r="D438" s="73"/>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6">
      <c r="A439" s="27"/>
      <c r="B439" s="27"/>
      <c r="C439" s="27"/>
      <c r="D439" s="73"/>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6">
      <c r="A440" s="27"/>
      <c r="B440" s="27"/>
      <c r="C440" s="27"/>
      <c r="D440" s="73"/>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6">
      <c r="A441" s="27"/>
      <c r="B441" s="27"/>
      <c r="C441" s="27"/>
      <c r="D441" s="73"/>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6">
      <c r="A442" s="27"/>
      <c r="B442" s="27"/>
      <c r="C442" s="27"/>
      <c r="D442" s="73"/>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6">
      <c r="A443" s="27"/>
      <c r="B443" s="27"/>
      <c r="C443" s="27"/>
      <c r="D443" s="73"/>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6">
      <c r="A444" s="27"/>
      <c r="B444" s="27"/>
      <c r="C444" s="27"/>
      <c r="D444" s="73"/>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6">
      <c r="A445" s="27"/>
      <c r="B445" s="27"/>
      <c r="C445" s="27"/>
      <c r="D445" s="73"/>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6">
      <c r="A446" s="27"/>
      <c r="B446" s="27"/>
      <c r="C446" s="27"/>
      <c r="D446" s="73"/>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6">
      <c r="A447" s="27"/>
      <c r="B447" s="27"/>
      <c r="C447" s="27"/>
      <c r="D447" s="73"/>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6">
      <c r="A448" s="27"/>
      <c r="B448" s="27"/>
      <c r="C448" s="27"/>
      <c r="D448" s="73"/>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6">
      <c r="A449" s="27"/>
      <c r="B449" s="27"/>
      <c r="C449" s="27"/>
      <c r="D449" s="73"/>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6">
      <c r="A450" s="27"/>
      <c r="B450" s="27"/>
      <c r="C450" s="27"/>
      <c r="D450" s="73"/>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6">
      <c r="A451" s="27"/>
      <c r="B451" s="27"/>
      <c r="C451" s="27"/>
      <c r="D451" s="73"/>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6">
      <c r="A452" s="27"/>
      <c r="B452" s="27"/>
      <c r="C452" s="27"/>
      <c r="D452" s="73"/>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6">
      <c r="A453" s="27"/>
      <c r="B453" s="27"/>
      <c r="C453" s="27"/>
      <c r="D453" s="73"/>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6">
      <c r="A454" s="27"/>
      <c r="B454" s="27"/>
      <c r="C454" s="27"/>
      <c r="D454" s="73"/>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6">
      <c r="A455" s="27"/>
      <c r="B455" s="27"/>
      <c r="C455" s="27"/>
      <c r="D455" s="73"/>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6">
      <c r="A456" s="27"/>
      <c r="B456" s="27"/>
      <c r="C456" s="27"/>
      <c r="D456" s="73"/>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6">
      <c r="A457" s="27"/>
      <c r="B457" s="27"/>
      <c r="C457" s="27"/>
      <c r="D457" s="73"/>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6">
      <c r="A458" s="27"/>
      <c r="B458" s="27"/>
      <c r="C458" s="27"/>
      <c r="D458" s="73"/>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6">
      <c r="A459" s="27"/>
      <c r="B459" s="27"/>
      <c r="C459" s="27"/>
      <c r="D459" s="73"/>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6">
      <c r="A460" s="27"/>
      <c r="B460" s="27"/>
      <c r="C460" s="27"/>
      <c r="D460" s="73"/>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6">
      <c r="A461" s="27"/>
      <c r="B461" s="27"/>
      <c r="C461" s="27"/>
      <c r="D461" s="73"/>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6">
      <c r="A462" s="27"/>
      <c r="B462" s="27"/>
      <c r="C462" s="27"/>
      <c r="D462" s="73"/>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6">
      <c r="A463" s="27"/>
      <c r="B463" s="27"/>
      <c r="C463" s="27"/>
      <c r="D463" s="73"/>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6">
      <c r="A464" s="27"/>
      <c r="B464" s="27"/>
      <c r="C464" s="27"/>
      <c r="D464" s="73"/>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6">
      <c r="A465" s="27"/>
      <c r="B465" s="27"/>
      <c r="C465" s="27"/>
      <c r="D465" s="73"/>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6">
      <c r="A466" s="27"/>
      <c r="B466" s="27"/>
      <c r="C466" s="27"/>
      <c r="D466" s="73"/>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6">
      <c r="A467" s="27"/>
      <c r="B467" s="27"/>
      <c r="C467" s="27"/>
      <c r="D467" s="73"/>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6">
      <c r="A468" s="27"/>
      <c r="B468" s="27"/>
      <c r="C468" s="27"/>
      <c r="D468" s="73"/>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6">
      <c r="A469" s="27"/>
      <c r="B469" s="27"/>
      <c r="C469" s="27"/>
      <c r="D469" s="73"/>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6">
      <c r="A470" s="27"/>
      <c r="B470" s="27"/>
      <c r="C470" s="27"/>
      <c r="D470" s="73"/>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6">
      <c r="A471" s="27"/>
      <c r="B471" s="27"/>
      <c r="C471" s="27"/>
      <c r="D471" s="73"/>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6">
      <c r="A472" s="27"/>
      <c r="B472" s="27"/>
      <c r="C472" s="27"/>
      <c r="D472" s="73"/>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6">
      <c r="A473" s="27"/>
      <c r="B473" s="27"/>
      <c r="C473" s="27"/>
      <c r="D473" s="73"/>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6">
      <c r="A474" s="27"/>
      <c r="B474" s="27"/>
      <c r="C474" s="27"/>
      <c r="D474" s="73"/>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6">
      <c r="A475" s="27"/>
      <c r="B475" s="27"/>
      <c r="C475" s="27"/>
      <c r="D475" s="73"/>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6">
      <c r="A476" s="27"/>
      <c r="B476" s="27"/>
      <c r="C476" s="27"/>
      <c r="D476" s="73"/>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6">
      <c r="A477" s="27"/>
      <c r="B477" s="27"/>
      <c r="C477" s="27"/>
      <c r="D477" s="73"/>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6">
      <c r="A478" s="27"/>
      <c r="B478" s="27"/>
      <c r="C478" s="27"/>
      <c r="D478" s="73"/>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6">
      <c r="A479" s="27"/>
      <c r="B479" s="27"/>
      <c r="C479" s="27"/>
      <c r="D479" s="73"/>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6">
      <c r="A480" s="27"/>
      <c r="B480" s="27"/>
      <c r="C480" s="27"/>
      <c r="D480" s="73"/>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6">
      <c r="A481" s="27"/>
      <c r="B481" s="27"/>
      <c r="C481" s="27"/>
      <c r="D481" s="73"/>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6">
      <c r="A482" s="27"/>
      <c r="B482" s="27"/>
      <c r="C482" s="27"/>
      <c r="D482" s="73"/>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6">
      <c r="A483" s="27"/>
      <c r="B483" s="27"/>
      <c r="C483" s="27"/>
      <c r="D483" s="73"/>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6">
      <c r="A484" s="27"/>
      <c r="B484" s="27"/>
      <c r="C484" s="27"/>
      <c r="D484" s="73"/>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6">
      <c r="A485" s="27"/>
      <c r="B485" s="27"/>
      <c r="C485" s="27"/>
      <c r="D485" s="73"/>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6">
      <c r="A486" s="27"/>
      <c r="B486" s="27"/>
      <c r="C486" s="27"/>
      <c r="D486" s="73"/>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6">
      <c r="A487" s="27"/>
      <c r="B487" s="27"/>
      <c r="C487" s="27"/>
      <c r="D487" s="73"/>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6">
      <c r="A488" s="27"/>
      <c r="B488" s="27"/>
      <c r="C488" s="27"/>
      <c r="D488" s="73"/>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6">
      <c r="A489" s="27"/>
      <c r="B489" s="27"/>
      <c r="C489" s="27"/>
      <c r="D489" s="73"/>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6">
      <c r="A490" s="27"/>
      <c r="B490" s="27"/>
      <c r="C490" s="27"/>
      <c r="D490" s="73"/>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6">
      <c r="A491" s="27"/>
      <c r="B491" s="27"/>
      <c r="C491" s="27"/>
      <c r="D491" s="73"/>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6">
      <c r="A492" s="27"/>
      <c r="B492" s="27"/>
      <c r="C492" s="27"/>
      <c r="D492" s="73"/>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6">
      <c r="A493" s="27"/>
      <c r="B493" s="27"/>
      <c r="C493" s="27"/>
      <c r="D493" s="73"/>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6">
      <c r="A494" s="27"/>
      <c r="B494" s="27"/>
      <c r="C494" s="27"/>
      <c r="D494" s="73"/>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6">
      <c r="A495" s="27"/>
      <c r="B495" s="27"/>
      <c r="C495" s="27"/>
      <c r="D495" s="73"/>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6">
      <c r="A496" s="27"/>
      <c r="B496" s="27"/>
      <c r="C496" s="27"/>
      <c r="D496" s="73"/>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6">
      <c r="A497" s="27"/>
      <c r="B497" s="27"/>
      <c r="C497" s="27"/>
      <c r="D497" s="73"/>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6">
      <c r="A498" s="27"/>
      <c r="B498" s="27"/>
      <c r="C498" s="27"/>
      <c r="D498" s="73"/>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6">
      <c r="A499" s="27"/>
      <c r="B499" s="27"/>
      <c r="C499" s="27"/>
      <c r="D499" s="73"/>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6">
      <c r="A500" s="27"/>
      <c r="B500" s="27"/>
      <c r="C500" s="27"/>
      <c r="D500" s="73"/>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6">
      <c r="A501" s="27"/>
      <c r="B501" s="27"/>
      <c r="C501" s="27"/>
      <c r="D501" s="73"/>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6">
      <c r="A502" s="27"/>
      <c r="B502" s="27"/>
      <c r="C502" s="27"/>
      <c r="D502" s="73"/>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6">
      <c r="A503" s="27"/>
      <c r="B503" s="27"/>
      <c r="C503" s="27"/>
      <c r="D503" s="73"/>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6">
      <c r="A504" s="27"/>
      <c r="B504" s="27"/>
      <c r="C504" s="27"/>
      <c r="D504" s="73"/>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6">
      <c r="A505" s="27"/>
      <c r="B505" s="27"/>
      <c r="C505" s="27"/>
      <c r="D505" s="73"/>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6">
      <c r="A506" s="27"/>
      <c r="B506" s="27"/>
      <c r="C506" s="27"/>
      <c r="D506" s="73"/>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6">
      <c r="A507" s="27"/>
      <c r="B507" s="27"/>
      <c r="C507" s="27"/>
      <c r="D507" s="73"/>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6">
      <c r="A508" s="27"/>
      <c r="B508" s="27"/>
      <c r="C508" s="27"/>
      <c r="D508" s="73"/>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6">
      <c r="A509" s="27"/>
      <c r="B509" s="27"/>
      <c r="C509" s="27"/>
      <c r="D509" s="73"/>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6">
      <c r="A510" s="27"/>
      <c r="B510" s="27"/>
      <c r="C510" s="27"/>
      <c r="D510" s="73"/>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6">
      <c r="A511" s="27"/>
      <c r="B511" s="27"/>
      <c r="C511" s="27"/>
      <c r="D511" s="73"/>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6">
      <c r="A512" s="27"/>
      <c r="B512" s="27"/>
      <c r="C512" s="27"/>
      <c r="D512" s="73"/>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6">
      <c r="A513" s="27"/>
      <c r="B513" s="27"/>
      <c r="C513" s="27"/>
      <c r="D513" s="73"/>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6">
      <c r="A514" s="27"/>
      <c r="B514" s="27"/>
      <c r="C514" s="27"/>
      <c r="D514" s="73"/>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6">
      <c r="A515" s="27"/>
      <c r="B515" s="27"/>
      <c r="C515" s="27"/>
      <c r="D515" s="73"/>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6">
      <c r="A516" s="27"/>
      <c r="B516" s="27"/>
      <c r="C516" s="27"/>
      <c r="D516" s="73"/>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6">
      <c r="A517" s="27"/>
      <c r="B517" s="27"/>
      <c r="C517" s="27"/>
      <c r="D517" s="73"/>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6">
      <c r="A518" s="27"/>
      <c r="B518" s="27"/>
      <c r="C518" s="27"/>
      <c r="D518" s="73"/>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6">
      <c r="A519" s="27"/>
      <c r="B519" s="27"/>
      <c r="C519" s="27"/>
      <c r="D519" s="73"/>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6">
      <c r="A520" s="27"/>
      <c r="B520" s="27"/>
      <c r="C520" s="27"/>
      <c r="D520" s="73"/>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6">
      <c r="A521" s="27"/>
      <c r="B521" s="27"/>
      <c r="C521" s="27"/>
      <c r="D521" s="73"/>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6">
      <c r="A522" s="27"/>
      <c r="B522" s="27"/>
      <c r="C522" s="27"/>
      <c r="D522" s="73"/>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6">
      <c r="A523" s="27"/>
      <c r="B523" s="27"/>
      <c r="C523" s="27"/>
      <c r="D523" s="73"/>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6">
      <c r="A524" s="27"/>
      <c r="B524" s="27"/>
      <c r="C524" s="27"/>
      <c r="D524" s="73"/>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6">
      <c r="A525" s="27"/>
      <c r="B525" s="27"/>
      <c r="C525" s="27"/>
      <c r="D525" s="73"/>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6">
      <c r="A526" s="27"/>
      <c r="B526" s="27"/>
      <c r="C526" s="27"/>
      <c r="D526" s="73"/>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6">
      <c r="A527" s="27"/>
      <c r="B527" s="27"/>
      <c r="C527" s="27"/>
      <c r="D527" s="73"/>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6">
      <c r="A528" s="27"/>
      <c r="B528" s="27"/>
      <c r="C528" s="27"/>
      <c r="D528" s="73"/>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6">
      <c r="A529" s="27"/>
      <c r="B529" s="27"/>
      <c r="C529" s="27"/>
      <c r="D529" s="73"/>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6">
      <c r="A530" s="27"/>
      <c r="B530" s="27"/>
      <c r="C530" s="27"/>
      <c r="D530" s="73"/>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6">
      <c r="A531" s="27"/>
      <c r="B531" s="27"/>
      <c r="C531" s="27"/>
      <c r="D531" s="73"/>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6">
      <c r="A532" s="27"/>
      <c r="B532" s="27"/>
      <c r="C532" s="27"/>
      <c r="D532" s="73"/>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6">
      <c r="A533" s="27"/>
      <c r="B533" s="27"/>
      <c r="C533" s="27"/>
      <c r="D533" s="73"/>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6">
      <c r="A534" s="27"/>
      <c r="B534" s="27"/>
      <c r="C534" s="27"/>
      <c r="D534" s="73"/>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6">
      <c r="A535" s="27"/>
      <c r="B535" s="27"/>
      <c r="C535" s="27"/>
      <c r="D535" s="73"/>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6">
      <c r="A536" s="27"/>
      <c r="B536" s="27"/>
      <c r="C536" s="27"/>
      <c r="D536" s="73"/>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6">
      <c r="A537" s="27"/>
      <c r="B537" s="27"/>
      <c r="C537" s="27"/>
      <c r="D537" s="73"/>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6">
      <c r="A538" s="27"/>
      <c r="B538" s="27"/>
      <c r="C538" s="27"/>
      <c r="D538" s="73"/>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6">
      <c r="A539" s="27"/>
      <c r="B539" s="27"/>
      <c r="C539" s="27"/>
      <c r="D539" s="73"/>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6">
      <c r="A540" s="27"/>
      <c r="B540" s="27"/>
      <c r="C540" s="27"/>
      <c r="D540" s="73"/>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6">
      <c r="A541" s="27"/>
      <c r="B541" s="27"/>
      <c r="C541" s="27"/>
      <c r="D541" s="73"/>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6">
      <c r="A542" s="27"/>
      <c r="B542" s="27"/>
      <c r="C542" s="27"/>
      <c r="D542" s="73"/>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6">
      <c r="A543" s="27"/>
      <c r="B543" s="27"/>
      <c r="C543" s="27"/>
      <c r="D543" s="73"/>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6">
      <c r="A544" s="27"/>
      <c r="B544" s="27"/>
      <c r="C544" s="27"/>
      <c r="D544" s="73"/>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6">
      <c r="A545" s="27"/>
      <c r="B545" s="27"/>
      <c r="C545" s="27"/>
      <c r="D545" s="73"/>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6">
      <c r="A546" s="27"/>
      <c r="B546" s="27"/>
      <c r="C546" s="27"/>
      <c r="D546" s="73"/>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6">
      <c r="A547" s="27"/>
      <c r="B547" s="27"/>
      <c r="C547" s="27"/>
      <c r="D547" s="73"/>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6">
      <c r="A548" s="27"/>
      <c r="B548" s="27"/>
      <c r="C548" s="27"/>
      <c r="D548" s="73"/>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6">
      <c r="A549" s="27"/>
      <c r="B549" s="27"/>
      <c r="C549" s="27"/>
      <c r="D549" s="73"/>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6">
      <c r="A550" s="27"/>
      <c r="B550" s="27"/>
      <c r="C550" s="27"/>
      <c r="D550" s="73"/>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6">
      <c r="A551" s="27"/>
      <c r="B551" s="27"/>
      <c r="C551" s="27"/>
      <c r="D551" s="73"/>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6">
      <c r="A552" s="27"/>
      <c r="B552" s="27"/>
      <c r="C552" s="27"/>
      <c r="D552" s="73"/>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6">
      <c r="A553" s="27"/>
      <c r="B553" s="27"/>
      <c r="C553" s="27"/>
      <c r="D553" s="73"/>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6">
      <c r="A554" s="27"/>
      <c r="B554" s="27"/>
      <c r="C554" s="27"/>
      <c r="D554" s="73"/>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6">
      <c r="A555" s="27"/>
      <c r="B555" s="27"/>
      <c r="C555" s="27"/>
      <c r="D555" s="73"/>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6">
      <c r="A556" s="27"/>
      <c r="B556" s="27"/>
      <c r="C556" s="27"/>
      <c r="D556" s="73"/>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6">
      <c r="A557" s="27"/>
      <c r="B557" s="27"/>
      <c r="C557" s="27"/>
      <c r="D557" s="73"/>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6">
      <c r="A558" s="27"/>
      <c r="B558" s="27"/>
      <c r="C558" s="27"/>
      <c r="D558" s="73"/>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6">
      <c r="A559" s="27"/>
      <c r="B559" s="27"/>
      <c r="C559" s="27"/>
      <c r="D559" s="73"/>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6">
      <c r="A560" s="27"/>
      <c r="B560" s="27"/>
      <c r="C560" s="27"/>
      <c r="D560" s="73"/>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6">
      <c r="A561" s="27"/>
      <c r="B561" s="27"/>
      <c r="C561" s="27"/>
      <c r="D561" s="73"/>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6">
      <c r="A562" s="27"/>
      <c r="B562" s="27"/>
      <c r="C562" s="27"/>
      <c r="D562" s="73"/>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6">
      <c r="A563" s="27"/>
      <c r="B563" s="27"/>
      <c r="C563" s="27"/>
      <c r="D563" s="73"/>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6">
      <c r="A564" s="27"/>
      <c r="B564" s="27"/>
      <c r="C564" s="27"/>
      <c r="D564" s="73"/>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6">
      <c r="A565" s="27"/>
      <c r="B565" s="27"/>
      <c r="C565" s="27"/>
      <c r="D565" s="73"/>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6">
      <c r="A566" s="27"/>
      <c r="B566" s="27"/>
      <c r="C566" s="27"/>
      <c r="D566" s="73"/>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6">
      <c r="A567" s="27"/>
      <c r="B567" s="27"/>
      <c r="C567" s="27"/>
      <c r="D567" s="73"/>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6">
      <c r="A568" s="27"/>
      <c r="B568" s="27"/>
      <c r="C568" s="27"/>
      <c r="D568" s="73"/>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6">
      <c r="A569" s="27"/>
      <c r="B569" s="27"/>
      <c r="C569" s="27"/>
      <c r="D569" s="73"/>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6">
      <c r="A570" s="27"/>
      <c r="B570" s="27"/>
      <c r="C570" s="27"/>
      <c r="D570" s="73"/>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6">
      <c r="A571" s="27"/>
      <c r="B571" s="27"/>
      <c r="C571" s="27"/>
      <c r="D571" s="73"/>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6">
      <c r="A572" s="27"/>
      <c r="B572" s="27"/>
      <c r="C572" s="27"/>
      <c r="D572" s="73"/>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6">
      <c r="A573" s="27"/>
      <c r="B573" s="27"/>
      <c r="C573" s="27"/>
      <c r="D573" s="73"/>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6">
      <c r="A574" s="27"/>
      <c r="B574" s="27"/>
      <c r="C574" s="27"/>
      <c r="D574" s="73"/>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6">
      <c r="A575" s="27"/>
      <c r="B575" s="27"/>
      <c r="C575" s="27"/>
      <c r="D575" s="73"/>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6">
      <c r="A576" s="27"/>
      <c r="B576" s="27"/>
      <c r="C576" s="27"/>
      <c r="D576" s="73"/>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6">
      <c r="A577" s="27"/>
      <c r="B577" s="27"/>
      <c r="C577" s="27"/>
      <c r="D577" s="73"/>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6">
      <c r="A578" s="27"/>
      <c r="B578" s="27"/>
      <c r="C578" s="27"/>
      <c r="D578" s="73"/>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6">
      <c r="A579" s="27"/>
      <c r="B579" s="27"/>
      <c r="C579" s="27"/>
      <c r="D579" s="73"/>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6">
      <c r="A580" s="27"/>
      <c r="B580" s="27"/>
      <c r="C580" s="27"/>
      <c r="D580" s="73"/>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6">
      <c r="A581" s="27"/>
      <c r="B581" s="27"/>
      <c r="C581" s="27"/>
      <c r="D581" s="73"/>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6">
      <c r="A582" s="27"/>
      <c r="B582" s="27"/>
      <c r="C582" s="27"/>
      <c r="D582" s="73"/>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6">
      <c r="A583" s="27"/>
      <c r="B583" s="27"/>
      <c r="C583" s="27"/>
      <c r="D583" s="73"/>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6">
      <c r="A584" s="27"/>
      <c r="B584" s="27"/>
      <c r="C584" s="27"/>
      <c r="D584" s="73"/>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6">
      <c r="A585" s="27"/>
      <c r="B585" s="27"/>
      <c r="C585" s="27"/>
      <c r="D585" s="73"/>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6">
      <c r="A586" s="27"/>
      <c r="B586" s="27"/>
      <c r="C586" s="27"/>
      <c r="D586" s="73"/>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6">
      <c r="A587" s="27"/>
      <c r="B587" s="27"/>
      <c r="C587" s="27"/>
      <c r="D587" s="73"/>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6">
      <c r="A588" s="27"/>
      <c r="B588" s="27"/>
      <c r="C588" s="27"/>
      <c r="D588" s="73"/>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6">
      <c r="A589" s="27"/>
      <c r="B589" s="27"/>
      <c r="C589" s="27"/>
      <c r="D589" s="73"/>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6">
      <c r="A590" s="27"/>
      <c r="B590" s="27"/>
      <c r="C590" s="27"/>
      <c r="D590" s="73"/>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6">
      <c r="A591" s="27"/>
      <c r="B591" s="27"/>
      <c r="C591" s="27"/>
      <c r="D591" s="73"/>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6">
      <c r="A592" s="27"/>
      <c r="B592" s="27"/>
      <c r="C592" s="27"/>
      <c r="D592" s="73"/>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6">
      <c r="A593" s="27"/>
      <c r="B593" s="27"/>
      <c r="C593" s="27"/>
      <c r="D593" s="73"/>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6">
      <c r="A594" s="27"/>
      <c r="B594" s="27"/>
      <c r="C594" s="27"/>
      <c r="D594" s="73"/>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6">
      <c r="A595" s="27"/>
      <c r="B595" s="27"/>
      <c r="C595" s="27"/>
      <c r="D595" s="73"/>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6">
      <c r="A596" s="27"/>
      <c r="B596" s="27"/>
      <c r="C596" s="27"/>
      <c r="D596" s="73"/>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6">
      <c r="A597" s="27"/>
      <c r="B597" s="27"/>
      <c r="C597" s="27"/>
      <c r="D597" s="73"/>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6">
      <c r="A598" s="27"/>
      <c r="B598" s="27"/>
      <c r="C598" s="27"/>
      <c r="D598" s="73"/>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6">
      <c r="A599" s="27"/>
      <c r="B599" s="27"/>
      <c r="C599" s="27"/>
      <c r="D599" s="73"/>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6">
      <c r="A600" s="27"/>
      <c r="B600" s="27"/>
      <c r="C600" s="27"/>
      <c r="D600" s="73"/>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6">
      <c r="A601" s="27"/>
      <c r="B601" s="27"/>
      <c r="C601" s="27"/>
      <c r="D601" s="73"/>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6">
      <c r="A602" s="27"/>
      <c r="B602" s="27"/>
      <c r="C602" s="27"/>
      <c r="D602" s="73"/>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6">
      <c r="A603" s="27"/>
      <c r="B603" s="27"/>
      <c r="C603" s="27"/>
      <c r="D603" s="73"/>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6">
      <c r="A604" s="27"/>
      <c r="B604" s="27"/>
      <c r="C604" s="27"/>
      <c r="D604" s="73"/>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6">
      <c r="A605" s="27"/>
      <c r="B605" s="27"/>
      <c r="C605" s="27"/>
      <c r="D605" s="73"/>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6">
      <c r="A606" s="27"/>
      <c r="B606" s="27"/>
      <c r="C606" s="27"/>
      <c r="D606" s="73"/>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6">
      <c r="A607" s="27"/>
      <c r="B607" s="27"/>
      <c r="C607" s="27"/>
      <c r="D607" s="73"/>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6">
      <c r="A608" s="27"/>
      <c r="B608" s="27"/>
      <c r="C608" s="27"/>
      <c r="D608" s="73"/>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6">
      <c r="A609" s="27"/>
      <c r="B609" s="27"/>
      <c r="C609" s="27"/>
      <c r="D609" s="73"/>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6">
      <c r="A610" s="27"/>
      <c r="B610" s="27"/>
      <c r="C610" s="27"/>
      <c r="D610" s="73"/>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6">
      <c r="A611" s="27"/>
      <c r="B611" s="27"/>
      <c r="C611" s="27"/>
      <c r="D611" s="73"/>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6">
      <c r="A612" s="27"/>
      <c r="B612" s="27"/>
      <c r="C612" s="27"/>
      <c r="D612" s="73"/>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6">
      <c r="A613" s="27"/>
      <c r="B613" s="27"/>
      <c r="C613" s="27"/>
      <c r="D613" s="73"/>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6">
      <c r="A614" s="27"/>
      <c r="B614" s="27"/>
      <c r="C614" s="27"/>
      <c r="D614" s="73"/>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6">
      <c r="A615" s="27"/>
      <c r="B615" s="27"/>
      <c r="C615" s="27"/>
      <c r="D615" s="73"/>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6">
      <c r="A616" s="27"/>
      <c r="B616" s="27"/>
      <c r="C616" s="27"/>
      <c r="D616" s="73"/>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6">
      <c r="A617" s="27"/>
      <c r="B617" s="27"/>
      <c r="C617" s="27"/>
      <c r="D617" s="73"/>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6">
      <c r="A618" s="27"/>
      <c r="B618" s="27"/>
      <c r="C618" s="27"/>
      <c r="D618" s="73"/>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6">
      <c r="A619" s="27"/>
      <c r="B619" s="27"/>
      <c r="C619" s="27"/>
      <c r="D619" s="73"/>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6">
      <c r="A620" s="27"/>
      <c r="B620" s="27"/>
      <c r="C620" s="27"/>
      <c r="D620" s="73"/>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6">
      <c r="A621" s="27"/>
      <c r="B621" s="27"/>
      <c r="C621" s="27"/>
      <c r="D621" s="73"/>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6">
      <c r="A622" s="27"/>
      <c r="B622" s="27"/>
      <c r="C622" s="27"/>
      <c r="D622" s="73"/>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6">
      <c r="A623" s="27"/>
      <c r="B623" s="27"/>
      <c r="C623" s="27"/>
      <c r="D623" s="73"/>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6">
      <c r="A624" s="27"/>
      <c r="B624" s="27"/>
      <c r="C624" s="27"/>
      <c r="D624" s="73"/>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6">
      <c r="A625" s="27"/>
      <c r="B625" s="27"/>
      <c r="C625" s="27"/>
      <c r="D625" s="73"/>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6">
      <c r="A626" s="27"/>
      <c r="B626" s="27"/>
      <c r="C626" s="27"/>
      <c r="D626" s="73"/>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6">
      <c r="A627" s="27"/>
      <c r="B627" s="27"/>
      <c r="C627" s="27"/>
      <c r="D627" s="73"/>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6">
      <c r="A628" s="27"/>
      <c r="B628" s="27"/>
      <c r="C628" s="27"/>
      <c r="D628" s="73"/>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6">
      <c r="A629" s="27"/>
      <c r="B629" s="27"/>
      <c r="C629" s="27"/>
      <c r="D629" s="73"/>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6">
      <c r="A630" s="27"/>
      <c r="B630" s="27"/>
      <c r="C630" s="27"/>
      <c r="D630" s="73"/>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6">
      <c r="A631" s="27"/>
      <c r="B631" s="27"/>
      <c r="C631" s="27"/>
      <c r="D631" s="73"/>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6">
      <c r="A632" s="27"/>
      <c r="B632" s="27"/>
      <c r="C632" s="27"/>
      <c r="D632" s="73"/>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6">
      <c r="A633" s="27"/>
      <c r="B633" s="27"/>
      <c r="C633" s="27"/>
      <c r="D633" s="73"/>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6">
      <c r="A634" s="27"/>
      <c r="B634" s="27"/>
      <c r="C634" s="27"/>
      <c r="D634" s="73"/>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6">
      <c r="A635" s="27"/>
      <c r="B635" s="27"/>
      <c r="C635" s="27"/>
      <c r="D635" s="73"/>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6">
      <c r="A636" s="27"/>
      <c r="B636" s="27"/>
      <c r="C636" s="27"/>
      <c r="D636" s="73"/>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6">
      <c r="A637" s="27"/>
      <c r="B637" s="27"/>
      <c r="C637" s="27"/>
      <c r="D637" s="73"/>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6">
      <c r="A638" s="27"/>
      <c r="B638" s="27"/>
      <c r="C638" s="27"/>
      <c r="D638" s="73"/>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6">
      <c r="A639" s="27"/>
      <c r="B639" s="27"/>
      <c r="C639" s="27"/>
      <c r="D639" s="73"/>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6">
      <c r="A640" s="27"/>
      <c r="B640" s="27"/>
      <c r="C640" s="27"/>
      <c r="D640" s="73"/>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6">
      <c r="A641" s="27"/>
      <c r="B641" s="27"/>
      <c r="C641" s="27"/>
      <c r="D641" s="73"/>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6">
      <c r="A642" s="27"/>
      <c r="B642" s="27"/>
      <c r="C642" s="27"/>
      <c r="D642" s="73"/>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6">
      <c r="A643" s="27"/>
      <c r="B643" s="27"/>
      <c r="C643" s="27"/>
      <c r="D643" s="73"/>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6">
      <c r="A644" s="27"/>
      <c r="B644" s="27"/>
      <c r="C644" s="27"/>
      <c r="D644" s="73"/>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6">
      <c r="A645" s="27"/>
      <c r="B645" s="27"/>
      <c r="C645" s="27"/>
      <c r="D645" s="73"/>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6">
      <c r="A646" s="27"/>
      <c r="B646" s="27"/>
      <c r="C646" s="27"/>
      <c r="D646" s="73"/>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6">
      <c r="A647" s="27"/>
      <c r="B647" s="27"/>
      <c r="C647" s="27"/>
      <c r="D647" s="73"/>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6">
      <c r="A648" s="27"/>
      <c r="B648" s="27"/>
      <c r="C648" s="27"/>
      <c r="D648" s="73"/>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6">
      <c r="A649" s="27"/>
      <c r="B649" s="27"/>
      <c r="C649" s="27"/>
      <c r="D649" s="73"/>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6">
      <c r="A650" s="27"/>
      <c r="B650" s="27"/>
      <c r="C650" s="27"/>
      <c r="D650" s="73"/>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6">
      <c r="A651" s="27"/>
      <c r="B651" s="27"/>
      <c r="C651" s="27"/>
      <c r="D651" s="73"/>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6">
      <c r="A652" s="27"/>
      <c r="B652" s="27"/>
      <c r="C652" s="27"/>
      <c r="D652" s="73"/>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6">
      <c r="A653" s="27"/>
      <c r="B653" s="27"/>
      <c r="C653" s="27"/>
      <c r="D653" s="73"/>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6">
      <c r="A654" s="27"/>
      <c r="B654" s="27"/>
      <c r="C654" s="27"/>
      <c r="D654" s="73"/>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6">
      <c r="A655" s="27"/>
      <c r="B655" s="27"/>
      <c r="C655" s="27"/>
      <c r="D655" s="73"/>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6">
      <c r="A656" s="27"/>
      <c r="B656" s="27"/>
      <c r="C656" s="27"/>
      <c r="D656" s="73"/>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6">
      <c r="A657" s="27"/>
      <c r="B657" s="27"/>
      <c r="C657" s="27"/>
      <c r="D657" s="73"/>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6">
      <c r="A658" s="27"/>
      <c r="B658" s="27"/>
      <c r="C658" s="27"/>
      <c r="D658" s="73"/>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6">
      <c r="A659" s="27"/>
      <c r="B659" s="27"/>
      <c r="C659" s="27"/>
      <c r="D659" s="73"/>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6">
      <c r="A660" s="27"/>
      <c r="B660" s="27"/>
      <c r="C660" s="27"/>
      <c r="D660" s="73"/>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6">
      <c r="A661" s="27"/>
      <c r="B661" s="27"/>
      <c r="C661" s="27"/>
      <c r="D661" s="73"/>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6">
      <c r="A662" s="27"/>
      <c r="B662" s="27"/>
      <c r="C662" s="27"/>
      <c r="D662" s="73"/>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6">
      <c r="A663" s="27"/>
      <c r="B663" s="27"/>
      <c r="C663" s="27"/>
      <c r="D663" s="73"/>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6">
      <c r="A664" s="27"/>
      <c r="B664" s="27"/>
      <c r="C664" s="27"/>
      <c r="D664" s="73"/>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6">
      <c r="A665" s="27"/>
      <c r="B665" s="27"/>
      <c r="C665" s="27"/>
      <c r="D665" s="73"/>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6">
      <c r="A666" s="27"/>
      <c r="B666" s="27"/>
      <c r="C666" s="27"/>
      <c r="D666" s="73"/>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6">
      <c r="A667" s="27"/>
      <c r="B667" s="27"/>
      <c r="C667" s="27"/>
      <c r="D667" s="73"/>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6">
      <c r="A668" s="27"/>
      <c r="B668" s="27"/>
      <c r="C668" s="27"/>
      <c r="D668" s="73"/>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6">
      <c r="A669" s="27"/>
      <c r="B669" s="27"/>
      <c r="C669" s="27"/>
      <c r="D669" s="73"/>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6">
      <c r="A670" s="27"/>
      <c r="B670" s="27"/>
      <c r="C670" s="27"/>
      <c r="D670" s="73"/>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6">
      <c r="A671" s="27"/>
      <c r="B671" s="27"/>
      <c r="C671" s="27"/>
      <c r="D671" s="73"/>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6">
      <c r="A672" s="27"/>
      <c r="B672" s="27"/>
      <c r="C672" s="27"/>
      <c r="D672" s="73"/>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6">
      <c r="A673" s="27"/>
      <c r="B673" s="27"/>
      <c r="C673" s="27"/>
      <c r="D673" s="73"/>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6">
      <c r="A674" s="27"/>
      <c r="B674" s="27"/>
      <c r="C674" s="27"/>
      <c r="D674" s="73"/>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6">
      <c r="A675" s="27"/>
      <c r="B675" s="27"/>
      <c r="C675" s="27"/>
      <c r="D675" s="73"/>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6">
      <c r="A676" s="27"/>
      <c r="B676" s="27"/>
      <c r="C676" s="27"/>
      <c r="D676" s="73"/>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6">
      <c r="A677" s="27"/>
      <c r="B677" s="27"/>
      <c r="C677" s="27"/>
      <c r="D677" s="73"/>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6">
      <c r="A678" s="27"/>
      <c r="B678" s="27"/>
      <c r="C678" s="27"/>
      <c r="D678" s="73"/>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6">
      <c r="A679" s="27"/>
      <c r="B679" s="27"/>
      <c r="C679" s="27"/>
      <c r="D679" s="73"/>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6">
      <c r="A680" s="27"/>
      <c r="B680" s="27"/>
      <c r="C680" s="27"/>
      <c r="D680" s="73"/>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6">
      <c r="A681" s="27"/>
      <c r="B681" s="27"/>
      <c r="C681" s="27"/>
      <c r="D681" s="73"/>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6">
      <c r="A682" s="27"/>
      <c r="B682" s="27"/>
      <c r="C682" s="27"/>
      <c r="D682" s="73"/>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6">
      <c r="A683" s="27"/>
      <c r="B683" s="27"/>
      <c r="C683" s="27"/>
      <c r="D683" s="73"/>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6">
      <c r="A684" s="27"/>
      <c r="B684" s="27"/>
      <c r="C684" s="27"/>
      <c r="D684" s="73"/>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6">
      <c r="A685" s="27"/>
      <c r="B685" s="27"/>
      <c r="C685" s="27"/>
      <c r="D685" s="73"/>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6">
      <c r="A686" s="27"/>
      <c r="B686" s="27"/>
      <c r="C686" s="27"/>
      <c r="D686" s="73"/>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6">
      <c r="A687" s="27"/>
      <c r="B687" s="27"/>
      <c r="C687" s="27"/>
      <c r="D687" s="73"/>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6">
      <c r="A688" s="27"/>
      <c r="B688" s="27"/>
      <c r="C688" s="27"/>
      <c r="D688" s="73"/>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6">
      <c r="A689" s="27"/>
      <c r="B689" s="27"/>
      <c r="C689" s="27"/>
      <c r="D689" s="73"/>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6">
      <c r="A690" s="27"/>
      <c r="B690" s="27"/>
      <c r="C690" s="27"/>
      <c r="D690" s="73"/>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6">
      <c r="A691" s="27"/>
      <c r="B691" s="27"/>
      <c r="C691" s="27"/>
      <c r="D691" s="73"/>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6">
      <c r="A692" s="27"/>
      <c r="B692" s="27"/>
      <c r="C692" s="27"/>
      <c r="D692" s="73"/>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6">
      <c r="A693" s="27"/>
      <c r="B693" s="27"/>
      <c r="C693" s="27"/>
      <c r="D693" s="73"/>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6">
      <c r="A694" s="27"/>
      <c r="B694" s="27"/>
      <c r="C694" s="27"/>
      <c r="D694" s="73"/>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6">
      <c r="A695" s="27"/>
      <c r="B695" s="27"/>
      <c r="C695" s="27"/>
      <c r="D695" s="73"/>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6">
      <c r="A696" s="27"/>
      <c r="B696" s="27"/>
      <c r="C696" s="27"/>
      <c r="D696" s="73"/>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6">
      <c r="A697" s="27"/>
      <c r="B697" s="27"/>
      <c r="C697" s="27"/>
      <c r="D697" s="73"/>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6">
      <c r="A698" s="27"/>
      <c r="B698" s="27"/>
      <c r="C698" s="27"/>
      <c r="D698" s="73"/>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6">
      <c r="A699" s="27"/>
      <c r="B699" s="27"/>
      <c r="C699" s="27"/>
      <c r="D699" s="73"/>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6">
      <c r="A700" s="27"/>
      <c r="B700" s="27"/>
      <c r="C700" s="27"/>
      <c r="D700" s="73"/>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6">
      <c r="A701" s="27"/>
      <c r="B701" s="27"/>
      <c r="C701" s="27"/>
      <c r="D701" s="73"/>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6">
      <c r="A702" s="27"/>
      <c r="B702" s="27"/>
      <c r="C702" s="27"/>
      <c r="D702" s="73"/>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6">
      <c r="A703" s="27"/>
      <c r="B703" s="27"/>
      <c r="C703" s="27"/>
      <c r="D703" s="73"/>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6">
      <c r="A704" s="27"/>
      <c r="B704" s="27"/>
      <c r="C704" s="27"/>
      <c r="D704" s="73"/>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6">
      <c r="A705" s="27"/>
      <c r="B705" s="27"/>
      <c r="C705" s="27"/>
      <c r="D705" s="73"/>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6">
      <c r="A706" s="27"/>
      <c r="B706" s="27"/>
      <c r="C706" s="27"/>
      <c r="D706" s="73"/>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6">
      <c r="A707" s="27"/>
      <c r="B707" s="27"/>
      <c r="C707" s="27"/>
      <c r="D707" s="73"/>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6">
      <c r="A708" s="27"/>
      <c r="B708" s="27"/>
      <c r="C708" s="27"/>
      <c r="D708" s="73"/>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6">
      <c r="A709" s="27"/>
      <c r="B709" s="27"/>
      <c r="C709" s="27"/>
      <c r="D709" s="73"/>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6">
      <c r="A710" s="27"/>
      <c r="B710" s="27"/>
      <c r="C710" s="27"/>
      <c r="D710" s="73"/>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6">
      <c r="A711" s="27"/>
      <c r="B711" s="27"/>
      <c r="C711" s="27"/>
      <c r="D711" s="73"/>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6">
      <c r="A712" s="27"/>
      <c r="B712" s="27"/>
      <c r="C712" s="27"/>
      <c r="D712" s="73"/>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6">
      <c r="A713" s="27"/>
      <c r="B713" s="27"/>
      <c r="C713" s="27"/>
      <c r="D713" s="73"/>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6">
      <c r="A714" s="27"/>
      <c r="B714" s="27"/>
      <c r="C714" s="27"/>
      <c r="D714" s="73"/>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6">
      <c r="A715" s="27"/>
      <c r="B715" s="27"/>
      <c r="C715" s="27"/>
      <c r="D715" s="73"/>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6">
      <c r="A716" s="27"/>
      <c r="B716" s="27"/>
      <c r="C716" s="27"/>
      <c r="D716" s="73"/>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6">
      <c r="A717" s="27"/>
      <c r="B717" s="27"/>
      <c r="C717" s="27"/>
      <c r="D717" s="73"/>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6">
      <c r="A718" s="27"/>
      <c r="B718" s="27"/>
      <c r="C718" s="27"/>
      <c r="D718" s="73"/>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6">
      <c r="A719" s="27"/>
      <c r="B719" s="27"/>
      <c r="C719" s="27"/>
      <c r="D719" s="73"/>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6">
      <c r="A720" s="27"/>
      <c r="B720" s="27"/>
      <c r="C720" s="27"/>
      <c r="D720" s="73"/>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6">
      <c r="A721" s="27"/>
      <c r="B721" s="27"/>
      <c r="C721" s="27"/>
      <c r="D721" s="73"/>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6">
      <c r="A722" s="27"/>
      <c r="B722" s="27"/>
      <c r="C722" s="27"/>
      <c r="D722" s="73"/>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6">
      <c r="A723" s="27"/>
      <c r="B723" s="27"/>
      <c r="C723" s="27"/>
      <c r="D723" s="73"/>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6">
      <c r="A724" s="27"/>
      <c r="B724" s="27"/>
      <c r="C724" s="27"/>
      <c r="D724" s="73"/>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6">
      <c r="A725" s="27"/>
      <c r="B725" s="27"/>
      <c r="C725" s="27"/>
      <c r="D725" s="73"/>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6">
      <c r="A726" s="27"/>
      <c r="B726" s="27"/>
      <c r="C726" s="27"/>
      <c r="D726" s="73"/>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6">
      <c r="A727" s="27"/>
      <c r="B727" s="27"/>
      <c r="C727" s="27"/>
      <c r="D727" s="73"/>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6">
      <c r="A728" s="27"/>
      <c r="B728" s="27"/>
      <c r="C728" s="27"/>
      <c r="D728" s="73"/>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6">
      <c r="A729" s="27"/>
      <c r="B729" s="27"/>
      <c r="C729" s="27"/>
      <c r="D729" s="73"/>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6">
      <c r="A730" s="27"/>
      <c r="B730" s="27"/>
      <c r="C730" s="27"/>
      <c r="D730" s="73"/>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6">
      <c r="A731" s="27"/>
      <c r="B731" s="27"/>
      <c r="C731" s="27"/>
      <c r="D731" s="73"/>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6">
      <c r="A732" s="27"/>
      <c r="B732" s="27"/>
      <c r="C732" s="27"/>
      <c r="D732" s="73"/>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6">
      <c r="A733" s="27"/>
      <c r="B733" s="27"/>
      <c r="C733" s="27"/>
      <c r="D733" s="73"/>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6">
      <c r="A734" s="27"/>
      <c r="B734" s="27"/>
      <c r="C734" s="27"/>
      <c r="D734" s="73"/>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6">
      <c r="A735" s="27"/>
      <c r="B735" s="27"/>
      <c r="C735" s="27"/>
      <c r="D735" s="73"/>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6">
      <c r="A736" s="27"/>
      <c r="B736" s="27"/>
      <c r="C736" s="27"/>
      <c r="D736" s="73"/>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6">
      <c r="A737" s="27"/>
      <c r="B737" s="27"/>
      <c r="C737" s="27"/>
      <c r="D737" s="73"/>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6">
      <c r="A738" s="27"/>
      <c r="B738" s="27"/>
      <c r="C738" s="27"/>
      <c r="D738" s="73"/>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6">
      <c r="A739" s="27"/>
      <c r="B739" s="27"/>
      <c r="C739" s="27"/>
      <c r="D739" s="73"/>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6">
      <c r="A740" s="27"/>
      <c r="B740" s="27"/>
      <c r="C740" s="27"/>
      <c r="D740" s="73"/>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6">
      <c r="A741" s="27"/>
      <c r="B741" s="27"/>
      <c r="C741" s="27"/>
      <c r="D741" s="73"/>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6">
      <c r="A742" s="27"/>
      <c r="B742" s="27"/>
      <c r="C742" s="27"/>
      <c r="D742" s="73"/>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6">
      <c r="A743" s="27"/>
      <c r="B743" s="27"/>
      <c r="C743" s="27"/>
      <c r="D743" s="73"/>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6">
      <c r="A744" s="27"/>
      <c r="B744" s="27"/>
      <c r="C744" s="27"/>
      <c r="D744" s="73"/>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6">
      <c r="A745" s="27"/>
      <c r="B745" s="27"/>
      <c r="C745" s="27"/>
      <c r="D745" s="73"/>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6">
      <c r="A746" s="27"/>
      <c r="B746" s="27"/>
      <c r="C746" s="27"/>
      <c r="D746" s="73"/>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6">
      <c r="A747" s="27"/>
      <c r="B747" s="27"/>
      <c r="C747" s="27"/>
      <c r="D747" s="73"/>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6">
      <c r="A748" s="27"/>
      <c r="B748" s="27"/>
      <c r="C748" s="27"/>
      <c r="D748" s="73"/>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6">
      <c r="A749" s="27"/>
      <c r="B749" s="27"/>
      <c r="C749" s="27"/>
      <c r="D749" s="73"/>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6">
      <c r="A750" s="27"/>
      <c r="B750" s="27"/>
      <c r="C750" s="27"/>
      <c r="D750" s="73"/>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6">
      <c r="A751" s="27"/>
      <c r="B751" s="27"/>
      <c r="C751" s="27"/>
      <c r="D751" s="73"/>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6">
      <c r="A752" s="27"/>
      <c r="B752" s="27"/>
      <c r="C752" s="27"/>
      <c r="D752" s="73"/>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6">
      <c r="A753" s="27"/>
      <c r="B753" s="27"/>
      <c r="C753" s="27"/>
      <c r="D753" s="73"/>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6">
      <c r="A754" s="27"/>
      <c r="B754" s="27"/>
      <c r="C754" s="27"/>
      <c r="D754" s="73"/>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6">
      <c r="A755" s="27"/>
      <c r="B755" s="27"/>
      <c r="C755" s="27"/>
      <c r="D755" s="73"/>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6">
      <c r="A756" s="27"/>
      <c r="B756" s="27"/>
      <c r="C756" s="27"/>
      <c r="D756" s="73"/>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6">
      <c r="A757" s="27"/>
      <c r="B757" s="27"/>
      <c r="C757" s="27"/>
      <c r="D757" s="73"/>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6">
      <c r="A758" s="27"/>
      <c r="B758" s="27"/>
      <c r="C758" s="27"/>
      <c r="D758" s="73"/>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6">
      <c r="A759" s="27"/>
      <c r="B759" s="27"/>
      <c r="C759" s="27"/>
      <c r="D759" s="73"/>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6">
      <c r="A760" s="27"/>
      <c r="B760" s="27"/>
      <c r="C760" s="27"/>
      <c r="D760" s="73"/>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6">
      <c r="A761" s="27"/>
      <c r="B761" s="27"/>
      <c r="C761" s="27"/>
      <c r="D761" s="73"/>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6">
      <c r="A762" s="27"/>
      <c r="B762" s="27"/>
      <c r="C762" s="27"/>
      <c r="D762" s="73"/>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6">
      <c r="A763" s="27"/>
      <c r="B763" s="27"/>
      <c r="C763" s="27"/>
      <c r="D763" s="73"/>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6">
      <c r="A764" s="27"/>
      <c r="B764" s="27"/>
      <c r="C764" s="27"/>
      <c r="D764" s="73"/>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6">
      <c r="A765" s="27"/>
      <c r="B765" s="27"/>
      <c r="C765" s="27"/>
      <c r="D765" s="73"/>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6">
      <c r="A766" s="27"/>
      <c r="B766" s="27"/>
      <c r="C766" s="27"/>
      <c r="D766" s="73"/>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6">
      <c r="A767" s="27"/>
      <c r="B767" s="27"/>
      <c r="C767" s="27"/>
      <c r="D767" s="73"/>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6">
      <c r="A768" s="27"/>
      <c r="B768" s="27"/>
      <c r="C768" s="27"/>
      <c r="D768" s="73"/>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6">
      <c r="A769" s="27"/>
      <c r="B769" s="27"/>
      <c r="C769" s="27"/>
      <c r="D769" s="73"/>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6">
      <c r="A770" s="27"/>
      <c r="B770" s="27"/>
      <c r="C770" s="27"/>
      <c r="D770" s="73"/>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6">
      <c r="A771" s="27"/>
      <c r="B771" s="27"/>
      <c r="C771" s="27"/>
      <c r="D771" s="73"/>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6">
      <c r="A772" s="27"/>
      <c r="B772" s="27"/>
      <c r="C772" s="27"/>
      <c r="D772" s="73"/>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6">
      <c r="A773" s="27"/>
      <c r="B773" s="27"/>
      <c r="C773" s="27"/>
      <c r="D773" s="73"/>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6">
      <c r="A774" s="27"/>
      <c r="B774" s="27"/>
      <c r="C774" s="27"/>
      <c r="D774" s="73"/>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6">
      <c r="A775" s="27"/>
      <c r="B775" s="27"/>
      <c r="C775" s="27"/>
      <c r="D775" s="73"/>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6">
      <c r="A776" s="27"/>
      <c r="B776" s="27"/>
      <c r="C776" s="27"/>
      <c r="D776" s="73"/>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6">
      <c r="A777" s="27"/>
      <c r="B777" s="27"/>
      <c r="C777" s="27"/>
      <c r="D777" s="73"/>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6">
      <c r="A778" s="27"/>
      <c r="B778" s="27"/>
      <c r="C778" s="27"/>
      <c r="D778" s="73"/>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6">
      <c r="A779" s="27"/>
      <c r="B779" s="27"/>
      <c r="C779" s="27"/>
      <c r="D779" s="73"/>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6">
      <c r="A780" s="27"/>
      <c r="B780" s="27"/>
      <c r="C780" s="27"/>
      <c r="D780" s="73"/>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6">
      <c r="A781" s="27"/>
      <c r="B781" s="27"/>
      <c r="C781" s="27"/>
      <c r="D781" s="73"/>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6">
      <c r="A782" s="27"/>
      <c r="B782" s="27"/>
      <c r="C782" s="27"/>
      <c r="D782" s="73"/>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6">
      <c r="A783" s="27"/>
      <c r="B783" s="27"/>
      <c r="C783" s="27"/>
      <c r="D783" s="73"/>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6">
      <c r="A784" s="27"/>
      <c r="B784" s="27"/>
      <c r="C784" s="27"/>
      <c r="D784" s="73"/>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6">
      <c r="A785" s="27"/>
      <c r="B785" s="27"/>
      <c r="C785" s="27"/>
      <c r="D785" s="73"/>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6">
      <c r="A786" s="27"/>
      <c r="B786" s="27"/>
      <c r="C786" s="27"/>
      <c r="D786" s="73"/>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6">
      <c r="A787" s="27"/>
      <c r="B787" s="27"/>
      <c r="C787" s="27"/>
      <c r="D787" s="73"/>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6">
      <c r="A788" s="27"/>
      <c r="B788" s="27"/>
      <c r="C788" s="27"/>
      <c r="D788" s="73"/>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6">
      <c r="A789" s="27"/>
      <c r="B789" s="27"/>
      <c r="C789" s="27"/>
      <c r="D789" s="73"/>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6">
      <c r="A790" s="27"/>
      <c r="B790" s="27"/>
      <c r="C790" s="27"/>
      <c r="D790" s="73"/>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6">
      <c r="A791" s="27"/>
      <c r="B791" s="27"/>
      <c r="C791" s="27"/>
      <c r="D791" s="73"/>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6">
      <c r="A792" s="27"/>
      <c r="B792" s="27"/>
      <c r="C792" s="27"/>
      <c r="D792" s="73"/>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6">
      <c r="A793" s="27"/>
      <c r="B793" s="27"/>
      <c r="C793" s="27"/>
      <c r="D793" s="73"/>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6">
      <c r="A794" s="27"/>
      <c r="B794" s="27"/>
      <c r="C794" s="27"/>
      <c r="D794" s="73"/>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6">
      <c r="A795" s="27"/>
      <c r="B795" s="27"/>
      <c r="C795" s="27"/>
      <c r="D795" s="73"/>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6">
      <c r="A796" s="27"/>
      <c r="B796" s="27"/>
      <c r="C796" s="27"/>
      <c r="D796" s="73"/>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6">
      <c r="A797" s="27"/>
      <c r="B797" s="27"/>
      <c r="C797" s="27"/>
      <c r="D797" s="73"/>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6">
      <c r="A798" s="27"/>
      <c r="B798" s="27"/>
      <c r="C798" s="27"/>
      <c r="D798" s="73"/>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6">
      <c r="A799" s="27"/>
      <c r="B799" s="27"/>
      <c r="C799" s="27"/>
      <c r="D799" s="73"/>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6">
      <c r="A800" s="27"/>
      <c r="B800" s="27"/>
      <c r="C800" s="27"/>
      <c r="D800" s="73"/>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6">
      <c r="A801" s="27"/>
      <c r="B801" s="27"/>
      <c r="C801" s="27"/>
      <c r="D801" s="73"/>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6">
      <c r="A802" s="27"/>
      <c r="B802" s="27"/>
      <c r="C802" s="27"/>
      <c r="D802" s="73"/>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6">
      <c r="A803" s="27"/>
      <c r="B803" s="27"/>
      <c r="C803" s="27"/>
      <c r="D803" s="73"/>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6">
      <c r="A804" s="27"/>
      <c r="B804" s="27"/>
      <c r="C804" s="27"/>
      <c r="D804" s="73"/>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6">
      <c r="A805" s="27"/>
      <c r="B805" s="27"/>
      <c r="C805" s="27"/>
      <c r="D805" s="73"/>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6">
      <c r="A806" s="27"/>
      <c r="B806" s="27"/>
      <c r="C806" s="27"/>
      <c r="D806" s="73"/>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6">
      <c r="A807" s="27"/>
      <c r="B807" s="27"/>
      <c r="C807" s="27"/>
      <c r="D807" s="73"/>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6">
      <c r="A808" s="27"/>
      <c r="B808" s="27"/>
      <c r="C808" s="27"/>
      <c r="D808" s="73"/>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6">
      <c r="A809" s="27"/>
      <c r="B809" s="27"/>
      <c r="C809" s="27"/>
      <c r="D809" s="73"/>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6">
      <c r="A810" s="27"/>
      <c r="B810" s="27"/>
      <c r="C810" s="27"/>
      <c r="D810" s="73"/>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6">
      <c r="A811" s="27"/>
      <c r="B811" s="27"/>
      <c r="C811" s="27"/>
      <c r="D811" s="73"/>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6">
      <c r="A812" s="27"/>
      <c r="B812" s="27"/>
      <c r="C812" s="27"/>
      <c r="D812" s="73"/>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6">
      <c r="A813" s="27"/>
      <c r="B813" s="27"/>
      <c r="C813" s="27"/>
      <c r="D813" s="73"/>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6">
      <c r="A814" s="27"/>
      <c r="B814" s="27"/>
      <c r="C814" s="27"/>
      <c r="D814" s="73"/>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6">
      <c r="A815" s="27"/>
      <c r="B815" s="27"/>
      <c r="C815" s="27"/>
      <c r="D815" s="73"/>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6">
      <c r="A816" s="27"/>
      <c r="B816" s="27"/>
      <c r="C816" s="27"/>
      <c r="D816" s="73"/>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6">
      <c r="A817" s="27"/>
      <c r="B817" s="27"/>
      <c r="C817" s="27"/>
      <c r="D817" s="73"/>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6">
      <c r="A818" s="27"/>
      <c r="B818" s="27"/>
      <c r="C818" s="27"/>
      <c r="D818" s="73"/>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6">
      <c r="A819" s="27"/>
      <c r="B819" s="27"/>
      <c r="C819" s="27"/>
      <c r="D819" s="73"/>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6">
      <c r="A820" s="27"/>
      <c r="B820" s="27"/>
      <c r="C820" s="27"/>
      <c r="D820" s="73"/>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6">
      <c r="A821" s="27"/>
      <c r="B821" s="27"/>
      <c r="C821" s="27"/>
      <c r="D821" s="73"/>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6">
      <c r="A822" s="27"/>
      <c r="B822" s="27"/>
      <c r="C822" s="27"/>
      <c r="D822" s="73"/>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6">
      <c r="A823" s="27"/>
      <c r="B823" s="27"/>
      <c r="C823" s="27"/>
      <c r="D823" s="73"/>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6">
      <c r="A824" s="27"/>
      <c r="B824" s="27"/>
      <c r="C824" s="27"/>
      <c r="D824" s="73"/>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6">
      <c r="A825" s="27"/>
      <c r="B825" s="27"/>
      <c r="C825" s="27"/>
      <c r="D825" s="73"/>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6">
      <c r="A826" s="27"/>
      <c r="B826" s="27"/>
      <c r="C826" s="27"/>
      <c r="D826" s="73"/>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6">
      <c r="A827" s="27"/>
      <c r="B827" s="27"/>
      <c r="C827" s="27"/>
      <c r="D827" s="73"/>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6">
      <c r="A828" s="27"/>
      <c r="B828" s="27"/>
      <c r="C828" s="27"/>
      <c r="D828" s="73"/>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6">
      <c r="A829" s="27"/>
      <c r="B829" s="27"/>
      <c r="C829" s="27"/>
      <c r="D829" s="73"/>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6">
      <c r="A830" s="27"/>
      <c r="B830" s="27"/>
      <c r="C830" s="27"/>
      <c r="D830" s="73"/>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6">
      <c r="A831" s="27"/>
      <c r="B831" s="27"/>
      <c r="C831" s="27"/>
      <c r="D831" s="73"/>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6">
      <c r="A832" s="27"/>
      <c r="B832" s="27"/>
      <c r="C832" s="27"/>
      <c r="D832" s="73"/>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6">
      <c r="A833" s="27"/>
      <c r="B833" s="27"/>
      <c r="C833" s="27"/>
      <c r="D833" s="73"/>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6">
      <c r="A834" s="27"/>
      <c r="B834" s="27"/>
      <c r="C834" s="27"/>
      <c r="D834" s="73"/>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6">
      <c r="A835" s="27"/>
      <c r="B835" s="27"/>
      <c r="C835" s="27"/>
      <c r="D835" s="73"/>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6">
      <c r="A836" s="27"/>
      <c r="B836" s="27"/>
      <c r="C836" s="27"/>
      <c r="D836" s="73"/>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6">
      <c r="A837" s="27"/>
      <c r="B837" s="27"/>
      <c r="C837" s="27"/>
      <c r="D837" s="73"/>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6">
      <c r="A838" s="27"/>
      <c r="B838" s="27"/>
      <c r="C838" s="27"/>
      <c r="D838" s="73"/>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6">
      <c r="A839" s="27"/>
      <c r="B839" s="27"/>
      <c r="C839" s="27"/>
      <c r="D839" s="73"/>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6">
      <c r="A840" s="27"/>
      <c r="B840" s="27"/>
      <c r="C840" s="27"/>
      <c r="D840" s="73"/>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6">
      <c r="A841" s="27"/>
      <c r="B841" s="27"/>
      <c r="C841" s="27"/>
      <c r="D841" s="73"/>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6">
      <c r="A842" s="27"/>
      <c r="B842" s="27"/>
      <c r="C842" s="27"/>
      <c r="D842" s="73"/>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6">
      <c r="A843" s="27"/>
      <c r="B843" s="27"/>
      <c r="C843" s="27"/>
      <c r="D843" s="73"/>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6">
      <c r="A844" s="27"/>
      <c r="B844" s="27"/>
      <c r="C844" s="27"/>
      <c r="D844" s="73"/>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6">
      <c r="A845" s="27"/>
      <c r="B845" s="27"/>
      <c r="C845" s="27"/>
      <c r="D845" s="73"/>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6">
      <c r="A846" s="27"/>
      <c r="B846" s="27"/>
      <c r="C846" s="27"/>
      <c r="D846" s="73"/>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6">
      <c r="A847" s="27"/>
      <c r="B847" s="27"/>
      <c r="C847" s="27"/>
      <c r="D847" s="73"/>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6">
      <c r="A848" s="27"/>
      <c r="B848" s="27"/>
      <c r="C848" s="27"/>
      <c r="D848" s="73"/>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6">
      <c r="A849" s="27"/>
      <c r="B849" s="27"/>
      <c r="C849" s="27"/>
      <c r="D849" s="73"/>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6">
      <c r="A850" s="27"/>
      <c r="B850" s="27"/>
      <c r="C850" s="27"/>
      <c r="D850" s="73"/>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6">
      <c r="A851" s="27"/>
      <c r="B851" s="27"/>
      <c r="C851" s="27"/>
      <c r="D851" s="73"/>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6">
      <c r="A852" s="27"/>
      <c r="B852" s="27"/>
      <c r="C852" s="27"/>
      <c r="D852" s="73"/>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6">
      <c r="A853" s="27"/>
      <c r="B853" s="27"/>
      <c r="C853" s="27"/>
      <c r="D853" s="73"/>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6">
      <c r="A854" s="27"/>
      <c r="B854" s="27"/>
      <c r="C854" s="27"/>
      <c r="D854" s="73"/>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6">
      <c r="A855" s="27"/>
      <c r="B855" s="27"/>
      <c r="C855" s="27"/>
      <c r="D855" s="73"/>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6">
      <c r="A856" s="27"/>
      <c r="B856" s="27"/>
      <c r="C856" s="27"/>
      <c r="D856" s="73"/>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6">
      <c r="A857" s="27"/>
      <c r="B857" s="27"/>
      <c r="C857" s="27"/>
      <c r="D857" s="73"/>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6">
      <c r="A858" s="27"/>
      <c r="B858" s="27"/>
      <c r="C858" s="27"/>
      <c r="D858" s="73"/>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6">
      <c r="A859" s="27"/>
      <c r="B859" s="27"/>
      <c r="C859" s="27"/>
      <c r="D859" s="73"/>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6">
      <c r="A860" s="27"/>
      <c r="B860" s="27"/>
      <c r="C860" s="27"/>
      <c r="D860" s="73"/>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6">
      <c r="A861" s="27"/>
      <c r="B861" s="27"/>
      <c r="C861" s="27"/>
      <c r="D861" s="73"/>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6">
      <c r="A862" s="27"/>
      <c r="B862" s="27"/>
      <c r="C862" s="27"/>
      <c r="D862" s="73"/>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6">
      <c r="A863" s="27"/>
      <c r="B863" s="27"/>
      <c r="C863" s="27"/>
      <c r="D863" s="73"/>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6">
      <c r="A864" s="27"/>
      <c r="B864" s="27"/>
      <c r="C864" s="27"/>
      <c r="D864" s="73"/>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6">
      <c r="A865" s="27"/>
      <c r="B865" s="27"/>
      <c r="C865" s="27"/>
      <c r="D865" s="73"/>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6">
      <c r="A866" s="27"/>
      <c r="B866" s="27"/>
      <c r="C866" s="27"/>
      <c r="D866" s="73"/>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6">
      <c r="A867" s="27"/>
      <c r="B867" s="27"/>
      <c r="C867" s="27"/>
      <c r="D867" s="73"/>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6">
      <c r="A868" s="27"/>
      <c r="B868" s="27"/>
      <c r="C868" s="27"/>
      <c r="D868" s="73"/>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6">
      <c r="A869" s="27"/>
      <c r="B869" s="27"/>
      <c r="C869" s="27"/>
      <c r="D869" s="73"/>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6">
      <c r="A870" s="27"/>
      <c r="B870" s="27"/>
      <c r="C870" s="27"/>
      <c r="D870" s="73"/>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6">
      <c r="A871" s="27"/>
      <c r="B871" s="27"/>
      <c r="C871" s="27"/>
      <c r="D871" s="73"/>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6">
      <c r="A872" s="27"/>
      <c r="B872" s="27"/>
      <c r="C872" s="27"/>
      <c r="D872" s="73"/>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6">
      <c r="A873" s="27"/>
      <c r="B873" s="27"/>
      <c r="C873" s="27"/>
      <c r="D873" s="73"/>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6">
      <c r="A874" s="27"/>
      <c r="B874" s="27"/>
      <c r="C874" s="27"/>
      <c r="D874" s="73"/>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6">
      <c r="A875" s="27"/>
      <c r="B875" s="27"/>
      <c r="C875" s="27"/>
      <c r="D875" s="73"/>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6">
      <c r="A876" s="27"/>
      <c r="B876" s="27"/>
      <c r="C876" s="27"/>
      <c r="D876" s="73"/>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6">
      <c r="A877" s="27"/>
      <c r="B877" s="27"/>
      <c r="C877" s="27"/>
      <c r="D877" s="73"/>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6">
      <c r="A878" s="27"/>
      <c r="B878" s="27"/>
      <c r="C878" s="27"/>
      <c r="D878" s="73"/>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6">
      <c r="A879" s="27"/>
      <c r="B879" s="27"/>
      <c r="C879" s="27"/>
      <c r="D879" s="73"/>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6">
      <c r="A880" s="27"/>
      <c r="B880" s="27"/>
      <c r="C880" s="27"/>
      <c r="D880" s="73"/>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6">
      <c r="A881" s="27"/>
      <c r="B881" s="27"/>
      <c r="C881" s="27"/>
      <c r="D881" s="73"/>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6">
      <c r="A882" s="27"/>
      <c r="B882" s="27"/>
      <c r="C882" s="27"/>
      <c r="D882" s="73"/>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6">
      <c r="A883" s="27"/>
      <c r="B883" s="27"/>
      <c r="C883" s="27"/>
      <c r="D883" s="73"/>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6">
      <c r="A884" s="27"/>
      <c r="B884" s="27"/>
      <c r="C884" s="27"/>
      <c r="D884" s="73"/>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6">
      <c r="A885" s="27"/>
      <c r="B885" s="27"/>
      <c r="C885" s="27"/>
      <c r="D885" s="73"/>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6">
      <c r="A886" s="27"/>
      <c r="B886" s="27"/>
      <c r="C886" s="27"/>
      <c r="D886" s="73"/>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6">
      <c r="A887" s="27"/>
      <c r="B887" s="27"/>
      <c r="C887" s="27"/>
      <c r="D887" s="73"/>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6">
      <c r="A888" s="27"/>
      <c r="B888" s="27"/>
      <c r="C888" s="27"/>
      <c r="D888" s="73"/>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6">
      <c r="A889" s="27"/>
      <c r="B889" s="27"/>
      <c r="C889" s="27"/>
      <c r="D889" s="73"/>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6">
      <c r="A890" s="27"/>
      <c r="B890" s="27"/>
      <c r="C890" s="27"/>
      <c r="D890" s="73"/>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6">
      <c r="A891" s="27"/>
      <c r="B891" s="27"/>
      <c r="C891" s="27"/>
      <c r="D891" s="73"/>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6">
      <c r="A892" s="27"/>
      <c r="B892" s="27"/>
      <c r="C892" s="27"/>
      <c r="D892" s="73"/>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6">
      <c r="A893" s="27"/>
      <c r="B893" s="27"/>
      <c r="C893" s="27"/>
      <c r="D893" s="73"/>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6">
      <c r="A894" s="27"/>
      <c r="B894" s="27"/>
      <c r="C894" s="27"/>
      <c r="D894" s="73"/>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6">
      <c r="A895" s="27"/>
      <c r="B895" s="27"/>
      <c r="C895" s="27"/>
      <c r="D895" s="73"/>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6">
      <c r="A896" s="27"/>
      <c r="B896" s="27"/>
      <c r="C896" s="27"/>
      <c r="D896" s="73"/>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6">
      <c r="A897" s="27"/>
      <c r="B897" s="27"/>
      <c r="C897" s="27"/>
      <c r="D897" s="73"/>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6">
      <c r="A898" s="27"/>
      <c r="B898" s="27"/>
      <c r="C898" s="27"/>
      <c r="D898" s="73"/>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6">
      <c r="A899" s="27"/>
      <c r="B899" s="27"/>
      <c r="C899" s="27"/>
      <c r="D899" s="73"/>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6">
      <c r="A900" s="27"/>
      <c r="B900" s="27"/>
      <c r="C900" s="27"/>
      <c r="D900" s="73"/>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6">
      <c r="A901" s="27"/>
      <c r="B901" s="27"/>
      <c r="C901" s="27"/>
      <c r="D901" s="73"/>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6">
      <c r="A902" s="27"/>
      <c r="B902" s="27"/>
      <c r="C902" s="27"/>
      <c r="D902" s="73"/>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6">
      <c r="A903" s="27"/>
      <c r="B903" s="27"/>
      <c r="C903" s="27"/>
      <c r="D903" s="73"/>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6">
      <c r="A904" s="27"/>
      <c r="B904" s="27"/>
      <c r="C904" s="27"/>
      <c r="D904" s="73"/>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6">
      <c r="A905" s="27"/>
      <c r="B905" s="27"/>
      <c r="C905" s="27"/>
      <c r="D905" s="73"/>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6">
      <c r="A906" s="27"/>
      <c r="B906" s="27"/>
      <c r="C906" s="27"/>
      <c r="D906" s="73"/>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6">
      <c r="A907" s="27"/>
      <c r="B907" s="27"/>
      <c r="C907" s="27"/>
      <c r="D907" s="73"/>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6">
      <c r="A908" s="27"/>
      <c r="B908" s="27"/>
      <c r="C908" s="27"/>
      <c r="D908" s="73"/>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6">
      <c r="A909" s="27"/>
      <c r="B909" s="27"/>
      <c r="C909" s="27"/>
      <c r="D909" s="73"/>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6">
      <c r="A910" s="27"/>
      <c r="B910" s="27"/>
      <c r="C910" s="27"/>
      <c r="D910" s="73"/>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6">
      <c r="A911" s="27"/>
      <c r="B911" s="27"/>
      <c r="C911" s="27"/>
      <c r="D911" s="73"/>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6">
      <c r="A912" s="27"/>
      <c r="B912" s="27"/>
      <c r="C912" s="27"/>
      <c r="D912" s="73"/>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6">
      <c r="A913" s="27"/>
      <c r="B913" s="27"/>
      <c r="C913" s="27"/>
      <c r="D913" s="73"/>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6">
      <c r="A914" s="27"/>
      <c r="B914" s="27"/>
      <c r="C914" s="27"/>
      <c r="D914" s="73"/>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6">
      <c r="A915" s="27"/>
      <c r="B915" s="27"/>
      <c r="C915" s="27"/>
      <c r="D915" s="73"/>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6">
      <c r="A916" s="27"/>
      <c r="B916" s="27"/>
      <c r="C916" s="27"/>
      <c r="D916" s="73"/>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6">
      <c r="A917" s="27"/>
      <c r="B917" s="27"/>
      <c r="C917" s="27"/>
      <c r="D917" s="73"/>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6">
      <c r="A918" s="27"/>
      <c r="B918" s="27"/>
      <c r="C918" s="27"/>
      <c r="D918" s="73"/>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6">
      <c r="A919" s="27"/>
      <c r="B919" s="27"/>
      <c r="C919" s="27"/>
      <c r="D919" s="73"/>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6">
      <c r="A920" s="27"/>
      <c r="B920" s="27"/>
      <c r="C920" s="27"/>
      <c r="D920" s="73"/>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6">
      <c r="A921" s="27"/>
      <c r="B921" s="27"/>
      <c r="C921" s="27"/>
      <c r="D921" s="73"/>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6">
      <c r="A922" s="27"/>
      <c r="B922" s="27"/>
      <c r="C922" s="27"/>
      <c r="D922" s="73"/>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6">
      <c r="A923" s="27"/>
      <c r="B923" s="27"/>
      <c r="C923" s="27"/>
      <c r="D923" s="73"/>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6">
      <c r="A924" s="27"/>
      <c r="B924" s="27"/>
      <c r="C924" s="27"/>
      <c r="D924" s="73"/>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6">
      <c r="A925" s="27"/>
      <c r="B925" s="27"/>
      <c r="C925" s="27"/>
      <c r="D925" s="73"/>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6">
      <c r="A926" s="27"/>
      <c r="B926" s="27"/>
      <c r="C926" s="27"/>
      <c r="D926" s="73"/>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6">
      <c r="A927" s="27"/>
      <c r="B927" s="27"/>
      <c r="C927" s="27"/>
      <c r="D927" s="73"/>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6">
      <c r="A928" s="27"/>
      <c r="B928" s="27"/>
      <c r="C928" s="27"/>
      <c r="D928" s="73"/>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6">
      <c r="A929" s="27"/>
      <c r="B929" s="27"/>
      <c r="C929" s="27"/>
      <c r="D929" s="73"/>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6">
      <c r="A930" s="27"/>
      <c r="B930" s="27"/>
      <c r="C930" s="27"/>
      <c r="D930" s="73"/>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6">
      <c r="A931" s="27"/>
      <c r="B931" s="27"/>
      <c r="C931" s="27"/>
      <c r="D931" s="73"/>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6">
      <c r="A932" s="27"/>
      <c r="B932" s="27"/>
      <c r="C932" s="27"/>
      <c r="D932" s="73"/>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6">
      <c r="A933" s="27"/>
      <c r="B933" s="27"/>
      <c r="C933" s="27"/>
      <c r="D933" s="73"/>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6">
      <c r="A934" s="27"/>
      <c r="B934" s="27"/>
      <c r="C934" s="27"/>
      <c r="D934" s="73"/>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6">
      <c r="A935" s="27"/>
      <c r="B935" s="27"/>
      <c r="C935" s="27"/>
      <c r="D935" s="73"/>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6">
      <c r="A936" s="27"/>
      <c r="B936" s="27"/>
      <c r="C936" s="27"/>
      <c r="D936" s="73"/>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6">
      <c r="A937" s="27"/>
      <c r="B937" s="27"/>
      <c r="C937" s="27"/>
      <c r="D937" s="73"/>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6">
      <c r="A938" s="27"/>
      <c r="B938" s="27"/>
      <c r="C938" s="27"/>
      <c r="D938" s="73"/>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6">
      <c r="A939" s="27"/>
      <c r="B939" s="27"/>
      <c r="C939" s="27"/>
      <c r="D939" s="73"/>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6">
      <c r="A940" s="27"/>
      <c r="B940" s="27"/>
      <c r="C940" s="27"/>
      <c r="D940" s="73"/>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6">
      <c r="A941" s="27"/>
      <c r="B941" s="27"/>
      <c r="C941" s="27"/>
      <c r="D941" s="73"/>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6">
      <c r="A942" s="27"/>
      <c r="B942" s="27"/>
      <c r="C942" s="27"/>
      <c r="D942" s="73"/>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6">
      <c r="A943" s="27"/>
      <c r="B943" s="27"/>
      <c r="C943" s="27"/>
      <c r="D943" s="73"/>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6">
      <c r="A944" s="27"/>
      <c r="B944" s="27"/>
      <c r="C944" s="27"/>
      <c r="D944" s="73"/>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6">
      <c r="A945" s="27"/>
      <c r="B945" s="27"/>
      <c r="C945" s="27"/>
      <c r="D945" s="73"/>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6">
      <c r="A946" s="27"/>
      <c r="B946" s="27"/>
      <c r="C946" s="27"/>
      <c r="D946" s="73"/>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6">
      <c r="A947" s="27"/>
      <c r="B947" s="27"/>
      <c r="C947" s="27"/>
      <c r="D947" s="73"/>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6">
      <c r="A948" s="27"/>
      <c r="B948" s="27"/>
      <c r="C948" s="27"/>
      <c r="D948" s="73"/>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6">
      <c r="A949" s="27"/>
      <c r="B949" s="27"/>
      <c r="C949" s="27"/>
      <c r="D949" s="73"/>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6">
      <c r="A950" s="27"/>
      <c r="B950" s="27"/>
      <c r="C950" s="27"/>
      <c r="D950" s="73"/>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6">
      <c r="A951" s="27"/>
      <c r="B951" s="27"/>
      <c r="C951" s="27"/>
      <c r="D951" s="73"/>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6">
      <c r="A952" s="27"/>
      <c r="B952" s="27"/>
      <c r="C952" s="27"/>
      <c r="D952" s="73"/>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6">
      <c r="A953" s="27"/>
      <c r="B953" s="27"/>
      <c r="C953" s="27"/>
      <c r="D953" s="73"/>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6">
      <c r="A954" s="27"/>
      <c r="B954" s="27"/>
      <c r="C954" s="27"/>
      <c r="D954" s="73"/>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6">
      <c r="A955" s="27"/>
      <c r="B955" s="27"/>
      <c r="C955" s="27"/>
      <c r="D955" s="73"/>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6">
      <c r="A956" s="27"/>
      <c r="B956" s="27"/>
      <c r="C956" s="27"/>
      <c r="D956" s="73"/>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6">
      <c r="A957" s="27"/>
      <c r="B957" s="27"/>
      <c r="C957" s="27"/>
      <c r="D957" s="73"/>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6">
      <c r="A958" s="27"/>
      <c r="B958" s="27"/>
      <c r="C958" s="27"/>
      <c r="D958" s="73"/>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6">
      <c r="A959" s="27"/>
      <c r="B959" s="27"/>
      <c r="C959" s="27"/>
      <c r="D959" s="73"/>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6">
      <c r="A960" s="27"/>
      <c r="B960" s="27"/>
      <c r="C960" s="27"/>
      <c r="D960" s="73"/>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6">
      <c r="A961" s="27"/>
      <c r="B961" s="27"/>
      <c r="C961" s="27"/>
      <c r="D961" s="73"/>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6">
      <c r="A962" s="27"/>
      <c r="B962" s="27"/>
      <c r="C962" s="27"/>
      <c r="D962" s="73"/>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6">
      <c r="A963" s="27"/>
      <c r="B963" s="27"/>
      <c r="C963" s="27"/>
      <c r="D963" s="73"/>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6">
      <c r="A964" s="27"/>
      <c r="B964" s="27"/>
      <c r="C964" s="27"/>
      <c r="D964" s="73"/>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6">
      <c r="A965" s="27"/>
      <c r="B965" s="27"/>
      <c r="C965" s="27"/>
      <c r="D965" s="73"/>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6">
      <c r="A966" s="27"/>
      <c r="B966" s="27"/>
      <c r="C966" s="27"/>
      <c r="D966" s="73"/>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6">
      <c r="A967" s="27"/>
      <c r="B967" s="27"/>
      <c r="C967" s="27"/>
      <c r="D967" s="73"/>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6">
      <c r="A968" s="27"/>
      <c r="B968" s="27"/>
      <c r="C968" s="27"/>
      <c r="D968" s="73"/>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6">
      <c r="A969" s="27"/>
      <c r="B969" s="27"/>
      <c r="C969" s="27"/>
      <c r="D969" s="73"/>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6">
      <c r="A970" s="27"/>
      <c r="B970" s="27"/>
      <c r="C970" s="27"/>
      <c r="D970" s="73"/>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6">
      <c r="A971" s="27"/>
      <c r="B971" s="27"/>
      <c r="C971" s="27"/>
      <c r="D971" s="73"/>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6">
      <c r="A972" s="27"/>
      <c r="B972" s="27"/>
      <c r="C972" s="27"/>
      <c r="D972" s="73"/>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6">
      <c r="A973" s="27"/>
      <c r="B973" s="27"/>
      <c r="C973" s="27"/>
      <c r="D973" s="73"/>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6">
      <c r="A974" s="27"/>
      <c r="B974" s="27"/>
      <c r="C974" s="27"/>
      <c r="D974" s="73"/>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6">
      <c r="A975" s="27"/>
      <c r="B975" s="27"/>
      <c r="C975" s="27"/>
      <c r="D975" s="73"/>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6">
      <c r="A976" s="27"/>
      <c r="B976" s="27"/>
      <c r="C976" s="27"/>
      <c r="D976" s="73"/>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6">
      <c r="A977" s="27"/>
      <c r="B977" s="27"/>
      <c r="C977" s="27"/>
      <c r="D977" s="73"/>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6">
      <c r="A978" s="27"/>
      <c r="B978" s="27"/>
      <c r="C978" s="27"/>
      <c r="D978" s="73"/>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6">
      <c r="A979" s="27"/>
      <c r="B979" s="27"/>
      <c r="C979" s="27"/>
      <c r="D979" s="73"/>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6">
      <c r="A980" s="27"/>
      <c r="B980" s="27"/>
      <c r="C980" s="27"/>
      <c r="D980" s="73"/>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6">
      <c r="A981" s="27"/>
      <c r="B981" s="27"/>
      <c r="C981" s="27"/>
      <c r="D981" s="73"/>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6">
      <c r="A982" s="27"/>
      <c r="B982" s="27"/>
      <c r="C982" s="27"/>
      <c r="D982" s="73"/>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6">
      <c r="A983" s="27"/>
      <c r="B983" s="27"/>
      <c r="C983" s="27"/>
      <c r="D983" s="73"/>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6">
      <c r="A984" s="27"/>
      <c r="B984" s="27"/>
      <c r="C984" s="27"/>
      <c r="D984" s="73"/>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6">
      <c r="A985" s="27"/>
      <c r="B985" s="27"/>
      <c r="C985" s="27"/>
      <c r="D985" s="73"/>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6">
      <c r="A986" s="27"/>
      <c r="B986" s="27"/>
      <c r="C986" s="27"/>
      <c r="D986" s="73"/>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6">
      <c r="A987" s="27"/>
      <c r="B987" s="27"/>
      <c r="C987" s="27"/>
      <c r="D987" s="73"/>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6">
      <c r="A988" s="27"/>
      <c r="B988" s="27"/>
      <c r="C988" s="27"/>
      <c r="D988" s="73"/>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6">
      <c r="A989" s="27"/>
      <c r="B989" s="27"/>
      <c r="C989" s="27"/>
      <c r="D989" s="73"/>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6">
      <c r="A990" s="27"/>
      <c r="B990" s="27"/>
      <c r="C990" s="27"/>
      <c r="D990" s="73"/>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6">
      <c r="A991" s="27"/>
      <c r="B991" s="27"/>
      <c r="C991" s="27"/>
      <c r="D991" s="73"/>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6">
      <c r="A992" s="27"/>
      <c r="B992" s="27"/>
      <c r="C992" s="27"/>
      <c r="D992" s="73"/>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6">
      <c r="A993" s="27"/>
      <c r="B993" s="27"/>
      <c r="C993" s="27"/>
      <c r="D993" s="73"/>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6">
      <c r="A994" s="27"/>
      <c r="B994" s="27"/>
      <c r="C994" s="27"/>
      <c r="D994" s="73"/>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6">
      <c r="A995" s="27"/>
      <c r="B995" s="27"/>
      <c r="C995" s="27"/>
      <c r="D995" s="73"/>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6">
      <c r="A996" s="27"/>
      <c r="B996" s="27"/>
      <c r="C996" s="27"/>
      <c r="D996" s="73"/>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6">
      <c r="A997" s="27"/>
      <c r="B997" s="27"/>
      <c r="C997" s="27"/>
      <c r="D997" s="73"/>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6">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sheetData>
  <mergeCells count="2">
    <mergeCell ref="B3:C3"/>
    <mergeCell ref="B2:C2"/>
  </mergeCells>
  <hyperlinks>
    <hyperlink ref="A1" location="'Modelo de dominio'!A1" display="&lt;&lt;&lt;Modelo de Dominio" xr:uid="{00000000-0004-0000-0B00-000000000000}"/>
    <hyperlink ref="B1" location="'Objetos de dominio'!A1" display="&lt;&lt;&lt;Objetos de Dominio" xr:uid="{00000000-0004-0000-0B00-000001000000}"/>
    <hyperlink ref="B3" location="'Objetos de dominio'!B7" display="Objeto de dominio que representa la compra de insumos realizada a un proveedor. Se agrupa el total pagado, la fecha de la operación y el proveedor asociado." xr:uid="{00000000-0004-0000-0B00-000002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2"/>
  <sheetViews>
    <sheetView workbookViewId="0">
      <selection activeCell="I21" sqref="I21"/>
    </sheetView>
  </sheetViews>
  <sheetFormatPr baseColWidth="10" defaultRowHeight="12.9"/>
  <cols>
    <col min="1" max="1" width="26" customWidth="1"/>
    <col min="2" max="2" width="29.125" customWidth="1"/>
    <col min="3" max="3" width="18.75" customWidth="1"/>
    <col min="4" max="4" width="35.75" customWidth="1"/>
    <col min="5" max="5" width="18.25" customWidth="1"/>
    <col min="6" max="6" width="18.25" style="614" customWidth="1"/>
    <col min="7" max="7" width="20" customWidth="1"/>
  </cols>
  <sheetData>
    <row r="1" spans="1:7" ht="28.55" customHeight="1">
      <c r="A1" s="76" t="s">
        <v>0</v>
      </c>
      <c r="B1" s="132" t="s">
        <v>1</v>
      </c>
      <c r="E1" s="201"/>
      <c r="F1" s="609"/>
    </row>
    <row r="2" spans="1:7" ht="86.3" customHeight="1">
      <c r="A2" s="35" t="s">
        <v>798</v>
      </c>
      <c r="B2" s="35" t="s">
        <v>799</v>
      </c>
      <c r="C2" s="35" t="s">
        <v>800</v>
      </c>
      <c r="D2" s="35" t="s">
        <v>1144</v>
      </c>
      <c r="E2" s="35" t="s">
        <v>1145</v>
      </c>
      <c r="F2" s="610" t="s">
        <v>1146</v>
      </c>
      <c r="G2" s="42" t="s">
        <v>801</v>
      </c>
    </row>
    <row r="3" spans="1:7" ht="12.75" customHeight="1">
      <c r="A3" s="29" t="s">
        <v>8</v>
      </c>
      <c r="B3" s="30" t="s">
        <v>750</v>
      </c>
      <c r="C3" s="30" t="s">
        <v>643</v>
      </c>
      <c r="D3" s="30" t="s">
        <v>483</v>
      </c>
      <c r="E3" s="30" t="s">
        <v>28</v>
      </c>
      <c r="F3" s="654" t="s">
        <v>643</v>
      </c>
      <c r="G3" s="30" t="s">
        <v>752</v>
      </c>
    </row>
    <row r="4" spans="1:7">
      <c r="A4" s="90" t="s">
        <v>14</v>
      </c>
      <c r="B4" s="90" t="s">
        <v>15</v>
      </c>
      <c r="C4" s="90" t="s">
        <v>15</v>
      </c>
      <c r="D4" s="90" t="s">
        <v>15</v>
      </c>
      <c r="E4" s="90" t="s">
        <v>15</v>
      </c>
      <c r="F4" s="655" t="s">
        <v>15</v>
      </c>
      <c r="G4" s="90" t="s">
        <v>15</v>
      </c>
    </row>
    <row r="5" spans="1:7">
      <c r="A5" s="343" t="s">
        <v>16</v>
      </c>
      <c r="B5" s="344" t="s">
        <v>20</v>
      </c>
      <c r="C5" s="345" t="s">
        <v>1147</v>
      </c>
      <c r="D5" s="345" t="s">
        <v>802</v>
      </c>
      <c r="E5" s="346" t="s">
        <v>803</v>
      </c>
      <c r="F5" s="345" t="s">
        <v>1128</v>
      </c>
      <c r="G5" s="347" t="s">
        <v>804</v>
      </c>
    </row>
    <row r="6" spans="1:7">
      <c r="A6" s="218">
        <v>1</v>
      </c>
      <c r="B6" s="348" t="s">
        <v>805</v>
      </c>
      <c r="C6" s="213" t="s">
        <v>100</v>
      </c>
      <c r="D6" s="213">
        <v>0</v>
      </c>
      <c r="E6" s="302" t="str">
        <f>HYPERLINK("#'M-UnidadMedida'!B6", 'M-UnidadMedida'!B6)</f>
        <v>g</v>
      </c>
      <c r="F6" s="221" t="s">
        <v>15</v>
      </c>
      <c r="G6" s="213" t="str">
        <f t="shared" ref="G6:G21" si="0">B6</f>
        <v>Masa de Pizza</v>
      </c>
    </row>
    <row r="7" spans="1:7">
      <c r="A7" s="218">
        <v>2</v>
      </c>
      <c r="B7" s="348" t="s">
        <v>806</v>
      </c>
      <c r="C7" s="213" t="s">
        <v>100</v>
      </c>
      <c r="D7" s="213">
        <v>0</v>
      </c>
      <c r="E7" s="302" t="str">
        <f>HYPERLINK("#'M-UnidadMedida'!B6", 'M-UnidadMedida'!B6)</f>
        <v>g</v>
      </c>
      <c r="F7" s="221" t="s">
        <v>15</v>
      </c>
      <c r="G7" s="213" t="str">
        <f t="shared" si="0"/>
        <v>Salsa de Tomate</v>
      </c>
    </row>
    <row r="8" spans="1:7">
      <c r="A8" s="218">
        <v>3</v>
      </c>
      <c r="B8" s="348" t="s">
        <v>170</v>
      </c>
      <c r="C8" s="213" t="s">
        <v>100</v>
      </c>
      <c r="D8" s="213">
        <v>0</v>
      </c>
      <c r="E8" s="302" t="str">
        <f>HYPERLINK("#'M-UnidadMedida'!B8", 'M-UnidadMedida'!B8)</f>
        <v>ml</v>
      </c>
      <c r="F8" s="349" t="s">
        <v>15</v>
      </c>
      <c r="G8" s="213" t="str">
        <f t="shared" si="0"/>
        <v>Aceite de oliva</v>
      </c>
    </row>
    <row r="9" spans="1:7">
      <c r="A9" s="213">
        <v>4</v>
      </c>
      <c r="B9" s="348" t="s">
        <v>185</v>
      </c>
      <c r="C9" s="213" t="s">
        <v>15</v>
      </c>
      <c r="D9" s="213">
        <v>7</v>
      </c>
      <c r="E9" s="302" t="str">
        <f>HYPERLINK("#'M-UnidadMedida'!B6", 'M-UnidadMedida'!B6)</f>
        <v>g</v>
      </c>
      <c r="F9" s="221" t="s">
        <v>15</v>
      </c>
      <c r="G9" s="213" t="str">
        <f t="shared" si="0"/>
        <v>Queso</v>
      </c>
    </row>
    <row r="10" spans="1:7">
      <c r="A10" s="213">
        <v>5</v>
      </c>
      <c r="B10" s="348" t="s">
        <v>807</v>
      </c>
      <c r="C10" s="213" t="s">
        <v>15</v>
      </c>
      <c r="D10" s="213">
        <v>8</v>
      </c>
      <c r="E10" s="302" t="str">
        <f>HYPERLINK("#'M-UnidadMedida'!B6", 'M-UnidadMedida'!B6)</f>
        <v>g</v>
      </c>
      <c r="F10" s="221" t="s">
        <v>15</v>
      </c>
      <c r="G10" s="213" t="str">
        <f t="shared" si="0"/>
        <v>Albahaca</v>
      </c>
    </row>
    <row r="11" spans="1:7">
      <c r="A11" s="218">
        <v>6</v>
      </c>
      <c r="B11" s="348" t="s">
        <v>808</v>
      </c>
      <c r="C11" s="213" t="s">
        <v>100</v>
      </c>
      <c r="D11" s="213">
        <v>0</v>
      </c>
      <c r="E11" s="302" t="str">
        <f>HYPERLINK("#'M-UnidadMedida'!B6", 'M-UnidadMedida'!B6)</f>
        <v>g</v>
      </c>
      <c r="F11" s="221" t="s">
        <v>15</v>
      </c>
      <c r="G11" s="213" t="str">
        <f t="shared" si="0"/>
        <v>Azucar</v>
      </c>
    </row>
    <row r="12" spans="1:7">
      <c r="A12" s="218">
        <v>7</v>
      </c>
      <c r="B12" s="348" t="s">
        <v>754</v>
      </c>
      <c r="C12" s="213" t="s">
        <v>15</v>
      </c>
      <c r="D12" s="213">
        <v>9</v>
      </c>
      <c r="E12" s="302" t="str">
        <f>HYPERLINK("#'M-UnidadMedida'!B6", 'M-UnidadMedida'!B6)</f>
        <v>g</v>
      </c>
      <c r="F12" s="221" t="s">
        <v>15</v>
      </c>
      <c r="G12" s="213" t="str">
        <f t="shared" si="0"/>
        <v>Peperoni</v>
      </c>
    </row>
    <row r="13" spans="1:7">
      <c r="A13" s="218">
        <v>8</v>
      </c>
      <c r="B13" s="213" t="s">
        <v>809</v>
      </c>
      <c r="C13" s="213" t="s">
        <v>15</v>
      </c>
      <c r="D13" s="213">
        <v>6</v>
      </c>
      <c r="E13" s="302" t="str">
        <f>HYPERLINK("#'M-UnidadMedida'!B6", 'M-UnidadMedida'!B6)</f>
        <v>g</v>
      </c>
      <c r="F13" s="221" t="s">
        <v>15</v>
      </c>
      <c r="G13" s="213" t="str">
        <f t="shared" si="0"/>
        <v>Piña</v>
      </c>
    </row>
    <row r="14" spans="1:7">
      <c r="A14" s="213">
        <v>9</v>
      </c>
      <c r="B14" s="213" t="s">
        <v>1160</v>
      </c>
      <c r="C14" s="213" t="s">
        <v>100</v>
      </c>
      <c r="D14" s="213">
        <v>0</v>
      </c>
      <c r="E14" s="302" t="str">
        <f>HYPERLINK("#'M-UnidadMedida'!B6", 'M-UnidadMedida'!B6)</f>
        <v>g</v>
      </c>
      <c r="F14" s="221" t="s">
        <v>15</v>
      </c>
      <c r="G14" s="213" t="str">
        <f t="shared" si="0"/>
        <v>Sal</v>
      </c>
    </row>
    <row r="15" spans="1:7">
      <c r="A15" s="213">
        <v>10</v>
      </c>
      <c r="B15" s="213" t="s">
        <v>810</v>
      </c>
      <c r="C15" s="213" t="s">
        <v>100</v>
      </c>
      <c r="D15" s="213">
        <v>0</v>
      </c>
      <c r="E15" s="302" t="str">
        <f>HYPERLINK("#'M-UnidadMedida'!B8", 'M-UnidadMedida'!B8)</f>
        <v>ml</v>
      </c>
      <c r="F15" s="221" t="s">
        <v>15</v>
      </c>
      <c r="G15" s="213" t="str">
        <f t="shared" si="0"/>
        <v>Leche</v>
      </c>
    </row>
    <row r="16" spans="1:7">
      <c r="A16" s="218">
        <v>11</v>
      </c>
      <c r="B16" s="562" t="s">
        <v>758</v>
      </c>
      <c r="C16" s="213" t="s">
        <v>100</v>
      </c>
      <c r="D16" s="213">
        <v>0</v>
      </c>
      <c r="E16" s="302" t="str">
        <f>HYPERLINK("#'M-UnidadMedida'!B10", 'M-UnidadMedida'!B10)</f>
        <v>und</v>
      </c>
      <c r="F16" s="215" t="s">
        <v>15</v>
      </c>
      <c r="G16" s="213" t="str">
        <f t="shared" si="0"/>
        <v>Jugo Hit Mora 200 ml</v>
      </c>
    </row>
    <row r="17" spans="1:7">
      <c r="A17" s="213">
        <v>12</v>
      </c>
      <c r="B17" s="213" t="s">
        <v>174</v>
      </c>
      <c r="C17" s="213" t="s">
        <v>100</v>
      </c>
      <c r="D17" s="213">
        <v>0</v>
      </c>
      <c r="E17" s="302" t="str">
        <f>HYPERLINK("#'M-UnidadMedida'!B10", 'M-UnidadMedida'!B10)</f>
        <v>und</v>
      </c>
      <c r="F17" s="215" t="s">
        <v>15</v>
      </c>
      <c r="G17" s="213" t="str">
        <f t="shared" si="0"/>
        <v>Pepsi 400 ml</v>
      </c>
    </row>
    <row r="18" spans="1:7">
      <c r="A18" s="213">
        <v>13</v>
      </c>
      <c r="B18" s="562" t="s">
        <v>759</v>
      </c>
      <c r="C18" s="213" t="s">
        <v>100</v>
      </c>
      <c r="D18" s="213">
        <v>0</v>
      </c>
      <c r="E18" s="302" t="str">
        <f>HYPERLINK("#'M-UnidadMedida'!B10", 'M-UnidadMedida'!B10)</f>
        <v>und</v>
      </c>
      <c r="F18" s="215" t="s">
        <v>15</v>
      </c>
      <c r="G18" s="213" t="str">
        <f t="shared" si="0"/>
        <v>Monster 473 ml</v>
      </c>
    </row>
    <row r="19" spans="1:7">
      <c r="A19" s="218">
        <v>14</v>
      </c>
      <c r="B19" s="213" t="s">
        <v>1161</v>
      </c>
      <c r="C19" s="213" t="s">
        <v>100</v>
      </c>
      <c r="D19" s="213">
        <v>0</v>
      </c>
      <c r="E19" s="302" t="str">
        <f>HYPERLINK("#'M-UnidadMedida'!B10", 'M-UnidadMedida'!B10)</f>
        <v>und</v>
      </c>
      <c r="F19" s="215" t="s">
        <v>15</v>
      </c>
      <c r="G19" s="213" t="str">
        <f t="shared" si="0"/>
        <v>Colombiana 400 ml</v>
      </c>
    </row>
    <row r="20" spans="1:7">
      <c r="A20" s="218">
        <v>15</v>
      </c>
      <c r="B20" s="213" t="s">
        <v>1162</v>
      </c>
      <c r="C20" s="213" t="s">
        <v>100</v>
      </c>
      <c r="D20" s="213">
        <v>0</v>
      </c>
      <c r="E20" s="302" t="str">
        <f>HYPERLINK("#'M-UnidadMedida'!B10", 'M-UnidadMedida'!B10)</f>
        <v>und</v>
      </c>
      <c r="F20" s="215" t="s">
        <v>15</v>
      </c>
      <c r="G20" s="213" t="str">
        <f t="shared" si="0"/>
        <v>Mr tea 300 ml</v>
      </c>
    </row>
    <row r="21" spans="1:7">
      <c r="A21" s="218">
        <v>16</v>
      </c>
      <c r="B21" s="213" t="s">
        <v>811</v>
      </c>
      <c r="C21" s="213" t="s">
        <v>15</v>
      </c>
      <c r="D21" s="213">
        <v>10</v>
      </c>
      <c r="E21" s="302" t="str">
        <f>HYPERLINK("#'M-UnidadMedida'!B6", 'M-UnidadMedida'!B6)</f>
        <v>g</v>
      </c>
      <c r="F21" s="302" t="s">
        <v>15</v>
      </c>
      <c r="G21" s="213" t="str">
        <f t="shared" si="0"/>
        <v>Jamón</v>
      </c>
    </row>
    <row r="22" spans="1:7">
      <c r="A22" s="218">
        <v>0</v>
      </c>
      <c r="B22" s="213" t="s">
        <v>1148</v>
      </c>
      <c r="C22" s="213" t="s">
        <v>100</v>
      </c>
      <c r="D22" s="213">
        <v>0</v>
      </c>
      <c r="E22" s="302" t="str">
        <f>HYPERLINK("#'M-UnidadMedida'!B10", 'M-UnidadMedida'!B10)</f>
        <v>und</v>
      </c>
      <c r="F22" s="302" t="s">
        <v>100</v>
      </c>
      <c r="G22" s="213" t="str">
        <f>B22</f>
        <v>Sin insumo</v>
      </c>
    </row>
  </sheetData>
  <hyperlinks>
    <hyperlink ref="A1" location="'Modelo de dominio'!A1" display="&lt;&lt;&lt;Modelo de Dominio" xr:uid="{00000000-0004-0000-3100-000000000000}"/>
    <hyperlink ref="B1" location="'Objetos de dominio'!A1" display="&lt;&lt;&lt;Objetos de Dominio" xr:uid="{00000000-0004-0000-3100-000001000000}"/>
    <hyperlink ref="E5" location="'M-UnidadMedida'!A1" display="TipoMedida" xr:uid="{00000000-0004-0000-3100-000002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WQJ36"/>
  <sheetViews>
    <sheetView topLeftCell="A23" zoomScale="61" workbookViewId="0">
      <selection activeCell="A36" sqref="A36:R36"/>
    </sheetView>
  </sheetViews>
  <sheetFormatPr baseColWidth="10" defaultRowHeight="12.9"/>
  <cols>
    <col min="1" max="1" width="25.75" customWidth="1"/>
    <col min="2" max="2" width="57.125" customWidth="1"/>
    <col min="3" max="3" width="50" customWidth="1"/>
    <col min="4" max="4" width="38.875" customWidth="1"/>
    <col min="5" max="5" width="22.875" customWidth="1"/>
    <col min="6" max="7" width="30.875" customWidth="1"/>
    <col min="8" max="8" width="25.125" customWidth="1"/>
    <col min="9" max="9" width="26.875" customWidth="1"/>
    <col min="10" max="10" width="24.75" customWidth="1"/>
    <col min="11" max="11" width="24.125" customWidth="1"/>
    <col min="12" max="12" width="21.75" customWidth="1"/>
    <col min="13" max="13" width="90" customWidth="1"/>
    <col min="14" max="14" width="17.75" customWidth="1"/>
    <col min="15" max="15" width="35.375" customWidth="1"/>
    <col min="16" max="16" width="29.875" customWidth="1"/>
    <col min="17" max="17" width="49.875" customWidth="1"/>
    <col min="18" max="18" width="45.625" customWidth="1"/>
    <col min="19" max="19" width="25" customWidth="1"/>
    <col min="20" max="20" width="30.875" customWidth="1"/>
    <col min="21" max="21" width="22.875" customWidth="1"/>
    <col min="22" max="22" width="26.125" customWidth="1"/>
    <col min="23" max="23" width="20.875" customWidth="1"/>
    <col min="24" max="24" width="17.375" customWidth="1"/>
    <col min="25" max="25" width="24" customWidth="1"/>
    <col min="26" max="26" width="33.875" bestFit="1" customWidth="1"/>
  </cols>
  <sheetData>
    <row r="1" spans="1:26" ht="18.7" customHeight="1">
      <c r="A1" s="76" t="s">
        <v>0</v>
      </c>
      <c r="B1" s="132" t="s">
        <v>1</v>
      </c>
      <c r="C1" s="25"/>
      <c r="D1" s="25"/>
      <c r="E1" s="25"/>
      <c r="F1" s="25"/>
      <c r="G1" s="25"/>
      <c r="H1" s="25"/>
      <c r="I1" s="25"/>
      <c r="J1" s="25"/>
      <c r="K1" s="25"/>
      <c r="L1" s="25"/>
      <c r="M1" s="25"/>
      <c r="N1" s="25"/>
      <c r="O1" s="25"/>
      <c r="P1" s="25"/>
      <c r="Q1" s="25"/>
      <c r="R1" s="25"/>
      <c r="S1" s="25"/>
      <c r="T1" s="25"/>
      <c r="U1" s="25"/>
    </row>
    <row r="2" spans="1:26" ht="14.95" customHeight="1">
      <c r="A2" s="7" t="s">
        <v>20</v>
      </c>
      <c r="B2" s="585" t="s">
        <v>38</v>
      </c>
    </row>
    <row r="3" spans="1:26" ht="14.95" customHeight="1">
      <c r="A3" s="459" t="s">
        <v>79</v>
      </c>
      <c r="B3" s="1238" t="str">
        <f>HYPERLINK("#'Objetos de dominio'!B10", 'Objetos de dominio'!B11)</f>
        <v>Es cada insumo o producto que la pizzería compra y guarda en su inventario, sin importar si se usa para preparar algo o si se vende directamente al cliente.</v>
      </c>
      <c r="C3" s="1239"/>
      <c r="D3" s="1240"/>
    </row>
    <row r="4" spans="1:26" ht="14.95" customHeight="1">
      <c r="A4" s="456" t="s">
        <v>80</v>
      </c>
      <c r="B4" s="460" t="s">
        <v>81</v>
      </c>
      <c r="C4" s="460" t="s">
        <v>82</v>
      </c>
      <c r="D4" s="460" t="s">
        <v>8</v>
      </c>
      <c r="E4" s="456" t="s">
        <v>14</v>
      </c>
      <c r="F4" s="456" t="s">
        <v>83</v>
      </c>
      <c r="G4" s="456" t="s">
        <v>84</v>
      </c>
      <c r="H4" s="456" t="s">
        <v>85</v>
      </c>
      <c r="I4" s="456" t="s">
        <v>86</v>
      </c>
      <c r="J4" s="456" t="s">
        <v>87</v>
      </c>
      <c r="K4" s="456" t="s">
        <v>88</v>
      </c>
      <c r="L4" s="456" t="s">
        <v>89</v>
      </c>
      <c r="M4" s="456" t="s">
        <v>90</v>
      </c>
      <c r="N4" s="456" t="s">
        <v>91</v>
      </c>
      <c r="O4" s="456" t="s">
        <v>92</v>
      </c>
      <c r="P4" s="456" t="s">
        <v>93</v>
      </c>
      <c r="Q4" s="456" t="s">
        <v>94</v>
      </c>
      <c r="R4" s="456" t="s">
        <v>95</v>
      </c>
      <c r="S4" s="456" t="s">
        <v>96</v>
      </c>
      <c r="T4" s="456" t="s">
        <v>97</v>
      </c>
      <c r="U4" s="493" t="s">
        <v>98</v>
      </c>
      <c r="V4" s="686" t="str">
        <f>HYPERLINK("#'C-ProductoInterno'!A22", 'C-ProductoInterno'!A22)</f>
        <v>Registrar producto interno</v>
      </c>
      <c r="W4" s="1241" t="str">
        <f>HYPERLINK("#'C-ProductoInterno'!A27", 'C-ProductoInterno'!A27)</f>
        <v>Actualizar producto interno</v>
      </c>
      <c r="X4" s="1242"/>
      <c r="Y4" s="703" t="str">
        <f>HYPERLINK("#'C-ProductoInterno'!A32", 'C-ProductoInterno'!A32)</f>
        <v>Inactivar producto interno</v>
      </c>
      <c r="Z4" s="872" t="str">
        <f>HYPERLINK("#'C-ProductoInterno'!A36", 'C-ProductoInterno'!A36)</f>
        <v>Consultar productos internos activos</v>
      </c>
    </row>
    <row r="5" spans="1:26" ht="14.3" customHeight="1">
      <c r="A5" s="457" t="str">
        <f>HYPERLINK("#'M-ProductoInterno'!A5", 'M-ProductoInterno'!A5)</f>
        <v>Id</v>
      </c>
      <c r="B5" s="457" t="str">
        <f>HYPERLINK("#'M-ProductoInterno'!A2", 'M-ProductoInterno'!A2)</f>
        <v>Identificador unico de cada producto interno dentro de la pizzeria</v>
      </c>
      <c r="C5" s="461" t="s">
        <v>15</v>
      </c>
      <c r="D5" s="461" t="s">
        <v>485</v>
      </c>
      <c r="E5" s="461" t="s">
        <v>15</v>
      </c>
      <c r="F5" s="461"/>
      <c r="G5" s="461"/>
      <c r="H5" s="461"/>
      <c r="I5" s="461"/>
      <c r="J5" s="461"/>
      <c r="K5" s="461"/>
      <c r="L5" s="461"/>
      <c r="M5" s="461" t="s">
        <v>1149</v>
      </c>
      <c r="N5" s="461" t="s">
        <v>100</v>
      </c>
      <c r="O5" s="461" t="s">
        <v>100</v>
      </c>
      <c r="P5" s="461" t="s">
        <v>100</v>
      </c>
      <c r="Q5" s="461" t="s">
        <v>100</v>
      </c>
      <c r="R5" s="461" t="s">
        <v>100</v>
      </c>
      <c r="S5" s="461" t="s">
        <v>100</v>
      </c>
      <c r="T5" s="461"/>
      <c r="U5" s="494" t="s">
        <v>15</v>
      </c>
      <c r="V5" s="684" t="s">
        <v>101</v>
      </c>
      <c r="W5" s="687" t="s">
        <v>101</v>
      </c>
      <c r="X5" s="687" t="s">
        <v>273</v>
      </c>
      <c r="Y5" s="527" t="s">
        <v>101</v>
      </c>
      <c r="Z5" s="873" t="s">
        <v>274</v>
      </c>
    </row>
    <row r="6" spans="1:26" ht="14.3" customHeight="1">
      <c r="A6" s="457" t="str">
        <f>HYPERLINK("#'M-ProductoInterno'!B5", 'M-ProductoInterno'!B5)</f>
        <v>Nombre</v>
      </c>
      <c r="B6" s="457" t="str">
        <f>HYPERLINK("#'M-ProductoInterno'!B2", 'M-ProductoInterno'!B2)</f>
        <v>Nombre de cada producto interno (ingrediente o bebida almacenada)</v>
      </c>
      <c r="C6" s="461" t="s">
        <v>100</v>
      </c>
      <c r="D6" s="461" t="s">
        <v>280</v>
      </c>
      <c r="E6" s="461" t="s">
        <v>15</v>
      </c>
      <c r="F6" s="462">
        <v>1</v>
      </c>
      <c r="G6" s="463">
        <v>40</v>
      </c>
      <c r="H6" s="464"/>
      <c r="I6" s="461"/>
      <c r="J6" s="464"/>
      <c r="K6" s="461"/>
      <c r="L6" s="461"/>
      <c r="M6" s="461"/>
      <c r="N6" s="461" t="s">
        <v>100</v>
      </c>
      <c r="O6" s="461" t="s">
        <v>100</v>
      </c>
      <c r="P6" s="461" t="s">
        <v>100</v>
      </c>
      <c r="Q6" s="464" t="s">
        <v>15</v>
      </c>
      <c r="R6" s="461" t="s">
        <v>15</v>
      </c>
      <c r="S6" s="461" t="s">
        <v>100</v>
      </c>
      <c r="T6" s="461"/>
      <c r="U6" s="494" t="s">
        <v>100</v>
      </c>
      <c r="V6" s="582" t="s">
        <v>101</v>
      </c>
      <c r="W6" s="557" t="s">
        <v>276</v>
      </c>
      <c r="X6" s="557" t="s">
        <v>277</v>
      </c>
      <c r="Y6" s="570" t="s">
        <v>276</v>
      </c>
      <c r="Z6" s="519" t="s">
        <v>278</v>
      </c>
    </row>
    <row r="7" spans="1:26" ht="14.3" customHeight="1">
      <c r="A7" s="457" t="str">
        <f>HYPERLINK("#'M-ProductoInterno'!C5", 'M-ProductoInterno'!C5)</f>
        <v>Perecedero</v>
      </c>
      <c r="B7" s="457" t="str">
        <f>HYPERLINK("#'M-ProductoInterno'!C2", 'M-ProductoInterno'!C2)</f>
        <v xml:space="preserve">Cuando se crea el ingrediente se debe decir si es un producto perecedero o no </v>
      </c>
      <c r="C7" s="461" t="s">
        <v>100</v>
      </c>
      <c r="D7" s="461" t="s">
        <v>643</v>
      </c>
      <c r="E7" s="461" t="s">
        <v>15</v>
      </c>
      <c r="F7" s="462"/>
      <c r="G7" s="463"/>
      <c r="H7" s="464"/>
      <c r="I7" s="461"/>
      <c r="J7" s="464"/>
      <c r="K7" s="461"/>
      <c r="L7" s="461"/>
      <c r="M7" s="461" t="s">
        <v>812</v>
      </c>
      <c r="N7" s="461" t="s">
        <v>100</v>
      </c>
      <c r="O7" s="461" t="s">
        <v>100</v>
      </c>
      <c r="P7" s="461" t="s">
        <v>100</v>
      </c>
      <c r="Q7" s="464" t="s">
        <v>100</v>
      </c>
      <c r="R7" s="461" t="s">
        <v>100</v>
      </c>
      <c r="S7" s="461" t="s">
        <v>100</v>
      </c>
      <c r="T7" s="461"/>
      <c r="U7" s="494" t="s">
        <v>100</v>
      </c>
      <c r="V7" s="582" t="s">
        <v>101</v>
      </c>
      <c r="W7" s="557" t="s">
        <v>276</v>
      </c>
      <c r="X7" s="557" t="s">
        <v>277</v>
      </c>
      <c r="Y7" s="570" t="s">
        <v>276</v>
      </c>
      <c r="Z7" s="519" t="s">
        <v>278</v>
      </c>
    </row>
    <row r="8" spans="1:26" ht="14.3" customHeight="1">
      <c r="A8" s="457" t="str">
        <f>HYPERLINK("#'M-ProductoInterno'!D5", 'M-ProductoInterno'!D5)</f>
        <v>VidaUtil</v>
      </c>
      <c r="B8" s="457" t="str">
        <f>HYPERLINK("#'M-ProductoInterno'!D2", 'M-ProductoInterno'!D2)</f>
        <v>Vida util en dias: de 1 a 400 si el producto es perecedero y 0 si no lo es</v>
      </c>
      <c r="C8" s="461" t="s">
        <v>100</v>
      </c>
      <c r="D8" s="461" t="s">
        <v>813</v>
      </c>
      <c r="E8" s="461" t="s">
        <v>15</v>
      </c>
      <c r="F8" s="461"/>
      <c r="G8" s="461"/>
      <c r="H8" s="461"/>
      <c r="I8" s="461"/>
      <c r="J8" s="461">
        <v>0</v>
      </c>
      <c r="K8" s="461">
        <v>400</v>
      </c>
      <c r="L8" s="461"/>
      <c r="M8" s="461" t="s">
        <v>1150</v>
      </c>
      <c r="N8" s="461" t="s">
        <v>100</v>
      </c>
      <c r="O8" s="461" t="s">
        <v>100</v>
      </c>
      <c r="P8" s="461" t="s">
        <v>100</v>
      </c>
      <c r="Q8" s="464" t="s">
        <v>100</v>
      </c>
      <c r="R8" s="461" t="s">
        <v>100</v>
      </c>
      <c r="S8" s="461" t="s">
        <v>100</v>
      </c>
      <c r="T8" s="461">
        <v>0</v>
      </c>
      <c r="U8" s="494" t="s">
        <v>100</v>
      </c>
      <c r="V8" s="582" t="s">
        <v>101</v>
      </c>
      <c r="W8" s="557" t="s">
        <v>276</v>
      </c>
      <c r="X8" s="557" t="s">
        <v>277</v>
      </c>
      <c r="Y8" s="570" t="s">
        <v>276</v>
      </c>
      <c r="Z8" s="519" t="s">
        <v>278</v>
      </c>
    </row>
    <row r="9" spans="1:26" ht="50.95" customHeight="1">
      <c r="A9" s="657" t="str">
        <f>HYPERLINK("#'M-ProductoInterno'!E5", 'M-ProductoInterno'!E5)</f>
        <v>TipoMedida</v>
      </c>
      <c r="B9" s="657" t="str">
        <f>HYPERLINK("#'M-ProductoInterno'!E2", 'M-ProductoInterno'!E2)</f>
        <v>Unidad de medida (UnidadMedida) en la que se maneja el producto interno; su tipo (Peso, Volumen o Unidad) define la unidad de las recetas</v>
      </c>
      <c r="C9" s="658" t="s">
        <v>100</v>
      </c>
      <c r="D9" s="658" t="s">
        <v>28</v>
      </c>
      <c r="E9" s="658" t="s">
        <v>15</v>
      </c>
      <c r="F9" s="658"/>
      <c r="G9" s="658"/>
      <c r="H9" s="658"/>
      <c r="I9" s="658"/>
      <c r="J9" s="658"/>
      <c r="K9" s="658"/>
      <c r="L9" s="658"/>
      <c r="M9" s="659" t="s">
        <v>1151</v>
      </c>
      <c r="N9" s="658" t="s">
        <v>100</v>
      </c>
      <c r="O9" s="660" t="s">
        <v>100</v>
      </c>
      <c r="P9" s="660" t="s">
        <v>100</v>
      </c>
      <c r="Q9" s="661" t="s">
        <v>100</v>
      </c>
      <c r="R9" s="660" t="s">
        <v>100</v>
      </c>
      <c r="S9" s="660" t="s">
        <v>100</v>
      </c>
      <c r="T9" s="658"/>
      <c r="U9" s="662" t="s">
        <v>100</v>
      </c>
      <c r="V9" s="663" t="s">
        <v>101</v>
      </c>
      <c r="W9" s="664" t="s">
        <v>276</v>
      </c>
      <c r="X9" s="664" t="s">
        <v>277</v>
      </c>
      <c r="Y9" s="537" t="s">
        <v>276</v>
      </c>
      <c r="Z9" s="874" t="s">
        <v>278</v>
      </c>
    </row>
    <row r="10" spans="1:26" s="614" customFormat="1" ht="50.95" customHeight="1">
      <c r="A10" s="665" t="str">
        <f>HYPERLINK("#'M-ProductoInterno'!F5", 'M-ProductoInterno'!F5)</f>
        <v>Activo</v>
      </c>
      <c r="B10" s="665" t="str">
        <f>HYPERLINK("#'M-ProductoInterno'!F2", 'M-ProductoInterno'!F2)</f>
        <v>Indica si el producto interno esta activo y disponible para usarse</v>
      </c>
      <c r="C10" s="666" t="s">
        <v>100</v>
      </c>
      <c r="D10" s="666" t="s">
        <v>643</v>
      </c>
      <c r="E10" s="666" t="s">
        <v>15</v>
      </c>
      <c r="F10" s="666"/>
      <c r="G10" s="666"/>
      <c r="H10" s="666"/>
      <c r="I10" s="666"/>
      <c r="J10" s="666"/>
      <c r="K10" s="666"/>
      <c r="L10" s="666"/>
      <c r="M10" s="667" t="s">
        <v>1152</v>
      </c>
      <c r="N10" s="666" t="s">
        <v>100</v>
      </c>
      <c r="O10" s="668" t="s">
        <v>100</v>
      </c>
      <c r="P10" s="668" t="s">
        <v>100</v>
      </c>
      <c r="Q10" s="669" t="s">
        <v>100</v>
      </c>
      <c r="R10" s="668" t="s">
        <v>100</v>
      </c>
      <c r="S10" s="668" t="s">
        <v>100</v>
      </c>
      <c r="T10" s="666" t="s">
        <v>15</v>
      </c>
      <c r="U10" s="668" t="s">
        <v>100</v>
      </c>
      <c r="V10" s="582" t="s">
        <v>276</v>
      </c>
      <c r="W10" s="557" t="s">
        <v>276</v>
      </c>
      <c r="X10" s="557" t="s">
        <v>273</v>
      </c>
      <c r="Y10" s="570" t="s">
        <v>276</v>
      </c>
      <c r="Z10" s="519" t="s">
        <v>274</v>
      </c>
    </row>
    <row r="11" spans="1:26" ht="14.3" customHeight="1">
      <c r="A11" s="154"/>
      <c r="B11" s="155"/>
      <c r="C11" s="155"/>
      <c r="D11" s="155"/>
      <c r="E11" s="155"/>
      <c r="F11" s="156"/>
      <c r="G11" s="157"/>
      <c r="H11" s="154"/>
      <c r="I11" s="155"/>
      <c r="J11" s="154"/>
      <c r="K11" s="155"/>
      <c r="L11" s="155"/>
      <c r="M11" s="155"/>
      <c r="N11" s="155"/>
      <c r="O11" s="155"/>
      <c r="P11" s="155"/>
      <c r="Q11" s="154"/>
      <c r="R11" s="155"/>
      <c r="S11" s="155"/>
      <c r="T11" s="155"/>
      <c r="U11" s="155"/>
    </row>
    <row r="15" spans="1:26" ht="14.95" customHeight="1">
      <c r="A15" s="16" t="s">
        <v>109</v>
      </c>
      <c r="B15" s="16" t="s">
        <v>79</v>
      </c>
      <c r="C15" s="16" t="s">
        <v>110</v>
      </c>
    </row>
    <row r="16" spans="1:26" ht="14.3" customHeight="1">
      <c r="A16" s="391" t="s">
        <v>111</v>
      </c>
      <c r="B16" s="390" t="s">
        <v>814</v>
      </c>
      <c r="C16" s="139" t="str">
        <f>HYPERLINK("#'C-ProductoInterno'!A6", 'C-ProductoInterno'!A6)</f>
        <v>Nombre</v>
      </c>
    </row>
    <row r="19" spans="1:18 16000:16000" ht="13.75" customHeight="1"/>
    <row r="20" spans="1:18 16000:16000" ht="14.95" customHeight="1">
      <c r="A20" s="1116" t="s">
        <v>113</v>
      </c>
      <c r="B20" s="1077"/>
      <c r="C20" s="1116" t="s">
        <v>79</v>
      </c>
      <c r="D20" s="1076"/>
      <c r="E20" s="1076"/>
      <c r="F20" s="1077"/>
      <c r="G20" s="1116" t="s">
        <v>114</v>
      </c>
      <c r="H20" s="1123"/>
      <c r="I20" s="1124"/>
      <c r="J20" s="1132" t="s">
        <v>115</v>
      </c>
      <c r="K20" s="1123"/>
      <c r="L20" s="1123"/>
      <c r="M20" s="1123"/>
      <c r="N20" s="1124"/>
      <c r="O20" s="1132" t="s">
        <v>116</v>
      </c>
      <c r="P20" s="1124"/>
      <c r="Q20" s="1132" t="s">
        <v>117</v>
      </c>
      <c r="R20" s="1124"/>
    </row>
    <row r="21" spans="1:18 16000:16000" ht="30.25" customHeight="1">
      <c r="A21" s="1078"/>
      <c r="B21" s="1080"/>
      <c r="C21" s="1078"/>
      <c r="D21" s="1079"/>
      <c r="E21" s="1079"/>
      <c r="F21" s="1080"/>
      <c r="G21" s="551" t="s">
        <v>118</v>
      </c>
      <c r="H21" s="551" t="s">
        <v>8</v>
      </c>
      <c r="I21" s="551" t="s">
        <v>79</v>
      </c>
      <c r="J21" s="691" t="s">
        <v>119</v>
      </c>
      <c r="K21" s="1132" t="s">
        <v>79</v>
      </c>
      <c r="L21" s="1123"/>
      <c r="M21" s="1123"/>
      <c r="N21" s="1124"/>
      <c r="O21" s="550" t="s">
        <v>120</v>
      </c>
      <c r="P21" s="550" t="s">
        <v>79</v>
      </c>
      <c r="Q21" s="550" t="s">
        <v>121</v>
      </c>
      <c r="R21" s="550" t="s">
        <v>122</v>
      </c>
    </row>
    <row r="22" spans="1:18 16000:16000" ht="26.15" customHeight="1">
      <c r="A22" s="1011" t="str">
        <f>HYPERLINK("#'C-ProductoInterno'!V4", 'E-ProductoInterno'!B7)</f>
        <v>Registrar producto interno</v>
      </c>
      <c r="B22" s="1012"/>
      <c r="C22" s="1011" t="str">
        <f>'E-ProductoInterno'!C7</f>
        <v>Permite incorporar un nuevo producto interno (ingrediente o bebida almacenada) al inventario de la pizzeria.</v>
      </c>
      <c r="D22" s="1017"/>
      <c r="E22" s="1017"/>
      <c r="F22" s="1012"/>
      <c r="G22" s="1020" t="s">
        <v>123</v>
      </c>
      <c r="H22" s="1020" t="s">
        <v>38</v>
      </c>
      <c r="I22" s="1211" t="s">
        <v>815</v>
      </c>
      <c r="J22" s="1214" t="s">
        <v>38</v>
      </c>
      <c r="K22" s="1208" t="s">
        <v>816</v>
      </c>
      <c r="L22" s="1017"/>
      <c r="M22" s="1017"/>
      <c r="N22" s="1012"/>
      <c r="O22" s="776" t="str">
        <f>HYPERLINK("#'P-ProductoInterno'!A5", 'P-ProductoInterno'!A5)</f>
        <v>P-PI-001</v>
      </c>
      <c r="P22" s="599" t="str">
        <f>'P-ProductoInterno'!B5</f>
        <v>Asegurar que los datos requeridos para registrar un producto interno sean validos de acuerdo con el tipo de dato, obligatoriedad, formato y rango correspondiente.</v>
      </c>
      <c r="Q22" s="855" t="s">
        <v>817</v>
      </c>
      <c r="R22" s="552" t="s">
        <v>127</v>
      </c>
    </row>
    <row r="23" spans="1:18 16000:16000" ht="38.75">
      <c r="A23" s="1013"/>
      <c r="B23" s="1014"/>
      <c r="C23" s="1013"/>
      <c r="D23" s="1018"/>
      <c r="E23" s="1018"/>
      <c r="F23" s="1014"/>
      <c r="G23" s="1021"/>
      <c r="H23" s="1021"/>
      <c r="I23" s="1212"/>
      <c r="J23" s="1215"/>
      <c r="K23" s="1209"/>
      <c r="L23" s="1018"/>
      <c r="M23" s="1018"/>
      <c r="N23" s="1014"/>
      <c r="O23" s="776" t="str">
        <f>HYPERLINK("#'P-ProductoInterno'!A6", 'P-ProductoInterno'!A6)</f>
        <v>P-PI-002</v>
      </c>
      <c r="P23" s="599" t="str">
        <f>'P-ProductoInterno'!B6</f>
        <v>Asegurar que no exista otro producto interno con el mismo Nombre al registrarlo.</v>
      </c>
      <c r="Q23" s="855" t="s">
        <v>818</v>
      </c>
      <c r="R23" s="552" t="s">
        <v>819</v>
      </c>
    </row>
    <row r="24" spans="1:18 16000:16000" ht="25.5" customHeight="1">
      <c r="A24" s="1013"/>
      <c r="B24" s="1014"/>
      <c r="C24" s="1013"/>
      <c r="D24" s="1018"/>
      <c r="E24" s="1018"/>
      <c r="F24" s="1014"/>
      <c r="G24" s="1021"/>
      <c r="H24" s="1021"/>
      <c r="I24" s="1212"/>
      <c r="J24" s="1215"/>
      <c r="K24" s="1209"/>
      <c r="L24" s="1018"/>
      <c r="M24" s="1018"/>
      <c r="N24" s="1014"/>
      <c r="O24" s="776" t="str">
        <f>HYPERLINK("#'P-ProductoInterno'!A7", 'P-ProductoInterno'!A7)</f>
        <v>P-PI-003</v>
      </c>
      <c r="P24" s="599" t="str">
        <f>'P-ProductoInterno'!B7</f>
        <v>Asegurar que la VidaUtil este entre 1 y 400 dias cuando el producto interno sea perecedero, y que sea 0 cuando no lo sea.</v>
      </c>
      <c r="Q24" s="855" t="s">
        <v>1471</v>
      </c>
      <c r="R24" s="552" t="s">
        <v>1472</v>
      </c>
    </row>
    <row r="25" spans="1:18 16000:16000" ht="25.5" customHeight="1">
      <c r="A25" s="1013"/>
      <c r="B25" s="1014"/>
      <c r="C25" s="1013"/>
      <c r="D25" s="1018"/>
      <c r="E25" s="1018"/>
      <c r="F25" s="1014"/>
      <c r="G25" s="1021"/>
      <c r="H25" s="1021"/>
      <c r="I25" s="1212"/>
      <c r="J25" s="1215"/>
      <c r="K25" s="1209"/>
      <c r="L25" s="1018"/>
      <c r="M25" s="1018"/>
      <c r="N25" s="1014"/>
      <c r="O25" s="776" t="str">
        <f>HYPERLINK("#'P-ProductoInterno'!A8", 'P-ProductoInterno'!A8)</f>
        <v>P-PI-004</v>
      </c>
      <c r="P25" s="599" t="str">
        <f>'P-ProductoInterno'!B8</f>
        <v>Asegurar que la TipoMedida corresponda a una unidad de medida existente del catalogo.</v>
      </c>
      <c r="Q25" s="855" t="s">
        <v>1473</v>
      </c>
      <c r="R25" s="552" t="s">
        <v>133</v>
      </c>
    </row>
    <row r="26" spans="1:18 16000:16000" ht="25.5" customHeight="1">
      <c r="A26" s="1015"/>
      <c r="B26" s="1016"/>
      <c r="C26" s="1015"/>
      <c r="D26" s="1019"/>
      <c r="E26" s="1019"/>
      <c r="F26" s="1016"/>
      <c r="G26" s="1022"/>
      <c r="H26" s="1022"/>
      <c r="I26" s="1213"/>
      <c r="J26" s="1215"/>
      <c r="K26" s="1210"/>
      <c r="L26" s="1019"/>
      <c r="M26" s="1019"/>
      <c r="N26" s="1016"/>
      <c r="O26" s="776" t="str">
        <f>HYPERLINK("#'P-ProductoInterno'!A14", 'P-ProductoInterno'!A14)</f>
        <v>P-PI-010</v>
      </c>
      <c r="P26" s="599" t="str">
        <f>'P-ProductoInterno'!B14</f>
        <v>Al registrar un producto interno se crea su registro de inventario con cantidad total 0 y stock minimo 1.</v>
      </c>
      <c r="Q26" s="855" t="s">
        <v>1474</v>
      </c>
      <c r="R26" s="552" t="s">
        <v>1475</v>
      </c>
    </row>
    <row r="27" spans="1:18 16000:16000" ht="38.25" customHeight="1">
      <c r="A27" s="1243" t="str">
        <f>HYPERLINK("#'C-ProductoInterno'!W4", 'E-ProductoInterno'!B12)</f>
        <v>Actualizar producto interno</v>
      </c>
      <c r="B27" s="1244"/>
      <c r="C27" s="1243" t="str">
        <f>'E-ProductoInterno'!C12</f>
        <v>Permite modificar la informacion de un producto interno existente.</v>
      </c>
      <c r="D27" s="1249"/>
      <c r="E27" s="1249"/>
      <c r="F27" s="1244"/>
      <c r="G27" s="1252" t="s">
        <v>123</v>
      </c>
      <c r="H27" s="1252" t="s">
        <v>38</v>
      </c>
      <c r="I27" s="1252" t="s">
        <v>820</v>
      </c>
      <c r="J27" s="1253" t="s">
        <v>38</v>
      </c>
      <c r="K27" s="1243" t="s">
        <v>821</v>
      </c>
      <c r="L27" s="1249"/>
      <c r="M27" s="1249"/>
      <c r="N27" s="1244"/>
      <c r="O27" s="793" t="str">
        <f>HYPERLINK("#'P-ProductoInterno'!A9", 'P-ProductoInterno'!A9)</f>
        <v>P-PI-005</v>
      </c>
      <c r="P27" s="587" t="str">
        <f>'P-ProductoInterno'!B9</f>
        <v>Asegurar que el producto interno que se desea modificar se encuentre registrado en el sistema.</v>
      </c>
      <c r="Q27" s="587" t="s">
        <v>822</v>
      </c>
      <c r="R27" s="587" t="s">
        <v>823</v>
      </c>
    </row>
    <row r="28" spans="1:18 16000:16000" ht="38.25" customHeight="1">
      <c r="A28" s="1245"/>
      <c r="B28" s="1246"/>
      <c r="C28" s="1245"/>
      <c r="D28" s="1250"/>
      <c r="E28" s="1250"/>
      <c r="F28" s="1246"/>
      <c r="G28" s="1253"/>
      <c r="H28" s="1253"/>
      <c r="I28" s="1253"/>
      <c r="J28" s="1253"/>
      <c r="K28" s="1245"/>
      <c r="L28" s="1250"/>
      <c r="M28" s="1250"/>
      <c r="N28" s="1246"/>
      <c r="O28" s="793" t="str">
        <f>HYPERLINK("#'P-ProductoInterno'!A13", 'P-ProductoInterno'!A13)</f>
        <v>P-PI-009</v>
      </c>
      <c r="P28" s="587" t="str">
        <f>'P-ProductoInterno'!B13</f>
        <v>Asegurar que el registro especial "Sin insumo" no pueda modificarse, inactivarse ni usarse en recetas o compras.</v>
      </c>
      <c r="Q28" s="587" t="s">
        <v>1476</v>
      </c>
      <c r="R28" s="587" t="s">
        <v>1477</v>
      </c>
    </row>
    <row r="29" spans="1:18 16000:16000" ht="25.5" customHeight="1">
      <c r="A29" s="1245"/>
      <c r="B29" s="1246"/>
      <c r="C29" s="1245"/>
      <c r="D29" s="1250"/>
      <c r="E29" s="1250"/>
      <c r="F29" s="1246"/>
      <c r="G29" s="1253"/>
      <c r="H29" s="1253"/>
      <c r="I29" s="1253"/>
      <c r="J29" s="1253"/>
      <c r="K29" s="1245"/>
      <c r="L29" s="1250"/>
      <c r="M29" s="1250"/>
      <c r="N29" s="1246"/>
      <c r="O29" s="793" t="str">
        <f>HYPERLINK("#'P-ProductoInterno'!A5", 'P-ProductoInterno'!A5)</f>
        <v>P-PI-001</v>
      </c>
      <c r="P29" s="587" t="str">
        <f>'P-ProductoInterno'!B5</f>
        <v>Asegurar que los datos requeridos para registrar un producto interno sean validos de acuerdo con el tipo de dato, obligatoriedad, formato y rango correspondiente.</v>
      </c>
      <c r="Q29" s="587" t="s">
        <v>1478</v>
      </c>
      <c r="R29" s="587" t="s">
        <v>1400</v>
      </c>
    </row>
    <row r="30" spans="1:18 16000:16000" s="614" customFormat="1" ht="25.5" customHeight="1">
      <c r="A30" s="1245"/>
      <c r="B30" s="1246"/>
      <c r="C30" s="1245"/>
      <c r="D30" s="1250"/>
      <c r="E30" s="1250"/>
      <c r="F30" s="1246"/>
      <c r="G30" s="1253"/>
      <c r="H30" s="1253"/>
      <c r="I30" s="1253"/>
      <c r="J30" s="1253"/>
      <c r="K30" s="1245"/>
      <c r="L30" s="1250"/>
      <c r="M30" s="1250"/>
      <c r="N30" s="1246"/>
      <c r="O30" s="793" t="str">
        <f>HYPERLINK("#'P-ProductoInterno'!A6", 'P-ProductoInterno'!A6)</f>
        <v>P-PI-002</v>
      </c>
      <c r="P30" s="587" t="str">
        <f>'P-ProductoInterno'!B6</f>
        <v>Asegurar que no exista otro producto interno con el mismo Nombre al registrarlo.</v>
      </c>
      <c r="Q30" s="587" t="s">
        <v>1479</v>
      </c>
      <c r="R30" s="587" t="s">
        <v>1418</v>
      </c>
      <c r="WQJ30"/>
    </row>
    <row r="31" spans="1:18 16000:16000" s="614" customFormat="1" ht="25.5" customHeight="1">
      <c r="A31" s="1247"/>
      <c r="B31" s="1248"/>
      <c r="C31" s="1247"/>
      <c r="D31" s="1251"/>
      <c r="E31" s="1251"/>
      <c r="F31" s="1248"/>
      <c r="G31" s="1254"/>
      <c r="H31" s="1254"/>
      <c r="I31" s="1254"/>
      <c r="J31" s="1254"/>
      <c r="K31" s="1247"/>
      <c r="L31" s="1251"/>
      <c r="M31" s="1251"/>
      <c r="N31" s="1248"/>
      <c r="O31" s="793" t="str">
        <f>HYPERLINK("#'P-ProductoInterno'!A7", 'P-ProductoInterno'!A7)</f>
        <v>P-PI-003</v>
      </c>
      <c r="P31" s="587" t="str">
        <f>'P-ProductoInterno'!B7</f>
        <v>Asegurar que la VidaUtil este entre 1 y 400 dias cuando el producto interno sea perecedero, y que sea 0 cuando no lo sea.</v>
      </c>
      <c r="Q31" s="587" t="s">
        <v>1480</v>
      </c>
      <c r="R31" s="587" t="s">
        <v>1481</v>
      </c>
      <c r="WQJ31"/>
    </row>
    <row r="32" spans="1:18 16000:16000" s="614" customFormat="1" ht="25.5" customHeight="1">
      <c r="A32" s="987" t="str">
        <f>HYPERLINK("#'C-ProductoInterno'!Y4", 'E-ProductoInterno'!B17)</f>
        <v>Inactivar producto interno</v>
      </c>
      <c r="B32" s="989"/>
      <c r="C32" s="987" t="str">
        <f>'E-ProductoInterno'!C17</f>
        <v>Permite inactivar un producto interno que la pizzeria ya no usa: no se puede usar en nuevas recetas ni compras, pero se conserva su historial.</v>
      </c>
      <c r="D32" s="988"/>
      <c r="E32" s="988"/>
      <c r="F32" s="989"/>
      <c r="G32" s="1256" t="s">
        <v>16</v>
      </c>
      <c r="H32" s="1256" t="s">
        <v>299</v>
      </c>
      <c r="I32" s="1256" t="s">
        <v>824</v>
      </c>
      <c r="J32" s="1256" t="s">
        <v>38</v>
      </c>
      <c r="K32" s="987" t="s">
        <v>1482</v>
      </c>
      <c r="L32" s="988"/>
      <c r="M32" s="988"/>
      <c r="N32" s="989"/>
      <c r="O32" s="767" t="str">
        <f>HYPERLINK("#'P-ProductoInterno'!A11", 'P-ProductoInterno'!A11)</f>
        <v>P-PI-007</v>
      </c>
      <c r="P32" s="598" t="str">
        <f>'P-ProductoInterno'!B11</f>
        <v>Asegurar que el producto interno exista con el identificador indicado.</v>
      </c>
      <c r="Q32" s="598" t="s">
        <v>1483</v>
      </c>
      <c r="R32" s="598" t="s">
        <v>1484</v>
      </c>
      <c r="WQJ32"/>
    </row>
    <row r="33" spans="1:18 16000:16000" s="614" customFormat="1" ht="25.5" customHeight="1">
      <c r="A33" s="990"/>
      <c r="B33" s="992"/>
      <c r="C33" s="990"/>
      <c r="D33" s="991"/>
      <c r="E33" s="991"/>
      <c r="F33" s="992"/>
      <c r="G33" s="1257"/>
      <c r="H33" s="1257"/>
      <c r="I33" s="1257"/>
      <c r="J33" s="1257"/>
      <c r="K33" s="990"/>
      <c r="L33" s="991"/>
      <c r="M33" s="991"/>
      <c r="N33" s="992"/>
      <c r="O33" s="767" t="str">
        <f>HYPERLINK("#'P-ProductoInterno'!A12", 'P-ProductoInterno'!A12)</f>
        <v>P-PI-008</v>
      </c>
      <c r="P33" s="598" t="str">
        <f>'P-ProductoInterno'!B12</f>
        <v>Asegurar que el producto interno que se desea inactivar no se encuentre ya inactivo.</v>
      </c>
      <c r="Q33" s="598" t="s">
        <v>1485</v>
      </c>
      <c r="R33" s="598" t="s">
        <v>1486</v>
      </c>
      <c r="WQJ33"/>
    </row>
    <row r="34" spans="1:18 16000:16000" s="614" customFormat="1" ht="25.5" customHeight="1">
      <c r="A34" s="990"/>
      <c r="B34" s="992"/>
      <c r="C34" s="990"/>
      <c r="D34" s="991"/>
      <c r="E34" s="991"/>
      <c r="F34" s="992"/>
      <c r="G34" s="1257"/>
      <c r="H34" s="1257"/>
      <c r="I34" s="1257"/>
      <c r="J34" s="1257"/>
      <c r="K34" s="990"/>
      <c r="L34" s="991"/>
      <c r="M34" s="991"/>
      <c r="N34" s="992"/>
      <c r="O34" s="767" t="str">
        <f>HYPERLINK("#'P-ProductoInterno'!A13", 'P-ProductoInterno'!A13)</f>
        <v>P-PI-009</v>
      </c>
      <c r="P34" s="598" t="str">
        <f>'P-ProductoInterno'!B13</f>
        <v>Asegurar que el registro especial "Sin insumo" no pueda modificarse, inactivarse ni usarse en recetas o compras.</v>
      </c>
      <c r="Q34" s="598" t="s">
        <v>1487</v>
      </c>
      <c r="R34" s="598" t="s">
        <v>1488</v>
      </c>
      <c r="WQJ34"/>
    </row>
    <row r="35" spans="1:18 16000:16000" s="614" customFormat="1" ht="25.5" customHeight="1">
      <c r="A35" s="993"/>
      <c r="B35" s="995"/>
      <c r="C35" s="993"/>
      <c r="D35" s="994"/>
      <c r="E35" s="994"/>
      <c r="F35" s="995"/>
      <c r="G35" s="1258"/>
      <c r="H35" s="1258"/>
      <c r="I35" s="1258"/>
      <c r="J35" s="1258"/>
      <c r="K35" s="993"/>
      <c r="L35" s="994"/>
      <c r="M35" s="994"/>
      <c r="N35" s="995"/>
      <c r="O35" s="767" t="str">
        <f>HYPERLINK("#'P-ProductoInterno'!A10", 'P-ProductoInterno'!A10)</f>
        <v>P-PI-006</v>
      </c>
      <c r="P35" s="598" t="str">
        <f>'P-ProductoInterno'!B10</f>
        <v>Asegurar que un producto interno inactivo no pueda usarse en nuevas recetas ni en nuevas compras; al inactivarlo se conservan sus lotes, movimientos, compras y recetas registrados.</v>
      </c>
      <c r="Q35" s="598" t="s">
        <v>1489</v>
      </c>
      <c r="R35" s="598" t="s">
        <v>1490</v>
      </c>
      <c r="WQJ35"/>
    </row>
    <row r="36" spans="1:18 16000:16000" s="614" customFormat="1" ht="25.5" customHeight="1">
      <c r="A36" s="1255" t="str">
        <f>HYPERLINK("#'C-ProductoInterno'!Z4", 'E-ProductoInterno'!B21)</f>
        <v>Consultar productos internos activos</v>
      </c>
      <c r="B36" s="1255"/>
      <c r="C36" s="1255" t="str">
        <f>'E-ProductoInterno'!C21</f>
        <v>Permite consultar los productos internos activos, por ejemplo para escoger los ingredientes de una receta.</v>
      </c>
      <c r="D36" s="1255"/>
      <c r="E36" s="1255"/>
      <c r="F36" s="1255"/>
      <c r="G36" s="518" t="s">
        <v>1405</v>
      </c>
      <c r="H36" s="518" t="s">
        <v>1406</v>
      </c>
      <c r="I36" s="518" t="s">
        <v>1407</v>
      </c>
      <c r="J36" s="518" t="s">
        <v>1491</v>
      </c>
      <c r="K36" s="1255" t="s">
        <v>1492</v>
      </c>
      <c r="L36" s="1255"/>
      <c r="M36" s="1255"/>
      <c r="N36" s="1255"/>
      <c r="O36" s="778" t="str">
        <f>HYPERLINK("#'P-ProductoInterno'!A15", 'P-ProductoInterno'!A15)</f>
        <v>P-PI-011</v>
      </c>
      <c r="P36" s="518" t="str">
        <f>'P-ProductoInterno'!B15</f>
        <v>Asegurar que solo se consulten los productos internos activos.</v>
      </c>
      <c r="Q36" s="518" t="s">
        <v>1493</v>
      </c>
      <c r="R36" s="518" t="s">
        <v>1494</v>
      </c>
      <c r="WQJ36"/>
    </row>
  </sheetData>
  <mergeCells count="33">
    <mergeCell ref="A36:B36"/>
    <mergeCell ref="C36:F36"/>
    <mergeCell ref="K36:N36"/>
    <mergeCell ref="A32:B35"/>
    <mergeCell ref="C32:F35"/>
    <mergeCell ref="K32:N35"/>
    <mergeCell ref="G32:G35"/>
    <mergeCell ref="H32:H35"/>
    <mergeCell ref="I32:I35"/>
    <mergeCell ref="J32:J35"/>
    <mergeCell ref="A27:B31"/>
    <mergeCell ref="C27:F31"/>
    <mergeCell ref="K27:N31"/>
    <mergeCell ref="G27:G31"/>
    <mergeCell ref="H27:H31"/>
    <mergeCell ref="I27:I31"/>
    <mergeCell ref="J27:J31"/>
    <mergeCell ref="A22:B26"/>
    <mergeCell ref="C22:F26"/>
    <mergeCell ref="K22:N26"/>
    <mergeCell ref="G22:G26"/>
    <mergeCell ref="H22:H26"/>
    <mergeCell ref="I22:I26"/>
    <mergeCell ref="J22:J26"/>
    <mergeCell ref="B3:D3"/>
    <mergeCell ref="A20:B21"/>
    <mergeCell ref="C20:F21"/>
    <mergeCell ref="J20:N20"/>
    <mergeCell ref="W4:X4"/>
    <mergeCell ref="O20:P20"/>
    <mergeCell ref="G20:I20"/>
    <mergeCell ref="Q20:R20"/>
    <mergeCell ref="K21:N21"/>
  </mergeCells>
  <hyperlinks>
    <hyperlink ref="A1" location="'Modelo de dominio'!A1" display="&lt;&lt;&lt;Modelo de Dominio" xr:uid="{00000000-0004-0000-3200-000000000000}"/>
    <hyperlink ref="B1" location="'Objetos de dominio'!A1" display="&lt;&lt;&lt;Objetos de Dominio" xr:uid="{00000000-0004-0000-32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WQJ21"/>
  <sheetViews>
    <sheetView zoomScale="65" workbookViewId="0">
      <selection activeCell="C31" sqref="C31"/>
    </sheetView>
  </sheetViews>
  <sheetFormatPr baseColWidth="10" defaultRowHeight="12.9"/>
  <cols>
    <col min="1" max="1" width="22.25" customWidth="1"/>
    <col min="2" max="2" width="25" customWidth="1"/>
    <col min="3" max="3" width="76.75" customWidth="1"/>
    <col min="4" max="4" width="31.125" customWidth="1"/>
    <col min="7" max="7" width="36.25" customWidth="1"/>
    <col min="8" max="8" width="32.125" customWidth="1"/>
    <col min="9" max="9" width="25.875" customWidth="1"/>
    <col min="10" max="10" width="32.75" customWidth="1"/>
  </cols>
  <sheetData>
    <row r="1" spans="1:10 16000:16000" ht="18.7" customHeight="1">
      <c r="A1" s="49" t="s">
        <v>0</v>
      </c>
      <c r="B1" s="50" t="s">
        <v>1</v>
      </c>
      <c r="C1" s="73"/>
      <c r="D1" s="73"/>
      <c r="E1" s="73"/>
      <c r="F1" s="73"/>
      <c r="G1" s="73"/>
      <c r="H1" s="73"/>
      <c r="I1" s="73"/>
      <c r="J1" s="73"/>
    </row>
    <row r="2" spans="1:10 16000:16000" ht="13.75" customHeight="1">
      <c r="A2" s="51" t="s">
        <v>209</v>
      </c>
      <c r="B2" s="466" t="s">
        <v>38</v>
      </c>
      <c r="C2" s="614"/>
      <c r="D2" s="614"/>
    </row>
    <row r="3" spans="1:10 16000:16000" ht="13.75" customHeight="1">
      <c r="A3" s="465" t="s">
        <v>210</v>
      </c>
      <c r="B3" s="1259" t="str">
        <f>'C-ProductoInterno'!B3</f>
        <v>Es cada insumo o producto que la pizzería compra y guarda en su inventario, sin importar si se usa para preparar algo o si se vende directamente al cliente.</v>
      </c>
      <c r="C3" s="1123"/>
      <c r="D3" s="1124"/>
      <c r="E3" s="614"/>
    </row>
    <row r="4" spans="1:10 16000:16000" ht="13.75" customHeight="1">
      <c r="A4" s="575" t="s">
        <v>211</v>
      </c>
      <c r="B4" s="1260" t="s">
        <v>212</v>
      </c>
      <c r="C4" s="1261"/>
      <c r="D4" s="576" t="s">
        <v>213</v>
      </c>
      <c r="E4" s="1262" t="s">
        <v>214</v>
      </c>
      <c r="F4" s="1263"/>
      <c r="G4" s="53" t="s">
        <v>215</v>
      </c>
      <c r="H4" s="381" t="s">
        <v>216</v>
      </c>
      <c r="I4" s="377" t="s">
        <v>217</v>
      </c>
      <c r="J4" s="380" t="s">
        <v>218</v>
      </c>
    </row>
    <row r="5" spans="1:10 16000:16000" ht="13.75" customHeight="1">
      <c r="A5" s="575" t="s">
        <v>211</v>
      </c>
      <c r="B5" s="378" t="s">
        <v>219</v>
      </c>
      <c r="C5" s="378" t="s">
        <v>79</v>
      </c>
      <c r="D5" s="576" t="s">
        <v>220</v>
      </c>
      <c r="E5" s="1264" t="s">
        <v>221</v>
      </c>
      <c r="F5" s="1261"/>
      <c r="G5" s="53" t="s">
        <v>222</v>
      </c>
      <c r="H5" s="381" t="s">
        <v>223</v>
      </c>
      <c r="I5" s="377" t="s">
        <v>224</v>
      </c>
      <c r="J5" s="458" t="s">
        <v>225</v>
      </c>
    </row>
    <row r="6" spans="1:10 16000:16000" ht="13.75" customHeight="1">
      <c r="E6" s="126" t="s">
        <v>226</v>
      </c>
      <c r="F6" s="126" t="s">
        <v>79</v>
      </c>
      <c r="G6" s="127" t="s">
        <v>227</v>
      </c>
      <c r="J6" s="562"/>
    </row>
    <row r="7" spans="1:10 16000:16000" ht="12.9" customHeight="1">
      <c r="A7" s="1046" t="s">
        <v>228</v>
      </c>
      <c r="B7" s="1046" t="s">
        <v>825</v>
      </c>
      <c r="C7" s="1046" t="s">
        <v>826</v>
      </c>
      <c r="D7" s="1046" t="s">
        <v>38</v>
      </c>
      <c r="E7" s="1046" t="s">
        <v>28</v>
      </c>
      <c r="F7" s="1046" t="s">
        <v>827</v>
      </c>
      <c r="G7" s="779" t="str">
        <f>HYPERLINK("#'P-ProductoInterno'!A5", "P-PI-001")</f>
        <v>P-PI-001</v>
      </c>
      <c r="H7" s="1046"/>
      <c r="I7" s="1046" t="s">
        <v>828</v>
      </c>
      <c r="J7" s="1046"/>
    </row>
    <row r="8" spans="1:10 16000:16000">
      <c r="A8" s="1047"/>
      <c r="B8" s="1047"/>
      <c r="C8" s="1047"/>
      <c r="D8" s="1047"/>
      <c r="E8" s="1047"/>
      <c r="F8" s="1047"/>
      <c r="G8" s="779" t="str">
        <f>HYPERLINK("#'P-ProductoInterno'!A6", "P-PI-002")</f>
        <v>P-PI-002</v>
      </c>
      <c r="H8" s="1047"/>
      <c r="I8" s="1047"/>
      <c r="J8" s="1047"/>
    </row>
    <row r="9" spans="1:10 16000:16000">
      <c r="A9" s="1047"/>
      <c r="B9" s="1047"/>
      <c r="C9" s="1047"/>
      <c r="D9" s="1047"/>
      <c r="E9" s="1047"/>
      <c r="F9" s="1047"/>
      <c r="G9" s="779" t="str">
        <f>HYPERLINK("#'P-ProductoInterno'!A7", "P-PI-003")</f>
        <v>P-PI-003</v>
      </c>
      <c r="H9" s="1047"/>
      <c r="I9" s="1047"/>
      <c r="J9" s="1047"/>
    </row>
    <row r="10" spans="1:10 16000:16000">
      <c r="A10" s="1047"/>
      <c r="B10" s="1047"/>
      <c r="C10" s="1047"/>
      <c r="D10" s="1047"/>
      <c r="E10" s="1047"/>
      <c r="F10" s="1047"/>
      <c r="G10" s="779" t="str">
        <f>HYPERLINK("#'P-ProductoInterno'!A8", "P-PI-004")</f>
        <v>P-PI-004</v>
      </c>
      <c r="H10" s="1047"/>
      <c r="I10" s="1047"/>
      <c r="J10" s="1047"/>
    </row>
    <row r="11" spans="1:10 16000:16000" ht="89.5" customHeight="1">
      <c r="A11" s="1048"/>
      <c r="B11" s="1048"/>
      <c r="C11" s="1048"/>
      <c r="D11" s="1048"/>
      <c r="E11" s="1048"/>
      <c r="F11" s="1048"/>
      <c r="G11" s="779" t="str">
        <f>HYPERLINK("#'P-ProductoInterno'!A14", "P-PI-010")</f>
        <v>P-PI-010</v>
      </c>
      <c r="H11" s="1048"/>
      <c r="I11" s="1048"/>
      <c r="J11" s="1048"/>
    </row>
    <row r="12" spans="1:10 16000:16000" ht="89.5" customHeight="1">
      <c r="A12" s="1059" t="s">
        <v>228</v>
      </c>
      <c r="B12" s="1059" t="s">
        <v>829</v>
      </c>
      <c r="C12" s="1059" t="s">
        <v>830</v>
      </c>
      <c r="D12" s="1059" t="s">
        <v>38</v>
      </c>
      <c r="E12" s="1059" t="s">
        <v>831</v>
      </c>
      <c r="F12" s="1059" t="s">
        <v>832</v>
      </c>
      <c r="G12" s="794" t="str">
        <f>HYPERLINK("#'P-ProductoInterno'!A9", "P-PI-005")</f>
        <v>P-PI-005</v>
      </c>
      <c r="H12" s="1059"/>
      <c r="I12" s="1059" t="s">
        <v>833</v>
      </c>
      <c r="J12" s="1059"/>
    </row>
    <row r="13" spans="1:10 16000:16000">
      <c r="A13" s="1060"/>
      <c r="B13" s="1060"/>
      <c r="C13" s="1060"/>
      <c r="D13" s="1060"/>
      <c r="E13" s="1060"/>
      <c r="F13" s="1060"/>
      <c r="G13" s="794" t="str">
        <f>HYPERLINK("#'P-ProductoInterno'!A13", "P-PI-009")</f>
        <v>P-PI-009</v>
      </c>
      <c r="H13" s="1060"/>
      <c r="I13" s="1060"/>
      <c r="J13" s="1060"/>
    </row>
    <row r="14" spans="1:10 16000:16000" s="614" customFormat="1">
      <c r="A14" s="1060"/>
      <c r="B14" s="1060"/>
      <c r="C14" s="1060"/>
      <c r="D14" s="1060"/>
      <c r="E14" s="1060"/>
      <c r="F14" s="1060"/>
      <c r="G14" s="794" t="str">
        <f>HYPERLINK("#'P-ProductoInterno'!A5", "P-PI-001")</f>
        <v>P-PI-001</v>
      </c>
      <c r="H14" s="1060"/>
      <c r="I14" s="1060"/>
      <c r="J14" s="1060"/>
      <c r="WQJ14"/>
    </row>
    <row r="15" spans="1:10 16000:16000" s="614" customFormat="1">
      <c r="A15" s="1060"/>
      <c r="B15" s="1060"/>
      <c r="C15" s="1060"/>
      <c r="D15" s="1060"/>
      <c r="E15" s="1060"/>
      <c r="F15" s="1060"/>
      <c r="G15" s="794" t="str">
        <f>HYPERLINK("#'P-ProductoInterno'!A6", "P-PI-002")</f>
        <v>P-PI-002</v>
      </c>
      <c r="H15" s="1060"/>
      <c r="I15" s="1060"/>
      <c r="J15" s="1060"/>
      <c r="WQJ15"/>
    </row>
    <row r="16" spans="1:10 16000:16000" s="614" customFormat="1">
      <c r="A16" s="1061"/>
      <c r="B16" s="1061"/>
      <c r="C16" s="1061"/>
      <c r="D16" s="1061"/>
      <c r="E16" s="1061"/>
      <c r="F16" s="1061"/>
      <c r="G16" s="794" t="str">
        <f>HYPERLINK("#'P-ProductoInterno'!A7", "P-PI-003")</f>
        <v>P-PI-003</v>
      </c>
      <c r="H16" s="1061"/>
      <c r="I16" s="1061"/>
      <c r="J16" s="1061"/>
      <c r="WQJ16"/>
    </row>
    <row r="17" spans="1:10 16000:16000" s="614" customFormat="1" ht="90.35" customHeight="1">
      <c r="A17" s="1049" t="s">
        <v>228</v>
      </c>
      <c r="B17" s="1049" t="s">
        <v>1464</v>
      </c>
      <c r="C17" s="1049" t="s">
        <v>1465</v>
      </c>
      <c r="D17" s="1049" t="s">
        <v>38</v>
      </c>
      <c r="E17" s="1049"/>
      <c r="F17" s="1049" t="s">
        <v>834</v>
      </c>
      <c r="G17" s="795" t="str">
        <f>HYPERLINK("#'P-ProductoInterno'!A11", "P-PI-007")</f>
        <v>P-PI-007</v>
      </c>
      <c r="H17" s="1049"/>
      <c r="I17" s="1049" t="s">
        <v>1466</v>
      </c>
      <c r="J17" s="1049"/>
      <c r="WQJ17"/>
    </row>
    <row r="18" spans="1:10 16000:16000" s="614" customFormat="1">
      <c r="A18" s="1050"/>
      <c r="B18" s="1050"/>
      <c r="C18" s="1050"/>
      <c r="D18" s="1050"/>
      <c r="E18" s="1050"/>
      <c r="F18" s="1050"/>
      <c r="G18" s="795" t="str">
        <f>HYPERLINK("#'P-ProductoInterno'!A12", "P-PI-008")</f>
        <v>P-PI-008</v>
      </c>
      <c r="H18" s="1050"/>
      <c r="I18" s="1050"/>
      <c r="J18" s="1050"/>
      <c r="WQJ18"/>
    </row>
    <row r="19" spans="1:10 16000:16000" s="614" customFormat="1">
      <c r="A19" s="1050"/>
      <c r="B19" s="1050"/>
      <c r="C19" s="1050"/>
      <c r="D19" s="1050"/>
      <c r="E19" s="1050"/>
      <c r="F19" s="1050"/>
      <c r="G19" s="795" t="str">
        <f>HYPERLINK("#'P-ProductoInterno'!A13", "P-PI-009")</f>
        <v>P-PI-009</v>
      </c>
      <c r="H19" s="1050"/>
      <c r="I19" s="1050"/>
      <c r="J19" s="1050"/>
      <c r="WQJ19"/>
    </row>
    <row r="20" spans="1:10 16000:16000" s="614" customFormat="1">
      <c r="A20" s="1051"/>
      <c r="B20" s="1051"/>
      <c r="C20" s="1051"/>
      <c r="D20" s="1051"/>
      <c r="E20" s="1051"/>
      <c r="F20" s="1051"/>
      <c r="G20" s="795" t="str">
        <f>HYPERLINK("#'P-ProductoInterno'!A10", "P-PI-006")</f>
        <v>P-PI-006</v>
      </c>
      <c r="H20" s="1051"/>
      <c r="I20" s="1051"/>
      <c r="J20" s="1051"/>
      <c r="WQJ20"/>
    </row>
    <row r="21" spans="1:10 16000:16000" s="614" customFormat="1" ht="51.65">
      <c r="A21" s="875" t="s">
        <v>228</v>
      </c>
      <c r="B21" s="875" t="s">
        <v>1467</v>
      </c>
      <c r="C21" s="875" t="s">
        <v>1468</v>
      </c>
      <c r="D21" s="875"/>
      <c r="E21" s="875" t="s">
        <v>831</v>
      </c>
      <c r="F21" s="875" t="s">
        <v>1469</v>
      </c>
      <c r="G21" s="876" t="str">
        <f>HYPERLINK("#'P-ProductoInterno'!A15", "P-PI-011")</f>
        <v>P-PI-011</v>
      </c>
      <c r="H21" s="875"/>
      <c r="I21" s="875" t="s">
        <v>1470</v>
      </c>
      <c r="J21" s="875"/>
      <c r="WQJ21"/>
    </row>
  </sheetData>
  <mergeCells count="31">
    <mergeCell ref="F17:F20"/>
    <mergeCell ref="H17:H20"/>
    <mergeCell ref="I17:I20"/>
    <mergeCell ref="J17:J20"/>
    <mergeCell ref="A12:A16"/>
    <mergeCell ref="B12:B16"/>
    <mergeCell ref="C12:C16"/>
    <mergeCell ref="D12:D16"/>
    <mergeCell ref="A17:A20"/>
    <mergeCell ref="B17:B20"/>
    <mergeCell ref="C17:C20"/>
    <mergeCell ref="D17:D20"/>
    <mergeCell ref="E17:E20"/>
    <mergeCell ref="A7:A11"/>
    <mergeCell ref="B7:B11"/>
    <mergeCell ref="C7:C11"/>
    <mergeCell ref="D7:D11"/>
    <mergeCell ref="H12:H16"/>
    <mergeCell ref="H7:H11"/>
    <mergeCell ref="I7:I11"/>
    <mergeCell ref="J7:J11"/>
    <mergeCell ref="F12:F16"/>
    <mergeCell ref="B3:D3"/>
    <mergeCell ref="B4:C4"/>
    <mergeCell ref="E4:F4"/>
    <mergeCell ref="E5:F5"/>
    <mergeCell ref="E7:E11"/>
    <mergeCell ref="F7:F11"/>
    <mergeCell ref="E12:E16"/>
    <mergeCell ref="I12:I16"/>
    <mergeCell ref="J12:J16"/>
  </mergeCells>
  <hyperlinks>
    <hyperlink ref="A1" location="'Modelo de dominio'!A1" display="&lt;&lt;&lt;Modelo de Dominio" xr:uid="{00000000-0004-0000-3300-000000000000}"/>
    <hyperlink ref="B1" location="'Objetos de dominio'!A1" display="&lt;&lt;&lt;Objetos de Dominio" xr:uid="{00000000-0004-0000-3300-000001000000}"/>
    <hyperlink ref="B3" location="'Objetos de dominio'!B22" display="Objeto de dominio que representa cada insumo o producto que la pizzeria compra y almacena en su inventario (ingredientes y bebidas), ya sea que se consuma dentro de una receta o se venda directamente al cliente." xr:uid="{00000000-0004-0000-3300-000002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15"/>
  <sheetViews>
    <sheetView workbookViewId="0">
      <selection activeCell="B23" sqref="B23"/>
    </sheetView>
  </sheetViews>
  <sheetFormatPr baseColWidth="10" defaultRowHeight="12.9"/>
  <cols>
    <col min="1" max="1" width="17.625" bestFit="1" customWidth="1"/>
    <col min="2" max="2" width="98.25" bestFit="1" customWidth="1"/>
    <col min="3" max="3" width="19.5" bestFit="1" customWidth="1"/>
    <col min="4" max="4" width="19.125" bestFit="1" customWidth="1"/>
  </cols>
  <sheetData>
    <row r="1" spans="1:4">
      <c r="A1" s="49" t="s">
        <v>0</v>
      </c>
      <c r="B1" s="50" t="s">
        <v>1</v>
      </c>
      <c r="C1" s="73"/>
      <c r="D1" s="73"/>
    </row>
    <row r="2" spans="1:4" ht="13.6">
      <c r="A2" s="189" t="s">
        <v>233</v>
      </c>
      <c r="B2" s="1143" t="s">
        <v>38</v>
      </c>
      <c r="C2" s="1144"/>
      <c r="D2" s="540"/>
    </row>
    <row r="3" spans="1:4" ht="13.6">
      <c r="A3" s="190" t="s">
        <v>21</v>
      </c>
      <c r="B3" s="1111" t="str">
        <f>'C-ProductoInterno'!B3</f>
        <v>Es cada insumo o producto que la pizzería compra y guarda en su inventario, sin importar si se usa para preparar algo o si se vende directamente al cliente.</v>
      </c>
      <c r="C3" s="1033"/>
      <c r="D3" s="541"/>
    </row>
    <row r="4" spans="1:4" ht="13.6">
      <c r="A4" s="350" t="s">
        <v>234</v>
      </c>
      <c r="B4" s="326" t="s">
        <v>235</v>
      </c>
      <c r="C4" s="326" t="s">
        <v>236</v>
      </c>
      <c r="D4" s="351" t="s">
        <v>237</v>
      </c>
    </row>
    <row r="5" spans="1:4" ht="25.85">
      <c r="A5" s="573" t="s">
        <v>835</v>
      </c>
      <c r="B5" s="539" t="s">
        <v>836</v>
      </c>
      <c r="C5" s="573" t="s">
        <v>38</v>
      </c>
      <c r="D5" s="573"/>
    </row>
    <row r="6" spans="1:4">
      <c r="A6" s="573" t="s">
        <v>837</v>
      </c>
      <c r="B6" s="539" t="s">
        <v>838</v>
      </c>
      <c r="C6" s="573" t="s">
        <v>38</v>
      </c>
      <c r="D6" s="573"/>
    </row>
    <row r="7" spans="1:4" ht="25.85">
      <c r="A7" s="573" t="s">
        <v>839</v>
      </c>
      <c r="B7" s="539" t="s">
        <v>1453</v>
      </c>
      <c r="C7" s="573" t="s">
        <v>38</v>
      </c>
      <c r="D7" s="573"/>
    </row>
    <row r="8" spans="1:4">
      <c r="A8" s="573" t="s">
        <v>840</v>
      </c>
      <c r="B8" s="573" t="s">
        <v>1454</v>
      </c>
      <c r="C8" s="573" t="s">
        <v>28</v>
      </c>
      <c r="D8" s="796" t="str">
        <f>HYPERLINK("#'P-UnidadMedida'!A6", 'P-UnidadMedida'!A6)</f>
        <v>P-UM-002</v>
      </c>
    </row>
    <row r="9" spans="1:4">
      <c r="A9" s="573" t="s">
        <v>841</v>
      </c>
      <c r="B9" s="573" t="s">
        <v>842</v>
      </c>
      <c r="C9" s="573" t="s">
        <v>38</v>
      </c>
      <c r="D9" s="573"/>
    </row>
    <row r="10" spans="1:4" ht="25.85">
      <c r="A10" s="562" t="s">
        <v>843</v>
      </c>
      <c r="B10" s="523" t="s">
        <v>1455</v>
      </c>
      <c r="C10" s="562" t="s">
        <v>38</v>
      </c>
      <c r="D10" s="562"/>
    </row>
    <row r="11" spans="1:4">
      <c r="A11" s="562" t="s">
        <v>844</v>
      </c>
      <c r="B11" s="562" t="s">
        <v>845</v>
      </c>
      <c r="C11" s="562" t="s">
        <v>38</v>
      </c>
      <c r="D11" s="562"/>
    </row>
    <row r="12" spans="1:4">
      <c r="A12" s="562" t="s">
        <v>1456</v>
      </c>
      <c r="B12" s="562" t="s">
        <v>1457</v>
      </c>
      <c r="C12" s="562" t="s">
        <v>38</v>
      </c>
      <c r="D12" s="562"/>
    </row>
    <row r="13" spans="1:4">
      <c r="A13" s="562" t="s">
        <v>1458</v>
      </c>
      <c r="B13" s="562" t="s">
        <v>1459</v>
      </c>
      <c r="C13" s="562" t="s">
        <v>38</v>
      </c>
      <c r="D13" s="562"/>
    </row>
    <row r="14" spans="1:4">
      <c r="A14" s="562" t="s">
        <v>1460</v>
      </c>
      <c r="B14" s="562" t="s">
        <v>1461</v>
      </c>
      <c r="C14" s="562" t="s">
        <v>56</v>
      </c>
      <c r="D14" s="478" t="str">
        <f>HYPERLINK("#'P-Inventario'!A9", 'P-Inventario'!A9)</f>
        <v>P-INV-005</v>
      </c>
    </row>
    <row r="15" spans="1:4">
      <c r="A15" s="562" t="s">
        <v>1462</v>
      </c>
      <c r="B15" s="562" t="s">
        <v>1463</v>
      </c>
      <c r="C15" s="562" t="s">
        <v>38</v>
      </c>
      <c r="D15" s="562"/>
    </row>
  </sheetData>
  <mergeCells count="2">
    <mergeCell ref="B3:C3"/>
    <mergeCell ref="B2:C2"/>
  </mergeCells>
  <hyperlinks>
    <hyperlink ref="A1" location="'Modelo de dominio'!A1" display="&lt;&lt;&lt;Modelo de Dominio" xr:uid="{00000000-0004-0000-3400-000000000000}"/>
    <hyperlink ref="B1" location="'Objetos de dominio'!A1" display="&lt;&lt;&lt;Objetos de Dominio" xr:uid="{00000000-0004-0000-3400-000001000000}"/>
    <hyperlink ref="B3" location="'Objetos de dominio'!B22" display="Objeto de dominio que representa cada insumo o producto que la pizzeria compra y almacena en su inventario (ingredientes y bebidas), ya sea que se consuma dentro de una receta o se venda directamente al cliente." xr:uid="{00000000-0004-0000-3400-000002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8">
    <tabColor theme="2"/>
    <outlinePr summaryBelow="0" summaryRight="0"/>
  </sheetPr>
  <dimension ref="A1:P1003"/>
  <sheetViews>
    <sheetView topLeftCell="E1" workbookViewId="0">
      <selection activeCell="H2" sqref="H2"/>
    </sheetView>
  </sheetViews>
  <sheetFormatPr baseColWidth="10" defaultColWidth="12.625" defaultRowHeight="15.8" customHeight="1"/>
  <cols>
    <col min="2" max="2" width="24.75" style="614" customWidth="1"/>
    <col min="4" max="5" width="27.25" customWidth="1"/>
    <col min="6" max="7" width="26.875" customWidth="1"/>
    <col min="8" max="8" width="18.625" style="614" customWidth="1"/>
    <col min="9" max="9" width="51.875" customWidth="1"/>
    <col min="10" max="10" width="46" customWidth="1"/>
    <col min="13" max="13" width="38.125" customWidth="1"/>
  </cols>
  <sheetData>
    <row r="1" spans="1:16" ht="18.7" customHeight="1">
      <c r="A1" s="76" t="s">
        <v>348</v>
      </c>
      <c r="B1" s="132" t="s">
        <v>1</v>
      </c>
      <c r="C1" s="82"/>
      <c r="D1" s="82"/>
      <c r="E1" s="82"/>
      <c r="F1" s="82"/>
      <c r="G1" s="82"/>
      <c r="H1" s="82"/>
      <c r="J1" s="202"/>
    </row>
    <row r="2" spans="1:16" ht="63" customHeight="1">
      <c r="A2" s="303" t="s">
        <v>1154</v>
      </c>
      <c r="B2" s="303" t="s">
        <v>349</v>
      </c>
      <c r="C2" s="303" t="s">
        <v>350</v>
      </c>
      <c r="D2" s="303" t="s">
        <v>351</v>
      </c>
      <c r="E2" s="303" t="s">
        <v>352</v>
      </c>
      <c r="F2" s="303" t="s">
        <v>353</v>
      </c>
      <c r="G2" s="303" t="s">
        <v>1155</v>
      </c>
      <c r="H2" s="303" t="s">
        <v>354</v>
      </c>
      <c r="I2" s="303"/>
      <c r="J2" s="202"/>
      <c r="K2" s="82"/>
      <c r="L2" s="82"/>
    </row>
    <row r="3" spans="1:16" ht="12.75" customHeight="1">
      <c r="A3" s="1266" t="s">
        <v>8</v>
      </c>
      <c r="B3" s="1265" t="s">
        <v>355</v>
      </c>
      <c r="C3" s="1267" t="s">
        <v>1156</v>
      </c>
      <c r="D3" s="1267" t="s">
        <v>356</v>
      </c>
      <c r="E3" s="1267" t="s">
        <v>357</v>
      </c>
      <c r="F3" s="1267" t="s">
        <v>358</v>
      </c>
      <c r="G3" s="1267" t="s">
        <v>36</v>
      </c>
      <c r="H3" s="1267" t="s">
        <v>10</v>
      </c>
      <c r="I3" s="1267"/>
      <c r="J3" s="202"/>
      <c r="K3" s="39"/>
      <c r="L3" s="39"/>
    </row>
    <row r="4" spans="1:16" ht="12.75" customHeight="1">
      <c r="A4" s="1089"/>
      <c r="B4" s="1089"/>
      <c r="C4" s="1089"/>
      <c r="D4" s="1089"/>
      <c r="E4" s="1089"/>
      <c r="F4" s="1089"/>
      <c r="G4" s="1089"/>
      <c r="H4" s="1089"/>
      <c r="I4" s="1089"/>
      <c r="J4" s="202"/>
      <c r="K4" s="39"/>
      <c r="L4" s="39"/>
    </row>
    <row r="5" spans="1:16" s="97" customFormat="1" ht="32.299999999999997" customHeight="1">
      <c r="A5" s="304" t="s">
        <v>14</v>
      </c>
      <c r="B5" s="313" t="s">
        <v>15</v>
      </c>
      <c r="C5" s="313" t="s">
        <v>15</v>
      </c>
      <c r="D5" s="313" t="s">
        <v>15</v>
      </c>
      <c r="E5" s="313" t="s">
        <v>15</v>
      </c>
      <c r="F5" s="313" t="s">
        <v>100</v>
      </c>
      <c r="G5" s="313" t="s">
        <v>15</v>
      </c>
      <c r="H5" s="313" t="s">
        <v>15</v>
      </c>
      <c r="I5" s="313"/>
      <c r="J5" s="128"/>
      <c r="K5" s="3"/>
      <c r="L5" s="3"/>
    </row>
    <row r="6" spans="1:16" ht="12.75" customHeight="1">
      <c r="A6" s="305" t="s">
        <v>16</v>
      </c>
      <c r="B6" s="306" t="s">
        <v>38</v>
      </c>
      <c r="C6" s="307" t="s">
        <v>76</v>
      </c>
      <c r="D6" s="310" t="s">
        <v>28</v>
      </c>
      <c r="E6" s="307" t="s">
        <v>359</v>
      </c>
      <c r="F6" s="308" t="s">
        <v>77</v>
      </c>
      <c r="G6" s="312" t="s">
        <v>36</v>
      </c>
      <c r="H6" s="312" t="s">
        <v>10</v>
      </c>
      <c r="I6" s="335" t="s">
        <v>1129</v>
      </c>
      <c r="J6" s="335" t="s">
        <v>1142</v>
      </c>
      <c r="K6" s="39"/>
      <c r="L6" s="39"/>
    </row>
    <row r="7" spans="1:16" ht="12.75" customHeight="1">
      <c r="A7" s="307">
        <v>1</v>
      </c>
      <c r="B7" s="314" t="str">
        <f>HYPERLINK("#'M-ProductoInterno'!B9", 'M-ProductoInterno'!B9)</f>
        <v>Queso</v>
      </c>
      <c r="C7" s="307">
        <v>10200</v>
      </c>
      <c r="D7" s="309" t="str">
        <f>HYPERLINK("#'M-UnidadMedida'!B6", 'M-UnidadMedida'!B6)</f>
        <v>g</v>
      </c>
      <c r="E7" s="307">
        <v>255000</v>
      </c>
      <c r="F7" s="394" t="s">
        <v>360</v>
      </c>
      <c r="G7" s="311" t="str">
        <f>HYPERLINK("#'M-Compra'!F6", 'M-Compra'!F6)</f>
        <v>Colanta FE-1023</v>
      </c>
      <c r="H7" s="302">
        <f>HYPERLINK("#'M-TipoMovimiento'!A8", 'M-TipoMovimiento'!A8)</f>
        <v>99</v>
      </c>
      <c r="I7" s="520" t="str">
        <f t="shared" ref="I7:I20" si="0">CONCATENATE(G7," ",B7," ",TEXT(F7,"dd/mm/yyyy"))</f>
        <v>Colanta FE-1023 Queso 01/01/1000</v>
      </c>
      <c r="J7" s="520">
        <f t="shared" ref="J7:J20" si="1">H7</f>
        <v>99</v>
      </c>
      <c r="K7" s="39"/>
      <c r="L7" s="39"/>
    </row>
    <row r="8" spans="1:16" ht="12.75" customHeight="1">
      <c r="A8" s="307">
        <v>2</v>
      </c>
      <c r="B8" s="314" t="str">
        <f>HYPERLINK("#'M-ProductoInterno'!B10", 'M-ProductoInterno'!B10)</f>
        <v>Albahaca</v>
      </c>
      <c r="C8" s="307">
        <v>10300</v>
      </c>
      <c r="D8" s="309" t="str">
        <f>HYPERLINK("#'M-UnidadMedida'!B6", 'M-UnidadMedida'!B6)</f>
        <v>g</v>
      </c>
      <c r="E8" s="307">
        <v>300000</v>
      </c>
      <c r="F8" s="315">
        <v>46407</v>
      </c>
      <c r="G8" s="311" t="str">
        <f>HYPERLINK("#'M-Compra'!F6", 'M-Compra'!F6)</f>
        <v>Colanta FE-1023</v>
      </c>
      <c r="H8" s="302">
        <f>HYPERLINK("#'M-TipoMovimiento'!A9", 'M-TipoMovimiento'!A9)</f>
        <v>100</v>
      </c>
      <c r="I8" s="520" t="str">
        <f t="shared" si="0"/>
        <v>Colanta FE-1023 Albahaca 20/01/2027</v>
      </c>
      <c r="J8" s="520">
        <f t="shared" si="1"/>
        <v>100</v>
      </c>
      <c r="K8" s="40"/>
      <c r="L8" s="40"/>
      <c r="M8" s="39"/>
      <c r="N8" s="39"/>
      <c r="O8" s="41"/>
      <c r="P8" s="202"/>
    </row>
    <row r="9" spans="1:16" ht="12.75" customHeight="1">
      <c r="A9" s="307">
        <v>3</v>
      </c>
      <c r="B9" s="314" t="str">
        <f>HYPERLINK("#'M-ProductoInterno'!B12", 'M-ProductoInterno'!B12)</f>
        <v>Peperoni</v>
      </c>
      <c r="C9" s="307">
        <v>12.5</v>
      </c>
      <c r="D9" s="309" t="str">
        <f>HYPERLINK("#'M-UnidadMedida'!B7", 'M-UnidadMedida'!B7)</f>
        <v>kg</v>
      </c>
      <c r="E9" s="307">
        <v>137500</v>
      </c>
      <c r="F9" s="395" t="s">
        <v>360</v>
      </c>
      <c r="G9" s="311" t="str">
        <f>HYPERLINK("#'M-Compra'!F6", 'M-Compra'!F6)</f>
        <v>Colanta FE-1023</v>
      </c>
      <c r="H9" s="302">
        <f>HYPERLINK("#'M-TipoMovimiento'!A10", 'M-TipoMovimiento'!A10)</f>
        <v>101</v>
      </c>
      <c r="I9" s="520" t="str">
        <f t="shared" si="0"/>
        <v>Colanta FE-1023 Peperoni 01/01/1000</v>
      </c>
      <c r="J9" s="520">
        <f t="shared" si="1"/>
        <v>101</v>
      </c>
      <c r="K9" s="39"/>
      <c r="L9" s="39"/>
    </row>
    <row r="10" spans="1:16" ht="12.75" customHeight="1">
      <c r="A10" s="307">
        <v>4</v>
      </c>
      <c r="B10" s="314" t="str">
        <f>HYPERLINK("#'M-ProductoInterno'!B8", 'M-ProductoInterno'!B8)</f>
        <v>Aceite de oliva</v>
      </c>
      <c r="C10" s="307">
        <v>15200</v>
      </c>
      <c r="D10" s="309" t="str">
        <f>HYPERLINK("#'M-UnidadMedida'!B8", 'M-UnidadMedida'!B8)</f>
        <v>ml</v>
      </c>
      <c r="E10" s="307">
        <v>456000</v>
      </c>
      <c r="F10" s="315">
        <v>46422</v>
      </c>
      <c r="G10" s="311" t="str">
        <f>HYPERLINK("#'M-Compra'!F7", 'M-Compra'!F7)</f>
        <v>Harinera del valle FV-4587</v>
      </c>
      <c r="H10" s="302">
        <f>HYPERLINK("#'M-TipoMovimiento'!A11", 'M-TipoMovimiento'!A11)</f>
        <v>102</v>
      </c>
      <c r="I10" s="520" t="str">
        <f t="shared" si="0"/>
        <v>Harinera del valle FV-4587 Aceite de oliva 04/02/2027</v>
      </c>
      <c r="J10" s="520">
        <f t="shared" si="1"/>
        <v>102</v>
      </c>
      <c r="K10" s="39"/>
      <c r="L10" s="39"/>
      <c r="M10" s="39"/>
      <c r="N10" s="39"/>
      <c r="O10" s="39"/>
    </row>
    <row r="11" spans="1:16" ht="12.75" customHeight="1">
      <c r="A11" s="307">
        <v>5</v>
      </c>
      <c r="B11" s="314" t="str">
        <f>HYPERLINK("#'M-ProductoInterno'!B8", 'M-ProductoInterno'!B8)</f>
        <v>Aceite de oliva</v>
      </c>
      <c r="C11" s="307">
        <v>3000</v>
      </c>
      <c r="D11" s="309" t="str">
        <f>HYPERLINK("#'M-UnidadMedida'!B8", 'M-UnidadMedida'!B8)</f>
        <v>ml</v>
      </c>
      <c r="E11" s="307">
        <v>93000</v>
      </c>
      <c r="F11" s="316">
        <v>46423</v>
      </c>
      <c r="G11" s="311" t="str">
        <f>HYPERLINK("#'M-Compra'!F7", 'M-Compra'!F7)</f>
        <v>Harinera del valle FV-4587</v>
      </c>
      <c r="H11" s="302">
        <f>HYPERLINK("#'M-TipoMovimiento'!A12", 'M-TipoMovimiento'!A12)</f>
        <v>103</v>
      </c>
      <c r="I11" s="520" t="str">
        <f t="shared" si="0"/>
        <v>Harinera del valle FV-4587 Aceite de oliva 05/02/2027</v>
      </c>
      <c r="J11" s="520">
        <f t="shared" si="1"/>
        <v>103</v>
      </c>
      <c r="K11" s="39"/>
      <c r="L11" s="39"/>
      <c r="M11" s="39"/>
      <c r="N11" s="39"/>
      <c r="O11" s="39"/>
    </row>
    <row r="12" spans="1:16" ht="12.75" customHeight="1">
      <c r="A12" s="307">
        <v>6</v>
      </c>
      <c r="B12" s="314" t="str">
        <f>HYPERLINK("#'M-ProductoInterno'!B6", 'M-ProductoInterno'!B6)</f>
        <v>Masa de Pizza</v>
      </c>
      <c r="C12" s="307">
        <v>200</v>
      </c>
      <c r="D12" s="309" t="str">
        <f>HYPERLINK("#'M-UnidadMedida'!B6", 'M-UnidadMedida'!B6)</f>
        <v>g</v>
      </c>
      <c r="E12" s="307">
        <v>2000</v>
      </c>
      <c r="F12" s="316">
        <v>46540</v>
      </c>
      <c r="G12" s="311" t="str">
        <f>HYPERLINK("#'M-Compra'!F7", 'M-Compra'!F7)</f>
        <v>Harinera del valle FV-4587</v>
      </c>
      <c r="H12" s="302">
        <f>HYPERLINK("#'M-TipoMovimiento'!A13", 'M-TipoMovimiento'!A13)</f>
        <v>104</v>
      </c>
      <c r="I12" s="520" t="str">
        <f t="shared" si="0"/>
        <v>Harinera del valle FV-4587 Masa de Pizza 02/06/2027</v>
      </c>
      <c r="J12" s="520">
        <f t="shared" si="1"/>
        <v>104</v>
      </c>
      <c r="K12" s="39"/>
      <c r="L12" s="39"/>
      <c r="M12" s="39"/>
      <c r="N12" s="39"/>
      <c r="O12" s="39"/>
    </row>
    <row r="13" spans="1:16" ht="12.75" customHeight="1">
      <c r="A13" s="307">
        <v>7</v>
      </c>
      <c r="B13" s="314" t="str">
        <f>HYPERLINK("#'M-ProductoInterno'!B17", 'M-ProductoInterno'!B17)</f>
        <v>Pepsi 400 ml</v>
      </c>
      <c r="C13" s="307">
        <v>24</v>
      </c>
      <c r="D13" s="309" t="str">
        <f>HYPERLINK("#'M-UnidadMedida'!B10", 'M-UnidadMedida'!B10)</f>
        <v>und</v>
      </c>
      <c r="E13" s="307">
        <v>3600</v>
      </c>
      <c r="F13" s="316">
        <v>46285</v>
      </c>
      <c r="G13" s="311" t="str">
        <f>HYPERLINK("#'M-Compra'!F8", 'M-Compra'!F8)</f>
        <v>Postobon PO-9012</v>
      </c>
      <c r="H13" s="302">
        <f>HYPERLINK("#'M-TipoMovimiento'!A14", 'M-TipoMovimiento'!A14)</f>
        <v>105</v>
      </c>
      <c r="I13" s="520" t="str">
        <f t="shared" si="0"/>
        <v>Postobon PO-9012 Pepsi 400 ml 20/09/2026</v>
      </c>
      <c r="J13" s="520">
        <f t="shared" si="1"/>
        <v>105</v>
      </c>
    </row>
    <row r="14" spans="1:16" ht="12.75" customHeight="1">
      <c r="A14" s="307">
        <v>8</v>
      </c>
      <c r="B14" s="314" t="str">
        <f>HYPERLINK("#'M-ProductoInterno'!B6", 'M-ProductoInterno'!B6)</f>
        <v>Masa de Pizza</v>
      </c>
      <c r="C14" s="307">
        <v>12000</v>
      </c>
      <c r="D14" s="309" t="str">
        <f>HYPERLINK("#'M-UnidadMedida'!B6", 'M-UnidadMedida'!B6)</f>
        <v>g</v>
      </c>
      <c r="E14" s="307">
        <v>126000</v>
      </c>
      <c r="F14" s="316">
        <v>46645</v>
      </c>
      <c r="G14" s="311" t="str">
        <f>HYPERLINK("#'M-Compra'!F9", 'M-Compra'!F9)</f>
        <v>Harinera del valle FV-5102</v>
      </c>
      <c r="H14" s="302">
        <f>HYPERLINK("#'M-TipoMovimiento'!A15", 'M-TipoMovimiento'!A15)</f>
        <v>106</v>
      </c>
      <c r="I14" s="520" t="str">
        <f t="shared" si="0"/>
        <v>Harinera del valle FV-5102 Masa de Pizza 15/09/2027</v>
      </c>
      <c r="J14" s="520">
        <f t="shared" si="1"/>
        <v>106</v>
      </c>
    </row>
    <row r="15" spans="1:16" ht="12.75" customHeight="1">
      <c r="A15" s="307">
        <v>9</v>
      </c>
      <c r="B15" s="317" t="str">
        <f>HYPERLINK("#'M-ProductoInterno'!B9", 'M-ProductoInterno'!B9)</f>
        <v>Queso</v>
      </c>
      <c r="C15" s="520">
        <v>150</v>
      </c>
      <c r="D15" s="317" t="str">
        <f>HYPERLINK("#'M-UnidadMedida'!B6", 'M-UnidadMedida'!B6)</f>
        <v>g</v>
      </c>
      <c r="E15" s="520">
        <v>3750</v>
      </c>
      <c r="F15" s="396" t="s">
        <v>360</v>
      </c>
      <c r="G15" s="318" t="str">
        <f>HYPERLINK("#'M-Compra'!F10", 'M-Compra'!F10)</f>
        <v>Colanta FE-1102</v>
      </c>
      <c r="H15" s="302">
        <f>HYPERLINK("#'M-TipoMovimiento'!A16", 'M-TipoMovimiento'!A16)</f>
        <v>107</v>
      </c>
      <c r="I15" s="520" t="str">
        <f t="shared" si="0"/>
        <v>Colanta FE-1102 Queso 01/01/1000</v>
      </c>
      <c r="J15" s="520">
        <f t="shared" si="1"/>
        <v>107</v>
      </c>
    </row>
    <row r="16" spans="1:16" ht="12.75" customHeight="1">
      <c r="A16" s="562">
        <v>10</v>
      </c>
      <c r="B16" s="317" t="str">
        <f>HYPERLINK("#'M-ProductoInterno'!B7", 'M-ProductoInterno'!B7)</f>
        <v>Salsa de Tomate</v>
      </c>
      <c r="C16" s="520">
        <v>10500</v>
      </c>
      <c r="D16" s="317" t="str">
        <f>HYPERLINK("#'M-UnidadMedida'!B6", 'M-UnidadMedida'!B6)</f>
        <v>g</v>
      </c>
      <c r="E16" s="520">
        <v>105000</v>
      </c>
      <c r="F16" s="319">
        <v>46553</v>
      </c>
      <c r="G16" s="318" t="str">
        <f>HYPERLINK("#'M-Compra'!F11", 'M-Compra'!F11)</f>
        <v>Central de Abastos CA-2201</v>
      </c>
      <c r="H16" s="302">
        <f>HYPERLINK("#'M-TipoMovimiento'!A17", 'M-TipoMovimiento'!A17)</f>
        <v>108</v>
      </c>
      <c r="I16" s="520" t="str">
        <f t="shared" si="0"/>
        <v>Central de Abastos CA-2201 Salsa de Tomate 15/06/2027</v>
      </c>
      <c r="J16" s="520">
        <f t="shared" si="1"/>
        <v>108</v>
      </c>
    </row>
    <row r="17" spans="1:10" ht="12.75" customHeight="1">
      <c r="A17" s="562">
        <v>11</v>
      </c>
      <c r="B17" s="288" t="str">
        <f>HYPERLINK("#'M-ProductoInterno'!B9", 'M-ProductoInterno'!B9)</f>
        <v>Queso</v>
      </c>
      <c r="C17" s="520">
        <v>300</v>
      </c>
      <c r="D17" s="288" t="str">
        <f>HYPERLINK("#'M-UnidadMedida'!B6", 'M-UnidadMedida'!B6)</f>
        <v>g</v>
      </c>
      <c r="E17" s="520">
        <v>7500</v>
      </c>
      <c r="F17" s="622" t="s">
        <v>360</v>
      </c>
      <c r="G17" s="302" t="str">
        <f>HYPERLINK("#'M-Compra'!F12", 'M-Compra'!F12)</f>
        <v>Colanta FE-1250</v>
      </c>
      <c r="H17" s="302">
        <f>HYPERLINK("#'M-TipoMovimiento'!A18", 'M-TipoMovimiento'!A18)</f>
        <v>109</v>
      </c>
      <c r="I17" s="520" t="str">
        <f t="shared" si="0"/>
        <v>Colanta FE-1250 Queso 01/01/1000</v>
      </c>
      <c r="J17" s="520">
        <f t="shared" si="1"/>
        <v>109</v>
      </c>
    </row>
    <row r="18" spans="1:10" ht="12.75" customHeight="1">
      <c r="A18" s="562">
        <v>12</v>
      </c>
      <c r="B18" s="288" t="str">
        <f>HYPERLINK("#'M-ProductoInterno'!B21", 'M-ProductoInterno'!B21)</f>
        <v>Jamón</v>
      </c>
      <c r="C18" s="520">
        <v>1000</v>
      </c>
      <c r="D18" s="288" t="str">
        <f>HYPERLINK("#'M-UnidadMedida'!B6", 'M-UnidadMedida'!B6)</f>
        <v>g</v>
      </c>
      <c r="E18" s="520">
        <v>30000</v>
      </c>
      <c r="F18" s="622" t="s">
        <v>360</v>
      </c>
      <c r="G18" s="302" t="str">
        <f>HYPERLINK("#'M-Compra'!F13", 'M-Compra'!F13)</f>
        <v>Central de Abastos CA-2310</v>
      </c>
      <c r="H18" s="302">
        <f>HYPERLINK("#'M-TipoMovimiento'!A19", 'M-TipoMovimiento'!A19)</f>
        <v>110</v>
      </c>
      <c r="I18" s="520" t="str">
        <f t="shared" si="0"/>
        <v>Central de Abastos CA-2310 Jamón 01/01/1000</v>
      </c>
      <c r="J18" s="520">
        <f t="shared" si="1"/>
        <v>110</v>
      </c>
    </row>
    <row r="19" spans="1:10" ht="12.75" customHeight="1">
      <c r="A19" s="562">
        <v>13</v>
      </c>
      <c r="B19" s="288" t="str">
        <f>HYPERLINK("#'M-ProductoInterno'!B13", 'M-ProductoInterno'!B13)</f>
        <v>Piña</v>
      </c>
      <c r="C19" s="520">
        <v>1000</v>
      </c>
      <c r="D19" s="288" t="str">
        <f>HYPERLINK("#'M-UnidadMedida'!B6", 'M-UnidadMedida'!B6)</f>
        <v>g</v>
      </c>
      <c r="E19" s="520">
        <v>6000</v>
      </c>
      <c r="F19" s="622" t="s">
        <v>360</v>
      </c>
      <c r="G19" s="302" t="str">
        <f>HYPERLINK("#'M-Compra'!F13", 'M-Compra'!F13)</f>
        <v>Central de Abastos CA-2310</v>
      </c>
      <c r="H19" s="302">
        <f>HYPERLINK("#'M-TipoMovimiento'!A20", 'M-TipoMovimiento'!A20)</f>
        <v>111</v>
      </c>
      <c r="I19" s="520" t="str">
        <f t="shared" si="0"/>
        <v>Central de Abastos CA-2310 Piña 01/01/1000</v>
      </c>
      <c r="J19" s="520">
        <f t="shared" si="1"/>
        <v>111</v>
      </c>
    </row>
    <row r="20" spans="1:10" ht="12.75" customHeight="1">
      <c r="A20" s="562">
        <v>14</v>
      </c>
      <c r="B20" s="288" t="str">
        <f>HYPERLINK("#'M-ProductoInterno'!B9", 'M-ProductoInterno'!B9)</f>
        <v>Queso</v>
      </c>
      <c r="C20" s="520">
        <v>500</v>
      </c>
      <c r="D20" s="288" t="str">
        <f>HYPERLINK("#'M-UnidadMedida'!B6", 'M-UnidadMedida'!B6)</f>
        <v>g</v>
      </c>
      <c r="E20" s="520">
        <v>12500</v>
      </c>
      <c r="F20" s="622" t="s">
        <v>360</v>
      </c>
      <c r="G20" s="302" t="str">
        <f>HYPERLINK("#'M-Compra'!F14", 'M-Compra'!F14)</f>
        <v>Colanta FE-1263</v>
      </c>
      <c r="H20" s="302">
        <f>HYPERLINK("#'M-TipoMovimiento'!A21", 'M-TipoMovimiento'!A21)</f>
        <v>112</v>
      </c>
      <c r="I20" s="520" t="str">
        <f t="shared" si="0"/>
        <v>Colanta FE-1263 Queso 01/01/1000</v>
      </c>
      <c r="J20" s="520">
        <f t="shared" si="1"/>
        <v>112</v>
      </c>
    </row>
    <row r="21" spans="1:10" ht="12.75" customHeight="1">
      <c r="J21" s="202"/>
    </row>
    <row r="22" spans="1:10" ht="12.75" customHeight="1">
      <c r="J22" s="202"/>
    </row>
    <row r="23" spans="1:10" ht="12.75" customHeight="1">
      <c r="J23" s="202"/>
    </row>
    <row r="24" spans="1:10" ht="12.75" customHeight="1">
      <c r="J24" s="202"/>
    </row>
    <row r="25" spans="1:10" ht="12.75" customHeight="1">
      <c r="J25" s="202"/>
    </row>
    <row r="26" spans="1:10" ht="12.75" customHeight="1">
      <c r="J26" s="202"/>
    </row>
    <row r="27" spans="1:10" ht="12.75" customHeight="1">
      <c r="J27" s="202"/>
    </row>
    <row r="28" spans="1:10" ht="12.75" customHeight="1">
      <c r="J28" s="202"/>
    </row>
    <row r="29" spans="1:10" ht="12.75" customHeight="1">
      <c r="J29" s="202"/>
    </row>
    <row r="30" spans="1:10" ht="12.75" customHeight="1">
      <c r="J30" s="202"/>
    </row>
    <row r="31" spans="1:10" ht="12.75" customHeight="1">
      <c r="J31" s="202"/>
    </row>
    <row r="32" spans="1:10" ht="12.75" customHeight="1">
      <c r="J32" s="202"/>
    </row>
    <row r="33" spans="10:10" ht="12.75" customHeight="1">
      <c r="J33" s="202"/>
    </row>
    <row r="34" spans="10:10" ht="12.75" customHeight="1">
      <c r="J34" s="202"/>
    </row>
    <row r="35" spans="10:10" ht="12.75" customHeight="1">
      <c r="J35" s="202"/>
    </row>
    <row r="36" spans="10:10" ht="12.75" customHeight="1">
      <c r="J36" s="202"/>
    </row>
    <row r="37" spans="10:10" ht="12.75" customHeight="1">
      <c r="J37" s="202"/>
    </row>
    <row r="38" spans="10:10" ht="12.75" customHeight="1">
      <c r="J38" s="202"/>
    </row>
    <row r="39" spans="10:10" ht="12.75" customHeight="1">
      <c r="J39" s="202"/>
    </row>
    <row r="40" spans="10:10" ht="12.75" customHeight="1">
      <c r="J40" s="202"/>
    </row>
    <row r="41" spans="10:10" ht="12.75" customHeight="1">
      <c r="J41" s="202"/>
    </row>
    <row r="42" spans="10:10" ht="12.75" customHeight="1">
      <c r="J42" s="202"/>
    </row>
    <row r="43" spans="10:10" ht="12.75" customHeight="1">
      <c r="J43" s="202"/>
    </row>
    <row r="44" spans="10:10" ht="12.75" customHeight="1">
      <c r="J44" s="202"/>
    </row>
    <row r="45" spans="10:10" ht="12.75" customHeight="1">
      <c r="J45" s="202"/>
    </row>
    <row r="46" spans="10:10" ht="12.75" customHeight="1">
      <c r="J46" s="202"/>
    </row>
    <row r="47" spans="10:10" ht="12.75" customHeight="1">
      <c r="J47" s="202"/>
    </row>
    <row r="48" spans="10:10" ht="12.75" customHeight="1">
      <c r="J48" s="202"/>
    </row>
    <row r="49" spans="10:10" ht="12.75" customHeight="1">
      <c r="J49" s="202"/>
    </row>
    <row r="50" spans="10:10" ht="12.75" customHeight="1">
      <c r="J50" s="202"/>
    </row>
    <row r="51" spans="10:10" ht="12.75" customHeight="1">
      <c r="J51" s="202"/>
    </row>
    <row r="52" spans="10:10" ht="12.75" customHeight="1">
      <c r="J52" s="202"/>
    </row>
    <row r="53" spans="10:10" ht="12.75" customHeight="1">
      <c r="J53" s="202"/>
    </row>
    <row r="54" spans="10:10" ht="12.75" customHeight="1">
      <c r="J54" s="202"/>
    </row>
    <row r="55" spans="10:10" ht="12.75" customHeight="1">
      <c r="J55" s="202"/>
    </row>
    <row r="56" spans="10:10" ht="12.75" customHeight="1">
      <c r="J56" s="202"/>
    </row>
    <row r="57" spans="10:10" ht="12.75" customHeight="1">
      <c r="J57" s="202"/>
    </row>
    <row r="58" spans="10:10" ht="12.75" customHeight="1">
      <c r="J58" s="202"/>
    </row>
    <row r="59" spans="10:10" ht="12.75" customHeight="1">
      <c r="J59" s="202"/>
    </row>
    <row r="60" spans="10:10" ht="12.75" customHeight="1">
      <c r="J60" s="202"/>
    </row>
    <row r="61" spans="10:10" ht="12.75" customHeight="1">
      <c r="J61" s="202"/>
    </row>
    <row r="62" spans="10:10" ht="12.75" customHeight="1">
      <c r="J62" s="202"/>
    </row>
    <row r="63" spans="10:10" ht="12.75" customHeight="1">
      <c r="J63" s="202"/>
    </row>
    <row r="64" spans="10:10" ht="12.75" customHeight="1">
      <c r="J64" s="202"/>
    </row>
    <row r="65" spans="10:10" ht="12.75" customHeight="1">
      <c r="J65" s="202"/>
    </row>
    <row r="66" spans="10:10" ht="12.75" customHeight="1">
      <c r="J66" s="202"/>
    </row>
    <row r="67" spans="10:10" ht="12.75" customHeight="1">
      <c r="J67" s="202"/>
    </row>
    <row r="68" spans="10:10" ht="12.75" customHeight="1">
      <c r="J68" s="202"/>
    </row>
    <row r="69" spans="10:10" ht="12.75" customHeight="1">
      <c r="J69" s="202"/>
    </row>
    <row r="70" spans="10:10" ht="12.75" customHeight="1">
      <c r="J70" s="202"/>
    </row>
    <row r="71" spans="10:10" ht="12.75" customHeight="1">
      <c r="J71" s="202"/>
    </row>
    <row r="72" spans="10:10" ht="12.75" customHeight="1">
      <c r="J72" s="202"/>
    </row>
    <row r="73" spans="10:10" ht="12.75" customHeight="1">
      <c r="J73" s="202"/>
    </row>
    <row r="74" spans="10:10" ht="12.75" customHeight="1">
      <c r="J74" s="202"/>
    </row>
    <row r="75" spans="10:10" ht="12.75" customHeight="1">
      <c r="J75" s="202"/>
    </row>
    <row r="76" spans="10:10" ht="12.75" customHeight="1">
      <c r="J76" s="202"/>
    </row>
    <row r="77" spans="10:10" ht="12.75" customHeight="1">
      <c r="J77" s="202"/>
    </row>
    <row r="78" spans="10:10" ht="12.75" customHeight="1">
      <c r="J78" s="202"/>
    </row>
    <row r="79" spans="10:10" ht="12.75" customHeight="1">
      <c r="J79" s="202"/>
    </row>
    <row r="80" spans="10:10" ht="12.75" customHeight="1">
      <c r="J80" s="202"/>
    </row>
    <row r="81" spans="10:10" ht="12.75" customHeight="1">
      <c r="J81" s="202"/>
    </row>
    <row r="82" spans="10:10" ht="12.75" customHeight="1">
      <c r="J82" s="202"/>
    </row>
    <row r="83" spans="10:10" ht="12.75" customHeight="1">
      <c r="J83" s="202"/>
    </row>
    <row r="84" spans="10:10" ht="12.75" customHeight="1">
      <c r="J84" s="202"/>
    </row>
    <row r="85" spans="10:10" ht="12.75" customHeight="1">
      <c r="J85" s="202"/>
    </row>
    <row r="86" spans="10:10" ht="12.75" customHeight="1">
      <c r="J86" s="202"/>
    </row>
    <row r="87" spans="10:10" ht="12.75" customHeight="1">
      <c r="J87" s="202"/>
    </row>
    <row r="88" spans="10:10" ht="12.75" customHeight="1">
      <c r="J88" s="202"/>
    </row>
    <row r="89" spans="10:10" ht="12.75" customHeight="1">
      <c r="J89" s="202"/>
    </row>
    <row r="90" spans="10:10" ht="12.75" customHeight="1">
      <c r="J90" s="202"/>
    </row>
    <row r="91" spans="10:10" ht="12.75" customHeight="1">
      <c r="J91" s="202"/>
    </row>
    <row r="92" spans="10:10" ht="12.75" customHeight="1">
      <c r="J92" s="202"/>
    </row>
    <row r="93" spans="10:10" ht="12.75" customHeight="1">
      <c r="J93" s="202"/>
    </row>
    <row r="94" spans="10:10" ht="12.75" customHeight="1">
      <c r="J94" s="202"/>
    </row>
    <row r="95" spans="10:10" ht="12.75" customHeight="1">
      <c r="J95" s="202"/>
    </row>
    <row r="96" spans="10:10" ht="12.75" customHeight="1">
      <c r="J96" s="202"/>
    </row>
    <row r="97" spans="10:10" ht="12.75" customHeight="1">
      <c r="J97" s="202"/>
    </row>
    <row r="98" spans="10:10" ht="12.75" customHeight="1">
      <c r="J98" s="202"/>
    </row>
    <row r="99" spans="10:10" ht="12.75" customHeight="1">
      <c r="J99" s="202"/>
    </row>
    <row r="100" spans="10:10" ht="12.75" customHeight="1">
      <c r="J100" s="202"/>
    </row>
    <row r="101" spans="10:10" ht="12.75" customHeight="1">
      <c r="J101" s="202"/>
    </row>
    <row r="102" spans="10:10" ht="12.75" customHeight="1">
      <c r="J102" s="202"/>
    </row>
    <row r="103" spans="10:10" ht="12.75" customHeight="1">
      <c r="J103" s="202"/>
    </row>
    <row r="104" spans="10:10" ht="12.75" customHeight="1">
      <c r="J104" s="202"/>
    </row>
    <row r="105" spans="10:10" ht="12.75" customHeight="1">
      <c r="J105" s="202"/>
    </row>
    <row r="106" spans="10:10" ht="12.75" customHeight="1">
      <c r="J106" s="202"/>
    </row>
    <row r="107" spans="10:10" ht="12.75" customHeight="1">
      <c r="J107" s="202"/>
    </row>
    <row r="108" spans="10:10" ht="12.75" customHeight="1">
      <c r="J108" s="202"/>
    </row>
    <row r="109" spans="10:10" ht="12.75" customHeight="1">
      <c r="J109" s="202"/>
    </row>
    <row r="110" spans="10:10" ht="12.75" customHeight="1">
      <c r="J110" s="202"/>
    </row>
    <row r="111" spans="10:10" ht="12.75" customHeight="1">
      <c r="J111" s="202"/>
    </row>
    <row r="112" spans="10:10" ht="12.75" customHeight="1">
      <c r="J112" s="202"/>
    </row>
    <row r="113" spans="10:10" ht="12.75" customHeight="1">
      <c r="J113" s="202"/>
    </row>
    <row r="114" spans="10:10" ht="12.75" customHeight="1">
      <c r="J114" s="202"/>
    </row>
    <row r="115" spans="10:10" ht="12.75" customHeight="1">
      <c r="J115" s="202"/>
    </row>
    <row r="116" spans="10:10" ht="12.75" customHeight="1">
      <c r="J116" s="202"/>
    </row>
    <row r="117" spans="10:10" ht="12.75" customHeight="1">
      <c r="J117" s="202"/>
    </row>
    <row r="118" spans="10:10" ht="12.75" customHeight="1">
      <c r="J118" s="202"/>
    </row>
    <row r="119" spans="10:10" ht="12.75" customHeight="1">
      <c r="J119" s="202"/>
    </row>
    <row r="120" spans="10:10" ht="12.75" customHeight="1">
      <c r="J120" s="202"/>
    </row>
    <row r="121" spans="10:10" ht="12.75" customHeight="1">
      <c r="J121" s="202"/>
    </row>
    <row r="122" spans="10:10" ht="12.75" customHeight="1">
      <c r="J122" s="202"/>
    </row>
    <row r="123" spans="10:10" ht="12.75" customHeight="1">
      <c r="J123" s="202"/>
    </row>
    <row r="124" spans="10:10" ht="12.75" customHeight="1">
      <c r="J124" s="202"/>
    </row>
    <row r="125" spans="10:10" ht="12.75" customHeight="1">
      <c r="J125" s="202"/>
    </row>
    <row r="126" spans="10:10" ht="12.75" customHeight="1">
      <c r="J126" s="202"/>
    </row>
    <row r="127" spans="10:10" ht="12.75" customHeight="1">
      <c r="J127" s="202"/>
    </row>
    <row r="128" spans="10:10" ht="12.75" customHeight="1">
      <c r="J128" s="202"/>
    </row>
    <row r="129" spans="10:10" ht="12.75" customHeight="1">
      <c r="J129" s="202"/>
    </row>
    <row r="130" spans="10:10" ht="12.75" customHeight="1">
      <c r="J130" s="202"/>
    </row>
    <row r="131" spans="10:10" ht="12.75" customHeight="1">
      <c r="J131" s="202"/>
    </row>
    <row r="132" spans="10:10" ht="12.75" customHeight="1">
      <c r="J132" s="202"/>
    </row>
    <row r="133" spans="10:10" ht="12.75" customHeight="1">
      <c r="J133" s="202"/>
    </row>
    <row r="134" spans="10:10" ht="12.75" customHeight="1">
      <c r="J134" s="202"/>
    </row>
    <row r="135" spans="10:10" ht="12.75" customHeight="1">
      <c r="J135" s="202"/>
    </row>
    <row r="136" spans="10:10" ht="12.75" customHeight="1">
      <c r="J136" s="202"/>
    </row>
    <row r="137" spans="10:10" ht="12.75" customHeight="1">
      <c r="J137" s="202"/>
    </row>
    <row r="138" spans="10:10" ht="12.75" customHeight="1">
      <c r="J138" s="202"/>
    </row>
    <row r="139" spans="10:10" ht="12.75" customHeight="1">
      <c r="J139" s="202"/>
    </row>
    <row r="140" spans="10:10" ht="12.75" customHeight="1">
      <c r="J140" s="202"/>
    </row>
    <row r="141" spans="10:10" ht="12.75" customHeight="1">
      <c r="J141" s="202"/>
    </row>
    <row r="142" spans="10:10" ht="12.75" customHeight="1">
      <c r="J142" s="202"/>
    </row>
    <row r="143" spans="10:10" ht="12.75" customHeight="1">
      <c r="J143" s="202"/>
    </row>
    <row r="144" spans="10:10" ht="12.75" customHeight="1">
      <c r="J144" s="202"/>
    </row>
    <row r="145" spans="10:10" ht="12.75" customHeight="1">
      <c r="J145" s="202"/>
    </row>
    <row r="146" spans="10:10" ht="12.75" customHeight="1">
      <c r="J146" s="202"/>
    </row>
    <row r="147" spans="10:10" ht="12.75" customHeight="1">
      <c r="J147" s="202"/>
    </row>
    <row r="148" spans="10:10" ht="12.75" customHeight="1">
      <c r="J148" s="202"/>
    </row>
    <row r="149" spans="10:10" ht="12.75" customHeight="1">
      <c r="J149" s="202"/>
    </row>
    <row r="150" spans="10:10" ht="12.75" customHeight="1">
      <c r="J150" s="202"/>
    </row>
    <row r="151" spans="10:10" ht="12.75" customHeight="1">
      <c r="J151" s="202"/>
    </row>
    <row r="152" spans="10:10" ht="12.75" customHeight="1">
      <c r="J152" s="202"/>
    </row>
    <row r="153" spans="10:10" ht="12.75" customHeight="1">
      <c r="J153" s="202"/>
    </row>
    <row r="154" spans="10:10" ht="12.75" customHeight="1">
      <c r="J154" s="202"/>
    </row>
    <row r="155" spans="10:10" ht="12.75" customHeight="1">
      <c r="J155" s="202"/>
    </row>
    <row r="156" spans="10:10" ht="12.75" customHeight="1">
      <c r="J156" s="202"/>
    </row>
    <row r="157" spans="10:10" ht="12.75" customHeight="1">
      <c r="J157" s="202"/>
    </row>
    <row r="158" spans="10:10" ht="12.75" customHeight="1">
      <c r="J158" s="202"/>
    </row>
    <row r="159" spans="10:10" ht="12.75" customHeight="1">
      <c r="J159" s="202"/>
    </row>
    <row r="160" spans="10:10" ht="12.75" customHeight="1">
      <c r="J160" s="202"/>
    </row>
    <row r="161" spans="10:10" ht="12.75" customHeight="1">
      <c r="J161" s="202"/>
    </row>
    <row r="162" spans="10:10" ht="12.75" customHeight="1">
      <c r="J162" s="202"/>
    </row>
    <row r="163" spans="10:10" ht="12.75" customHeight="1">
      <c r="J163" s="202"/>
    </row>
    <row r="164" spans="10:10" ht="12.75" customHeight="1">
      <c r="J164" s="202"/>
    </row>
    <row r="165" spans="10:10" ht="12.75" customHeight="1">
      <c r="J165" s="202"/>
    </row>
    <row r="166" spans="10:10" ht="12.75" customHeight="1">
      <c r="J166" s="202"/>
    </row>
    <row r="167" spans="10:10" ht="12.75" customHeight="1">
      <c r="J167" s="202"/>
    </row>
    <row r="168" spans="10:10" ht="12.75" customHeight="1">
      <c r="J168" s="202"/>
    </row>
    <row r="169" spans="10:10" ht="12.75" customHeight="1">
      <c r="J169" s="202"/>
    </row>
    <row r="170" spans="10:10" ht="12.75" customHeight="1">
      <c r="J170" s="202"/>
    </row>
    <row r="171" spans="10:10" ht="12.75" customHeight="1">
      <c r="J171" s="202"/>
    </row>
    <row r="172" spans="10:10" ht="12.75" customHeight="1">
      <c r="J172" s="202"/>
    </row>
    <row r="173" spans="10:10" ht="12.75" customHeight="1">
      <c r="J173" s="202"/>
    </row>
    <row r="174" spans="10:10" ht="12.75" customHeight="1">
      <c r="J174" s="202"/>
    </row>
    <row r="175" spans="10:10" ht="12.75" customHeight="1">
      <c r="J175" s="202"/>
    </row>
    <row r="176" spans="10:10" ht="12.75" customHeight="1">
      <c r="J176" s="202"/>
    </row>
    <row r="177" spans="10:10" ht="12.75" customHeight="1">
      <c r="J177" s="202"/>
    </row>
    <row r="178" spans="10:10" ht="12.75" customHeight="1">
      <c r="J178" s="202"/>
    </row>
    <row r="179" spans="10:10" ht="12.75" customHeight="1">
      <c r="J179" s="202"/>
    </row>
    <row r="180" spans="10:10" ht="12.75" customHeight="1">
      <c r="J180" s="202"/>
    </row>
    <row r="181" spans="10:10" ht="12.75" customHeight="1">
      <c r="J181" s="202"/>
    </row>
    <row r="182" spans="10:10" ht="12.75" customHeight="1">
      <c r="J182" s="202"/>
    </row>
    <row r="183" spans="10:10" ht="12.75" customHeight="1">
      <c r="J183" s="202"/>
    </row>
    <row r="184" spans="10:10" ht="12.75" customHeight="1">
      <c r="J184" s="202"/>
    </row>
    <row r="185" spans="10:10" ht="12.75" customHeight="1">
      <c r="J185" s="202"/>
    </row>
    <row r="186" spans="10:10" ht="12.75" customHeight="1">
      <c r="J186" s="202"/>
    </row>
    <row r="187" spans="10:10" ht="12.75" customHeight="1">
      <c r="J187" s="202"/>
    </row>
    <row r="188" spans="10:10" ht="12.75" customHeight="1">
      <c r="J188" s="202"/>
    </row>
    <row r="189" spans="10:10" ht="12.75" customHeight="1">
      <c r="J189" s="202"/>
    </row>
    <row r="190" spans="10:10" ht="12.75" customHeight="1">
      <c r="J190" s="202"/>
    </row>
    <row r="191" spans="10:10" ht="12.75" customHeight="1">
      <c r="J191" s="202"/>
    </row>
    <row r="192" spans="10:10" ht="12.75" customHeight="1">
      <c r="J192" s="202"/>
    </row>
    <row r="193" spans="10:10" ht="12.75" customHeight="1">
      <c r="J193" s="202"/>
    </row>
    <row r="194" spans="10:10" ht="12.75" customHeight="1">
      <c r="J194" s="202"/>
    </row>
    <row r="195" spans="10:10" ht="12.75" customHeight="1">
      <c r="J195" s="202"/>
    </row>
    <row r="196" spans="10:10" ht="12.75" customHeight="1">
      <c r="J196" s="202"/>
    </row>
    <row r="197" spans="10:10" ht="12.75" customHeight="1">
      <c r="J197" s="202"/>
    </row>
    <row r="198" spans="10:10" ht="12.75" customHeight="1">
      <c r="J198" s="202"/>
    </row>
    <row r="199" spans="10:10" ht="12.75" customHeight="1">
      <c r="J199" s="202"/>
    </row>
    <row r="200" spans="10:10" ht="12.75" customHeight="1">
      <c r="J200" s="202"/>
    </row>
    <row r="201" spans="10:10" ht="12.75" customHeight="1">
      <c r="J201" s="202"/>
    </row>
    <row r="202" spans="10:10" ht="12.75" customHeight="1">
      <c r="J202" s="202"/>
    </row>
    <row r="203" spans="10:10" ht="12.75" customHeight="1">
      <c r="J203" s="202"/>
    </row>
    <row r="204" spans="10:10" ht="12.75" customHeight="1">
      <c r="J204" s="202"/>
    </row>
    <row r="205" spans="10:10" ht="12.75" customHeight="1">
      <c r="J205" s="202"/>
    </row>
    <row r="206" spans="10:10" ht="12.75" customHeight="1">
      <c r="J206" s="202"/>
    </row>
    <row r="207" spans="10:10" ht="12.75" customHeight="1">
      <c r="J207" s="202"/>
    </row>
    <row r="208" spans="10:10" ht="12.75" customHeight="1">
      <c r="J208" s="202"/>
    </row>
    <row r="209" spans="10:10" ht="12.75" customHeight="1">
      <c r="J209" s="202"/>
    </row>
    <row r="210" spans="10:10" ht="12.75" customHeight="1">
      <c r="J210" s="202"/>
    </row>
    <row r="211" spans="10:10" ht="12.75" customHeight="1">
      <c r="J211" s="202"/>
    </row>
    <row r="212" spans="10:10" ht="12.75" customHeight="1">
      <c r="J212" s="202"/>
    </row>
    <row r="213" spans="10:10" ht="12.75" customHeight="1">
      <c r="J213" s="202"/>
    </row>
    <row r="214" spans="10:10" ht="12.75" customHeight="1">
      <c r="J214" s="202"/>
    </row>
    <row r="215" spans="10:10" ht="12.75" customHeight="1">
      <c r="J215" s="202"/>
    </row>
    <row r="216" spans="10:10" ht="12.75" customHeight="1">
      <c r="J216" s="202"/>
    </row>
    <row r="217" spans="10:10" ht="12.75" customHeight="1">
      <c r="J217" s="202"/>
    </row>
    <row r="218" spans="10:10" ht="12.75" customHeight="1">
      <c r="J218" s="202"/>
    </row>
    <row r="219" spans="10:10" ht="12.75" customHeight="1">
      <c r="J219" s="202"/>
    </row>
    <row r="220" spans="10:10" ht="12.75" customHeight="1">
      <c r="J220" s="202"/>
    </row>
    <row r="221" spans="10:10" ht="12.75" customHeight="1">
      <c r="J221" s="202"/>
    </row>
    <row r="222" spans="10:10" ht="12.75" customHeight="1">
      <c r="J222" s="202"/>
    </row>
    <row r="223" spans="10:10" ht="12.75" customHeight="1">
      <c r="J223" s="202"/>
    </row>
    <row r="224" spans="10:10" ht="12.75" customHeight="1">
      <c r="J224" s="202"/>
    </row>
    <row r="225" spans="10:10" ht="12.75" customHeight="1">
      <c r="J225" s="202"/>
    </row>
    <row r="226" spans="10:10" ht="12.75" customHeight="1">
      <c r="J226" s="202"/>
    </row>
    <row r="227" spans="10:10" ht="12.75" customHeight="1">
      <c r="J227" s="202"/>
    </row>
    <row r="228" spans="10:10" ht="12.75" customHeight="1">
      <c r="J228" s="202"/>
    </row>
    <row r="229" spans="10:10" ht="12.75" customHeight="1">
      <c r="J229" s="202"/>
    </row>
    <row r="230" spans="10:10" ht="12.75" customHeight="1">
      <c r="J230" s="202"/>
    </row>
    <row r="231" spans="10:10" ht="12.75" customHeight="1">
      <c r="J231" s="202"/>
    </row>
    <row r="232" spans="10:10" ht="12.75" customHeight="1">
      <c r="J232" s="202"/>
    </row>
    <row r="233" spans="10:10" ht="12.75" customHeight="1">
      <c r="J233" s="202"/>
    </row>
    <row r="234" spans="10:10" ht="12.75" customHeight="1">
      <c r="J234" s="202"/>
    </row>
    <row r="235" spans="10:10" ht="12.75" customHeight="1">
      <c r="J235" s="202"/>
    </row>
    <row r="236" spans="10:10" ht="12.75" customHeight="1">
      <c r="J236" s="202"/>
    </row>
    <row r="237" spans="10:10" ht="12.75" customHeight="1">
      <c r="J237" s="202"/>
    </row>
    <row r="238" spans="10:10" ht="12.75" customHeight="1">
      <c r="J238" s="202"/>
    </row>
    <row r="239" spans="10:10" ht="12.75" customHeight="1">
      <c r="J239" s="202"/>
    </row>
    <row r="240" spans="10:10" ht="12.75" customHeight="1">
      <c r="J240" s="202"/>
    </row>
    <row r="241" spans="10:10" ht="12.75" customHeight="1">
      <c r="J241" s="202"/>
    </row>
    <row r="242" spans="10:10" ht="12.75" customHeight="1">
      <c r="J242" s="202"/>
    </row>
    <row r="243" spans="10:10" ht="12.75" customHeight="1">
      <c r="J243" s="202"/>
    </row>
    <row r="244" spans="10:10" ht="12.75" customHeight="1">
      <c r="J244" s="202"/>
    </row>
    <row r="245" spans="10:10" ht="12.75" customHeight="1">
      <c r="J245" s="202"/>
    </row>
    <row r="246" spans="10:10" ht="12.75" customHeight="1">
      <c r="J246" s="202"/>
    </row>
    <row r="247" spans="10:10" ht="12.75" customHeight="1">
      <c r="J247" s="202"/>
    </row>
    <row r="248" spans="10:10" ht="12.75" customHeight="1">
      <c r="J248" s="202"/>
    </row>
    <row r="249" spans="10:10" ht="12.75" customHeight="1">
      <c r="J249" s="202"/>
    </row>
    <row r="250" spans="10:10" ht="12.75" customHeight="1">
      <c r="J250" s="202"/>
    </row>
    <row r="251" spans="10:10" ht="12.75" customHeight="1">
      <c r="J251" s="202"/>
    </row>
    <row r="252" spans="10:10" ht="12.75" customHeight="1">
      <c r="J252" s="202"/>
    </row>
    <row r="253" spans="10:10" ht="12.75" customHeight="1">
      <c r="J253" s="202"/>
    </row>
    <row r="254" spans="10:10" ht="12.75" customHeight="1">
      <c r="J254" s="202"/>
    </row>
    <row r="255" spans="10:10" ht="12.75" customHeight="1">
      <c r="J255" s="202"/>
    </row>
    <row r="256" spans="10:10" ht="12.75" customHeight="1">
      <c r="J256" s="202"/>
    </row>
    <row r="257" spans="10:10" ht="12.75" customHeight="1">
      <c r="J257" s="202"/>
    </row>
    <row r="258" spans="10:10" ht="12.75" customHeight="1">
      <c r="J258" s="202"/>
    </row>
    <row r="259" spans="10:10" ht="12.75" customHeight="1">
      <c r="J259" s="202"/>
    </row>
    <row r="260" spans="10:10" ht="12.75" customHeight="1">
      <c r="J260" s="202"/>
    </row>
    <row r="261" spans="10:10" ht="12.75" customHeight="1">
      <c r="J261" s="202"/>
    </row>
    <row r="262" spans="10:10" ht="12.75" customHeight="1">
      <c r="J262" s="202"/>
    </row>
    <row r="263" spans="10:10" ht="12.75" customHeight="1">
      <c r="J263" s="202"/>
    </row>
    <row r="264" spans="10:10" ht="12.75" customHeight="1">
      <c r="J264" s="202"/>
    </row>
    <row r="265" spans="10:10" ht="12.75" customHeight="1">
      <c r="J265" s="202"/>
    </row>
    <row r="266" spans="10:10" ht="12.75" customHeight="1">
      <c r="J266" s="202"/>
    </row>
    <row r="267" spans="10:10" ht="12.75" customHeight="1">
      <c r="J267" s="202"/>
    </row>
    <row r="268" spans="10:10" ht="12.75" customHeight="1">
      <c r="J268" s="202"/>
    </row>
    <row r="269" spans="10:10" ht="12.75" customHeight="1">
      <c r="J269" s="202"/>
    </row>
    <row r="270" spans="10:10" ht="12.75" customHeight="1">
      <c r="J270" s="202"/>
    </row>
    <row r="271" spans="10:10" ht="12.75" customHeight="1">
      <c r="J271" s="202"/>
    </row>
    <row r="272" spans="10:10" ht="12.75" customHeight="1">
      <c r="J272" s="202"/>
    </row>
    <row r="273" spans="10:10" ht="12.75" customHeight="1">
      <c r="J273" s="202"/>
    </row>
    <row r="274" spans="10:10" ht="12.75" customHeight="1">
      <c r="J274" s="202"/>
    </row>
    <row r="275" spans="10:10" ht="12.75" customHeight="1">
      <c r="J275" s="202"/>
    </row>
    <row r="276" spans="10:10" ht="12.75" customHeight="1">
      <c r="J276" s="202"/>
    </row>
    <row r="277" spans="10:10" ht="12.75" customHeight="1">
      <c r="J277" s="202"/>
    </row>
    <row r="278" spans="10:10" ht="12.75" customHeight="1">
      <c r="J278" s="202"/>
    </row>
    <row r="279" spans="10:10" ht="12.75" customHeight="1">
      <c r="J279" s="202"/>
    </row>
    <row r="280" spans="10:10" ht="12.75" customHeight="1">
      <c r="J280" s="202"/>
    </row>
    <row r="281" spans="10:10" ht="12.75" customHeight="1">
      <c r="J281" s="202"/>
    </row>
    <row r="282" spans="10:10" ht="12.75" customHeight="1">
      <c r="J282" s="202"/>
    </row>
    <row r="283" spans="10:10" ht="12.75" customHeight="1">
      <c r="J283" s="202"/>
    </row>
    <row r="284" spans="10:10" ht="12.75" customHeight="1">
      <c r="J284" s="202"/>
    </row>
    <row r="285" spans="10:10" ht="12.75" customHeight="1">
      <c r="J285" s="202"/>
    </row>
    <row r="286" spans="10:10" ht="12.75" customHeight="1">
      <c r="J286" s="202"/>
    </row>
    <row r="287" spans="10:10" ht="12.75" customHeight="1">
      <c r="J287" s="202"/>
    </row>
    <row r="288" spans="10:10" ht="12.75" customHeight="1">
      <c r="J288" s="202"/>
    </row>
    <row r="289" spans="10:10" ht="12.75" customHeight="1">
      <c r="J289" s="202"/>
    </row>
    <row r="290" spans="10:10" ht="12.75" customHeight="1">
      <c r="J290" s="202"/>
    </row>
    <row r="291" spans="10:10" ht="12.75" customHeight="1">
      <c r="J291" s="202"/>
    </row>
    <row r="292" spans="10:10" ht="12.75" customHeight="1">
      <c r="J292" s="202"/>
    </row>
    <row r="293" spans="10:10" ht="12.75" customHeight="1">
      <c r="J293" s="202"/>
    </row>
    <row r="294" spans="10:10" ht="12.75" customHeight="1">
      <c r="J294" s="202"/>
    </row>
    <row r="295" spans="10:10" ht="12.75" customHeight="1">
      <c r="J295" s="202"/>
    </row>
    <row r="296" spans="10:10" ht="12.75" customHeight="1">
      <c r="J296" s="202"/>
    </row>
    <row r="297" spans="10:10" ht="12.75" customHeight="1">
      <c r="J297" s="202"/>
    </row>
    <row r="298" spans="10:10" ht="12.75" customHeight="1">
      <c r="J298" s="202"/>
    </row>
    <row r="299" spans="10:10" ht="12.75" customHeight="1">
      <c r="J299" s="202"/>
    </row>
    <row r="300" spans="10:10" ht="12.75" customHeight="1">
      <c r="J300" s="202"/>
    </row>
    <row r="301" spans="10:10" ht="12.75" customHeight="1">
      <c r="J301" s="202"/>
    </row>
    <row r="302" spans="10:10" ht="12.75" customHeight="1">
      <c r="J302" s="202"/>
    </row>
    <row r="303" spans="10:10" ht="12.75" customHeight="1">
      <c r="J303" s="202"/>
    </row>
    <row r="304" spans="10:10" ht="12.75" customHeight="1">
      <c r="J304" s="202"/>
    </row>
    <row r="305" spans="10:10" ht="12.75" customHeight="1">
      <c r="J305" s="202"/>
    </row>
    <row r="306" spans="10:10" ht="12.75" customHeight="1">
      <c r="J306" s="202"/>
    </row>
    <row r="307" spans="10:10" ht="12.75" customHeight="1">
      <c r="J307" s="202"/>
    </row>
    <row r="308" spans="10:10" ht="12.75" customHeight="1">
      <c r="J308" s="202"/>
    </row>
    <row r="309" spans="10:10" ht="12.75" customHeight="1">
      <c r="J309" s="202"/>
    </row>
    <row r="310" spans="10:10" ht="12.75" customHeight="1">
      <c r="J310" s="202"/>
    </row>
    <row r="311" spans="10:10" ht="12.75" customHeight="1">
      <c r="J311" s="202"/>
    </row>
    <row r="312" spans="10:10" ht="12.75" customHeight="1">
      <c r="J312" s="202"/>
    </row>
    <row r="313" spans="10:10" ht="12.75" customHeight="1">
      <c r="J313" s="202"/>
    </row>
    <row r="314" spans="10:10" ht="12.75" customHeight="1">
      <c r="J314" s="202"/>
    </row>
    <row r="315" spans="10:10" ht="12.75" customHeight="1">
      <c r="J315" s="202"/>
    </row>
    <row r="316" spans="10:10" ht="12.75" customHeight="1">
      <c r="J316" s="202"/>
    </row>
    <row r="317" spans="10:10" ht="12.75" customHeight="1">
      <c r="J317" s="202"/>
    </row>
    <row r="318" spans="10:10" ht="12.75" customHeight="1">
      <c r="J318" s="202"/>
    </row>
    <row r="319" spans="10:10" ht="12.75" customHeight="1">
      <c r="J319" s="202"/>
    </row>
    <row r="320" spans="10:10" ht="12.75" customHeight="1">
      <c r="J320" s="202"/>
    </row>
    <row r="321" spans="10:10" ht="12.75" customHeight="1">
      <c r="J321" s="202"/>
    </row>
    <row r="322" spans="10:10" ht="12.75" customHeight="1">
      <c r="J322" s="202"/>
    </row>
    <row r="323" spans="10:10" ht="12.75" customHeight="1">
      <c r="J323" s="202"/>
    </row>
    <row r="324" spans="10:10" ht="12.75" customHeight="1">
      <c r="J324" s="202"/>
    </row>
    <row r="325" spans="10:10" ht="12.75" customHeight="1">
      <c r="J325" s="202"/>
    </row>
    <row r="326" spans="10:10" ht="12.75" customHeight="1">
      <c r="J326" s="202"/>
    </row>
    <row r="327" spans="10:10" ht="12.75" customHeight="1">
      <c r="J327" s="202"/>
    </row>
    <row r="328" spans="10:10" ht="12.75" customHeight="1">
      <c r="J328" s="202"/>
    </row>
    <row r="329" spans="10:10" ht="12.75" customHeight="1">
      <c r="J329" s="202"/>
    </row>
    <row r="330" spans="10:10" ht="12.75" customHeight="1">
      <c r="J330" s="202"/>
    </row>
    <row r="331" spans="10:10" ht="12.75" customHeight="1">
      <c r="J331" s="202"/>
    </row>
    <row r="332" spans="10:10" ht="12.75" customHeight="1">
      <c r="J332" s="202"/>
    </row>
    <row r="333" spans="10:10" ht="12.75" customHeight="1">
      <c r="J333" s="202"/>
    </row>
    <row r="334" spans="10:10" ht="12.75" customHeight="1">
      <c r="J334" s="202"/>
    </row>
    <row r="335" spans="10:10" ht="12.75" customHeight="1">
      <c r="J335" s="202"/>
    </row>
    <row r="336" spans="10:10" ht="12.75" customHeight="1">
      <c r="J336" s="202"/>
    </row>
    <row r="337" spans="10:10" ht="12.75" customHeight="1">
      <c r="J337" s="202"/>
    </row>
    <row r="338" spans="10:10" ht="12.75" customHeight="1">
      <c r="J338" s="202"/>
    </row>
    <row r="339" spans="10:10" ht="12.75" customHeight="1">
      <c r="J339" s="202"/>
    </row>
    <row r="340" spans="10:10" ht="12.75" customHeight="1">
      <c r="J340" s="202"/>
    </row>
    <row r="341" spans="10:10" ht="12.75" customHeight="1">
      <c r="J341" s="202"/>
    </row>
    <row r="342" spans="10:10" ht="12.75" customHeight="1">
      <c r="J342" s="202"/>
    </row>
    <row r="343" spans="10:10" ht="12.75" customHeight="1">
      <c r="J343" s="202"/>
    </row>
    <row r="344" spans="10:10" ht="12.75" customHeight="1">
      <c r="J344" s="202"/>
    </row>
    <row r="345" spans="10:10" ht="12.75" customHeight="1">
      <c r="J345" s="202"/>
    </row>
    <row r="346" spans="10:10" ht="12.75" customHeight="1">
      <c r="J346" s="202"/>
    </row>
    <row r="347" spans="10:10" ht="12.75" customHeight="1">
      <c r="J347" s="202"/>
    </row>
    <row r="348" spans="10:10" ht="12.75" customHeight="1">
      <c r="J348" s="202"/>
    </row>
    <row r="349" spans="10:10" ht="12.75" customHeight="1">
      <c r="J349" s="202"/>
    </row>
    <row r="350" spans="10:10" ht="12.75" customHeight="1">
      <c r="J350" s="202"/>
    </row>
    <row r="351" spans="10:10" ht="12.75" customHeight="1">
      <c r="J351" s="202"/>
    </row>
    <row r="352" spans="10:10" ht="12.75" customHeight="1">
      <c r="J352" s="202"/>
    </row>
    <row r="353" spans="10:10" ht="12.75" customHeight="1">
      <c r="J353" s="202"/>
    </row>
    <row r="354" spans="10:10" ht="12.75" customHeight="1">
      <c r="J354" s="202"/>
    </row>
    <row r="355" spans="10:10" ht="12.75" customHeight="1">
      <c r="J355" s="202"/>
    </row>
    <row r="356" spans="10:10" ht="12.75" customHeight="1">
      <c r="J356" s="202"/>
    </row>
    <row r="357" spans="10:10" ht="12.75" customHeight="1">
      <c r="J357" s="202"/>
    </row>
    <row r="358" spans="10:10" ht="12.75" customHeight="1">
      <c r="J358" s="202"/>
    </row>
    <row r="359" spans="10:10" ht="12.75" customHeight="1">
      <c r="J359" s="202"/>
    </row>
    <row r="360" spans="10:10" ht="12.75" customHeight="1">
      <c r="J360" s="202"/>
    </row>
    <row r="361" spans="10:10" ht="12.75" customHeight="1">
      <c r="J361" s="202"/>
    </row>
    <row r="362" spans="10:10" ht="12.75" customHeight="1">
      <c r="J362" s="202"/>
    </row>
    <row r="363" spans="10:10" ht="12.75" customHeight="1">
      <c r="J363" s="202"/>
    </row>
    <row r="364" spans="10:10" ht="12.75" customHeight="1">
      <c r="J364" s="202"/>
    </row>
    <row r="365" spans="10:10" ht="12.75" customHeight="1">
      <c r="J365" s="202"/>
    </row>
    <row r="366" spans="10:10" ht="12.75" customHeight="1">
      <c r="J366" s="202"/>
    </row>
    <row r="367" spans="10:10" ht="12.75" customHeight="1">
      <c r="J367" s="202"/>
    </row>
    <row r="368" spans="10:10" ht="12.75" customHeight="1">
      <c r="J368" s="202"/>
    </row>
    <row r="369" spans="10:10" ht="12.75" customHeight="1">
      <c r="J369" s="202"/>
    </row>
    <row r="370" spans="10:10" ht="12.75" customHeight="1">
      <c r="J370" s="202"/>
    </row>
    <row r="371" spans="10:10" ht="12.75" customHeight="1">
      <c r="J371" s="202"/>
    </row>
    <row r="372" spans="10:10" ht="12.75" customHeight="1">
      <c r="J372" s="202"/>
    </row>
    <row r="373" spans="10:10" ht="12.75" customHeight="1">
      <c r="J373" s="202"/>
    </row>
    <row r="374" spans="10:10" ht="12.75" customHeight="1">
      <c r="J374" s="202"/>
    </row>
    <row r="375" spans="10:10" ht="12.75" customHeight="1">
      <c r="J375" s="202"/>
    </row>
    <row r="376" spans="10:10" ht="12.75" customHeight="1">
      <c r="J376" s="202"/>
    </row>
    <row r="377" spans="10:10" ht="12.75" customHeight="1">
      <c r="J377" s="202"/>
    </row>
    <row r="378" spans="10:10" ht="12.75" customHeight="1">
      <c r="J378" s="202"/>
    </row>
    <row r="379" spans="10:10" ht="12.75" customHeight="1">
      <c r="J379" s="202"/>
    </row>
    <row r="380" spans="10:10" ht="12.75" customHeight="1">
      <c r="J380" s="202"/>
    </row>
    <row r="381" spans="10:10" ht="12.75" customHeight="1">
      <c r="J381" s="202"/>
    </row>
    <row r="382" spans="10:10" ht="12.75" customHeight="1">
      <c r="J382" s="202"/>
    </row>
    <row r="383" spans="10:10" ht="12.75" customHeight="1">
      <c r="J383" s="202"/>
    </row>
    <row r="384" spans="10:10" ht="12.75" customHeight="1">
      <c r="J384" s="202"/>
    </row>
    <row r="385" spans="10:10" ht="12.75" customHeight="1">
      <c r="J385" s="202"/>
    </row>
    <row r="386" spans="10:10" ht="12.75" customHeight="1">
      <c r="J386" s="202"/>
    </row>
    <row r="387" spans="10:10" ht="12.75" customHeight="1">
      <c r="J387" s="202"/>
    </row>
    <row r="388" spans="10:10" ht="12.75" customHeight="1">
      <c r="J388" s="202"/>
    </row>
    <row r="389" spans="10:10" ht="12.75" customHeight="1">
      <c r="J389" s="202"/>
    </row>
    <row r="390" spans="10:10" ht="12.75" customHeight="1">
      <c r="J390" s="202"/>
    </row>
    <row r="391" spans="10:10" ht="12.75" customHeight="1">
      <c r="J391" s="202"/>
    </row>
    <row r="392" spans="10:10" ht="12.75" customHeight="1">
      <c r="J392" s="202"/>
    </row>
    <row r="393" spans="10:10" ht="12.75" customHeight="1">
      <c r="J393" s="202"/>
    </row>
    <row r="394" spans="10:10" ht="12.75" customHeight="1">
      <c r="J394" s="202"/>
    </row>
    <row r="395" spans="10:10" ht="12.75" customHeight="1">
      <c r="J395" s="202"/>
    </row>
    <row r="396" spans="10:10" ht="12.75" customHeight="1">
      <c r="J396" s="202"/>
    </row>
    <row r="397" spans="10:10" ht="12.75" customHeight="1">
      <c r="J397" s="202"/>
    </row>
    <row r="398" spans="10:10" ht="12.75" customHeight="1">
      <c r="J398" s="202"/>
    </row>
    <row r="399" spans="10:10" ht="12.75" customHeight="1">
      <c r="J399" s="202"/>
    </row>
    <row r="400" spans="10:10" ht="12.75" customHeight="1">
      <c r="J400" s="202"/>
    </row>
    <row r="401" spans="10:10" ht="12.75" customHeight="1">
      <c r="J401" s="202"/>
    </row>
    <row r="402" spans="10:10" ht="12.75" customHeight="1">
      <c r="J402" s="202"/>
    </row>
    <row r="403" spans="10:10" ht="12.75" customHeight="1">
      <c r="J403" s="202"/>
    </row>
    <row r="404" spans="10:10" ht="12.75" customHeight="1">
      <c r="J404" s="202"/>
    </row>
    <row r="405" spans="10:10" ht="12.75" customHeight="1">
      <c r="J405" s="202"/>
    </row>
    <row r="406" spans="10:10" ht="12.75" customHeight="1">
      <c r="J406" s="202"/>
    </row>
    <row r="407" spans="10:10" ht="12.75" customHeight="1">
      <c r="J407" s="202"/>
    </row>
    <row r="408" spans="10:10" ht="12.75" customHeight="1">
      <c r="J408" s="202"/>
    </row>
    <row r="409" spans="10:10" ht="12.75" customHeight="1">
      <c r="J409" s="202"/>
    </row>
    <row r="410" spans="10:10" ht="12.75" customHeight="1">
      <c r="J410" s="202"/>
    </row>
    <row r="411" spans="10:10" ht="12.75" customHeight="1">
      <c r="J411" s="202"/>
    </row>
    <row r="412" spans="10:10" ht="12.75" customHeight="1">
      <c r="J412" s="202"/>
    </row>
    <row r="413" spans="10:10" ht="12.75" customHeight="1">
      <c r="J413" s="202"/>
    </row>
    <row r="414" spans="10:10" ht="12.75" customHeight="1">
      <c r="J414" s="202"/>
    </row>
    <row r="415" spans="10:10" ht="12.75" customHeight="1">
      <c r="J415" s="202"/>
    </row>
    <row r="416" spans="10:10" ht="12.75" customHeight="1">
      <c r="J416" s="202"/>
    </row>
    <row r="417" spans="10:10" ht="12.75" customHeight="1">
      <c r="J417" s="202"/>
    </row>
    <row r="418" spans="10:10" ht="12.75" customHeight="1">
      <c r="J418" s="202"/>
    </row>
    <row r="419" spans="10:10" ht="12.75" customHeight="1">
      <c r="J419" s="202"/>
    </row>
    <row r="420" spans="10:10" ht="12.75" customHeight="1">
      <c r="J420" s="202"/>
    </row>
    <row r="421" spans="10:10" ht="12.75" customHeight="1">
      <c r="J421" s="202"/>
    </row>
    <row r="422" spans="10:10" ht="12.75" customHeight="1">
      <c r="J422" s="202"/>
    </row>
    <row r="423" spans="10:10" ht="12.75" customHeight="1">
      <c r="J423" s="202"/>
    </row>
    <row r="424" spans="10:10" ht="12.75" customHeight="1">
      <c r="J424" s="202"/>
    </row>
    <row r="425" spans="10:10" ht="12.75" customHeight="1">
      <c r="J425" s="202"/>
    </row>
    <row r="426" spans="10:10" ht="12.75" customHeight="1">
      <c r="J426" s="202"/>
    </row>
    <row r="427" spans="10:10" ht="12.75" customHeight="1">
      <c r="J427" s="202"/>
    </row>
    <row r="428" spans="10:10" ht="12.75" customHeight="1">
      <c r="J428" s="202"/>
    </row>
    <row r="429" spans="10:10" ht="12.75" customHeight="1">
      <c r="J429" s="202"/>
    </row>
    <row r="430" spans="10:10" ht="12.75" customHeight="1">
      <c r="J430" s="202"/>
    </row>
    <row r="431" spans="10:10" ht="12.75" customHeight="1">
      <c r="J431" s="202"/>
    </row>
    <row r="432" spans="10:10" ht="12.75" customHeight="1">
      <c r="J432" s="202"/>
    </row>
    <row r="433" spans="10:10" ht="12.75" customHeight="1">
      <c r="J433" s="202"/>
    </row>
    <row r="434" spans="10:10" ht="12.75" customHeight="1">
      <c r="J434" s="202"/>
    </row>
    <row r="435" spans="10:10" ht="12.75" customHeight="1">
      <c r="J435" s="202"/>
    </row>
    <row r="436" spans="10:10" ht="12.75" customHeight="1">
      <c r="J436" s="202"/>
    </row>
    <row r="437" spans="10:10" ht="12.75" customHeight="1">
      <c r="J437" s="202"/>
    </row>
    <row r="438" spans="10:10" ht="12.75" customHeight="1">
      <c r="J438" s="202"/>
    </row>
    <row r="439" spans="10:10" ht="12.75" customHeight="1">
      <c r="J439" s="202"/>
    </row>
    <row r="440" spans="10:10" ht="12.75" customHeight="1">
      <c r="J440" s="202"/>
    </row>
    <row r="441" spans="10:10" ht="12.75" customHeight="1">
      <c r="J441" s="202"/>
    </row>
    <row r="442" spans="10:10" ht="12.75" customHeight="1">
      <c r="J442" s="202"/>
    </row>
    <row r="443" spans="10:10" ht="12.75" customHeight="1">
      <c r="J443" s="202"/>
    </row>
    <row r="444" spans="10:10" ht="12.75" customHeight="1">
      <c r="J444" s="202"/>
    </row>
    <row r="445" spans="10:10" ht="12.75" customHeight="1">
      <c r="J445" s="202"/>
    </row>
    <row r="446" spans="10:10" ht="12.75" customHeight="1">
      <c r="J446" s="202"/>
    </row>
    <row r="447" spans="10:10" ht="12.75" customHeight="1">
      <c r="J447" s="202"/>
    </row>
    <row r="448" spans="10:10" ht="12.75" customHeight="1">
      <c r="J448" s="202"/>
    </row>
    <row r="449" spans="10:10" ht="12.75" customHeight="1">
      <c r="J449" s="202"/>
    </row>
    <row r="450" spans="10:10" ht="12.75" customHeight="1">
      <c r="J450" s="202"/>
    </row>
    <row r="451" spans="10:10" ht="12.75" customHeight="1">
      <c r="J451" s="202"/>
    </row>
    <row r="452" spans="10:10" ht="12.75" customHeight="1">
      <c r="J452" s="202"/>
    </row>
    <row r="453" spans="10:10" ht="12.75" customHeight="1">
      <c r="J453" s="202"/>
    </row>
    <row r="454" spans="10:10" ht="12.75" customHeight="1">
      <c r="J454" s="202"/>
    </row>
    <row r="455" spans="10:10" ht="12.75" customHeight="1">
      <c r="J455" s="202"/>
    </row>
    <row r="456" spans="10:10" ht="12.75" customHeight="1">
      <c r="J456" s="202"/>
    </row>
    <row r="457" spans="10:10" ht="12.75" customHeight="1">
      <c r="J457" s="202"/>
    </row>
    <row r="458" spans="10:10" ht="12.75" customHeight="1">
      <c r="J458" s="202"/>
    </row>
    <row r="459" spans="10:10" ht="12.75" customHeight="1">
      <c r="J459" s="202"/>
    </row>
    <row r="460" spans="10:10" ht="12.75" customHeight="1">
      <c r="J460" s="202"/>
    </row>
    <row r="461" spans="10:10" ht="12.75" customHeight="1">
      <c r="J461" s="202"/>
    </row>
    <row r="462" spans="10:10" ht="12.75" customHeight="1">
      <c r="J462" s="202"/>
    </row>
    <row r="463" spans="10:10" ht="12.75" customHeight="1">
      <c r="J463" s="202"/>
    </row>
    <row r="464" spans="10:10" ht="12.75" customHeight="1">
      <c r="J464" s="202"/>
    </row>
    <row r="465" spans="10:10" ht="12.75" customHeight="1">
      <c r="J465" s="202"/>
    </row>
    <row r="466" spans="10:10" ht="12.75" customHeight="1">
      <c r="J466" s="202"/>
    </row>
    <row r="467" spans="10:10" ht="12.75" customHeight="1">
      <c r="J467" s="202"/>
    </row>
    <row r="468" spans="10:10" ht="12.75" customHeight="1">
      <c r="J468" s="202"/>
    </row>
    <row r="469" spans="10:10" ht="12.75" customHeight="1">
      <c r="J469" s="202"/>
    </row>
    <row r="470" spans="10:10" ht="12.75" customHeight="1">
      <c r="J470" s="202"/>
    </row>
    <row r="471" spans="10:10" ht="12.75" customHeight="1">
      <c r="J471" s="202"/>
    </row>
    <row r="472" spans="10:10" ht="12.75" customHeight="1">
      <c r="J472" s="202"/>
    </row>
    <row r="473" spans="10:10" ht="12.75" customHeight="1">
      <c r="J473" s="202"/>
    </row>
    <row r="474" spans="10:10" ht="12.75" customHeight="1">
      <c r="J474" s="202"/>
    </row>
    <row r="475" spans="10:10" ht="12.75" customHeight="1">
      <c r="J475" s="202"/>
    </row>
    <row r="476" spans="10:10" ht="12.75" customHeight="1">
      <c r="J476" s="202"/>
    </row>
    <row r="477" spans="10:10" ht="12.75" customHeight="1">
      <c r="J477" s="202"/>
    </row>
    <row r="478" spans="10:10" ht="12.75" customHeight="1">
      <c r="J478" s="202"/>
    </row>
    <row r="479" spans="10:10" ht="12.75" customHeight="1">
      <c r="J479" s="202"/>
    </row>
    <row r="480" spans="10:10" ht="12.75" customHeight="1">
      <c r="J480" s="202"/>
    </row>
    <row r="481" spans="10:10" ht="12.75" customHeight="1">
      <c r="J481" s="202"/>
    </row>
    <row r="482" spans="10:10" ht="12.75" customHeight="1">
      <c r="J482" s="202"/>
    </row>
    <row r="483" spans="10:10" ht="12.75" customHeight="1">
      <c r="J483" s="202"/>
    </row>
    <row r="484" spans="10:10" ht="12.75" customHeight="1">
      <c r="J484" s="202"/>
    </row>
    <row r="485" spans="10:10" ht="12.75" customHeight="1">
      <c r="J485" s="202"/>
    </row>
    <row r="486" spans="10:10" ht="12.75" customHeight="1">
      <c r="J486" s="202"/>
    </row>
    <row r="487" spans="10:10" ht="12.75" customHeight="1">
      <c r="J487" s="202"/>
    </row>
    <row r="488" spans="10:10" ht="12.75" customHeight="1">
      <c r="J488" s="202"/>
    </row>
    <row r="489" spans="10:10" ht="12.75" customHeight="1">
      <c r="J489" s="202"/>
    </row>
    <row r="490" spans="10:10" ht="12.75" customHeight="1">
      <c r="J490" s="202"/>
    </row>
    <row r="491" spans="10:10" ht="12.75" customHeight="1">
      <c r="J491" s="202"/>
    </row>
    <row r="492" spans="10:10" ht="12.75" customHeight="1">
      <c r="J492" s="202"/>
    </row>
    <row r="493" spans="10:10" ht="12.75" customHeight="1">
      <c r="J493" s="202"/>
    </row>
    <row r="494" spans="10:10" ht="12.75" customHeight="1">
      <c r="J494" s="202"/>
    </row>
    <row r="495" spans="10:10" ht="12.75" customHeight="1">
      <c r="J495" s="202"/>
    </row>
    <row r="496" spans="10:10" ht="12.75" customHeight="1">
      <c r="J496" s="202"/>
    </row>
    <row r="497" spans="10:10" ht="12.75" customHeight="1">
      <c r="J497" s="202"/>
    </row>
    <row r="498" spans="10:10" ht="12.75" customHeight="1">
      <c r="J498" s="202"/>
    </row>
    <row r="499" spans="10:10" ht="12.75" customHeight="1">
      <c r="J499" s="202"/>
    </row>
    <row r="500" spans="10:10" ht="12.75" customHeight="1">
      <c r="J500" s="202"/>
    </row>
    <row r="501" spans="10:10" ht="12.75" customHeight="1">
      <c r="J501" s="202"/>
    </row>
    <row r="502" spans="10:10" ht="12.75" customHeight="1">
      <c r="J502" s="202"/>
    </row>
    <row r="503" spans="10:10" ht="12.75" customHeight="1">
      <c r="J503" s="202"/>
    </row>
    <row r="504" spans="10:10" ht="12.75" customHeight="1">
      <c r="J504" s="202"/>
    </row>
    <row r="505" spans="10:10" ht="12.75" customHeight="1">
      <c r="J505" s="202"/>
    </row>
    <row r="506" spans="10:10" ht="12.75" customHeight="1">
      <c r="J506" s="202"/>
    </row>
    <row r="507" spans="10:10" ht="12.75" customHeight="1">
      <c r="J507" s="202"/>
    </row>
    <row r="508" spans="10:10" ht="12.75" customHeight="1">
      <c r="J508" s="202"/>
    </row>
    <row r="509" spans="10:10" ht="12.75" customHeight="1">
      <c r="J509" s="202"/>
    </row>
    <row r="510" spans="10:10" ht="12.75" customHeight="1">
      <c r="J510" s="202"/>
    </row>
    <row r="511" spans="10:10" ht="12.75" customHeight="1">
      <c r="J511" s="202"/>
    </row>
    <row r="512" spans="10:10" ht="12.75" customHeight="1">
      <c r="J512" s="202"/>
    </row>
    <row r="513" spans="10:10" ht="12.75" customHeight="1">
      <c r="J513" s="202"/>
    </row>
    <row r="514" spans="10:10" ht="12.75" customHeight="1">
      <c r="J514" s="202"/>
    </row>
    <row r="515" spans="10:10" ht="12.75" customHeight="1">
      <c r="J515" s="202"/>
    </row>
    <row r="516" spans="10:10" ht="12.75" customHeight="1">
      <c r="J516" s="202"/>
    </row>
    <row r="517" spans="10:10" ht="12.75" customHeight="1">
      <c r="J517" s="202"/>
    </row>
    <row r="518" spans="10:10" ht="12.75" customHeight="1">
      <c r="J518" s="202"/>
    </row>
    <row r="519" spans="10:10" ht="12.75" customHeight="1">
      <c r="J519" s="202"/>
    </row>
    <row r="520" spans="10:10" ht="12.75" customHeight="1">
      <c r="J520" s="202"/>
    </row>
    <row r="521" spans="10:10" ht="12.75" customHeight="1">
      <c r="J521" s="202"/>
    </row>
    <row r="522" spans="10:10" ht="12.75" customHeight="1">
      <c r="J522" s="202"/>
    </row>
    <row r="523" spans="10:10" ht="12.75" customHeight="1">
      <c r="J523" s="202"/>
    </row>
    <row r="524" spans="10:10" ht="12.75" customHeight="1">
      <c r="J524" s="202"/>
    </row>
    <row r="525" spans="10:10" ht="12.75" customHeight="1">
      <c r="J525" s="202"/>
    </row>
    <row r="526" spans="10:10" ht="12.75" customHeight="1">
      <c r="J526" s="202"/>
    </row>
    <row r="527" spans="10:10" ht="12.75" customHeight="1">
      <c r="J527" s="202"/>
    </row>
    <row r="528" spans="10:10" ht="12.75" customHeight="1">
      <c r="J528" s="202"/>
    </row>
    <row r="529" spans="10:10" ht="12.75" customHeight="1">
      <c r="J529" s="202"/>
    </row>
    <row r="530" spans="10:10" ht="12.75" customHeight="1">
      <c r="J530" s="202"/>
    </row>
    <row r="531" spans="10:10" ht="12.75" customHeight="1">
      <c r="J531" s="202"/>
    </row>
    <row r="532" spans="10:10" ht="12.75" customHeight="1">
      <c r="J532" s="202"/>
    </row>
    <row r="533" spans="10:10" ht="12.75" customHeight="1">
      <c r="J533" s="202"/>
    </row>
    <row r="534" spans="10:10" ht="12.75" customHeight="1">
      <c r="J534" s="202"/>
    </row>
    <row r="535" spans="10:10" ht="12.75" customHeight="1">
      <c r="J535" s="202"/>
    </row>
    <row r="536" spans="10:10" ht="12.75" customHeight="1">
      <c r="J536" s="202"/>
    </row>
    <row r="537" spans="10:10" ht="12.75" customHeight="1">
      <c r="J537" s="202"/>
    </row>
    <row r="538" spans="10:10" ht="12.75" customHeight="1">
      <c r="J538" s="202"/>
    </row>
    <row r="539" spans="10:10" ht="12.75" customHeight="1">
      <c r="J539" s="202"/>
    </row>
    <row r="540" spans="10:10" ht="12.75" customHeight="1">
      <c r="J540" s="202"/>
    </row>
    <row r="541" spans="10:10" ht="12.75" customHeight="1">
      <c r="J541" s="202"/>
    </row>
    <row r="542" spans="10:10" ht="12.75" customHeight="1">
      <c r="J542" s="202"/>
    </row>
    <row r="543" spans="10:10" ht="12.75" customHeight="1">
      <c r="J543" s="202"/>
    </row>
    <row r="544" spans="10:10" ht="12.75" customHeight="1">
      <c r="J544" s="202"/>
    </row>
    <row r="545" spans="10:10" ht="12.75" customHeight="1">
      <c r="J545" s="202"/>
    </row>
    <row r="546" spans="10:10" ht="12.75" customHeight="1">
      <c r="J546" s="202"/>
    </row>
    <row r="547" spans="10:10" ht="12.75" customHeight="1">
      <c r="J547" s="202"/>
    </row>
    <row r="548" spans="10:10" ht="12.75" customHeight="1">
      <c r="J548" s="202"/>
    </row>
    <row r="549" spans="10:10" ht="12.75" customHeight="1">
      <c r="J549" s="202"/>
    </row>
    <row r="550" spans="10:10" ht="12.75" customHeight="1">
      <c r="J550" s="202"/>
    </row>
    <row r="551" spans="10:10" ht="12.75" customHeight="1">
      <c r="J551" s="202"/>
    </row>
    <row r="552" spans="10:10" ht="12.75" customHeight="1">
      <c r="J552" s="202"/>
    </row>
    <row r="553" spans="10:10" ht="12.75" customHeight="1">
      <c r="J553" s="202"/>
    </row>
    <row r="554" spans="10:10" ht="12.75" customHeight="1">
      <c r="J554" s="202"/>
    </row>
    <row r="555" spans="10:10" ht="12.75" customHeight="1">
      <c r="J555" s="202"/>
    </row>
    <row r="556" spans="10:10" ht="12.75" customHeight="1">
      <c r="J556" s="202"/>
    </row>
    <row r="557" spans="10:10" ht="12.75" customHeight="1">
      <c r="J557" s="202"/>
    </row>
    <row r="558" spans="10:10" ht="12.75" customHeight="1">
      <c r="J558" s="202"/>
    </row>
    <row r="559" spans="10:10" ht="12.75" customHeight="1">
      <c r="J559" s="202"/>
    </row>
    <row r="560" spans="10:10" ht="12.75" customHeight="1">
      <c r="J560" s="202"/>
    </row>
    <row r="561" spans="10:10" ht="12.75" customHeight="1">
      <c r="J561" s="202"/>
    </row>
    <row r="562" spans="10:10" ht="12.75" customHeight="1">
      <c r="J562" s="202"/>
    </row>
    <row r="563" spans="10:10" ht="12.75" customHeight="1">
      <c r="J563" s="202"/>
    </row>
    <row r="564" spans="10:10" ht="12.75" customHeight="1">
      <c r="J564" s="202"/>
    </row>
    <row r="565" spans="10:10" ht="12.75" customHeight="1">
      <c r="J565" s="202"/>
    </row>
    <row r="566" spans="10:10" ht="12.75" customHeight="1">
      <c r="J566" s="202"/>
    </row>
    <row r="567" spans="10:10" ht="12.75" customHeight="1">
      <c r="J567" s="202"/>
    </row>
    <row r="568" spans="10:10" ht="12.75" customHeight="1">
      <c r="J568" s="202"/>
    </row>
    <row r="569" spans="10:10" ht="12.75" customHeight="1">
      <c r="J569" s="202"/>
    </row>
    <row r="570" spans="10:10" ht="12.75" customHeight="1">
      <c r="J570" s="202"/>
    </row>
    <row r="571" spans="10:10" ht="12.75" customHeight="1">
      <c r="J571" s="202"/>
    </row>
    <row r="572" spans="10:10" ht="12.75" customHeight="1">
      <c r="J572" s="202"/>
    </row>
    <row r="573" spans="10:10" ht="12.75" customHeight="1">
      <c r="J573" s="202"/>
    </row>
    <row r="574" spans="10:10" ht="12.75" customHeight="1">
      <c r="J574" s="202"/>
    </row>
    <row r="575" spans="10:10" ht="12.75" customHeight="1">
      <c r="J575" s="202"/>
    </row>
    <row r="576" spans="10:10" ht="12.75" customHeight="1">
      <c r="J576" s="202"/>
    </row>
    <row r="577" spans="10:10" ht="12.75" customHeight="1">
      <c r="J577" s="202"/>
    </row>
    <row r="578" spans="10:10" ht="12.75" customHeight="1">
      <c r="J578" s="202"/>
    </row>
    <row r="579" spans="10:10" ht="12.75" customHeight="1">
      <c r="J579" s="202"/>
    </row>
    <row r="580" spans="10:10" ht="12.75" customHeight="1">
      <c r="J580" s="202"/>
    </row>
    <row r="581" spans="10:10" ht="12.75" customHeight="1">
      <c r="J581" s="202"/>
    </row>
    <row r="582" spans="10:10" ht="12.75" customHeight="1">
      <c r="J582" s="202"/>
    </row>
    <row r="583" spans="10:10" ht="12.75" customHeight="1">
      <c r="J583" s="202"/>
    </row>
    <row r="584" spans="10:10" ht="12.75" customHeight="1">
      <c r="J584" s="202"/>
    </row>
    <row r="585" spans="10:10" ht="12.75" customHeight="1">
      <c r="J585" s="202"/>
    </row>
    <row r="586" spans="10:10" ht="12.75" customHeight="1">
      <c r="J586" s="202"/>
    </row>
    <row r="587" spans="10:10" ht="12.75" customHeight="1">
      <c r="J587" s="202"/>
    </row>
    <row r="588" spans="10:10" ht="12.75" customHeight="1">
      <c r="J588" s="202"/>
    </row>
    <row r="589" spans="10:10" ht="12.75" customHeight="1">
      <c r="J589" s="202"/>
    </row>
    <row r="590" spans="10:10" ht="12.75" customHeight="1">
      <c r="J590" s="202"/>
    </row>
    <row r="591" spans="10:10" ht="12.75" customHeight="1">
      <c r="J591" s="202"/>
    </row>
    <row r="592" spans="10:10" ht="12.75" customHeight="1">
      <c r="J592" s="202"/>
    </row>
    <row r="593" spans="10:10" ht="12.75" customHeight="1">
      <c r="J593" s="202"/>
    </row>
    <row r="594" spans="10:10" ht="12.75" customHeight="1">
      <c r="J594" s="202"/>
    </row>
    <row r="595" spans="10:10" ht="12.75" customHeight="1">
      <c r="J595" s="202"/>
    </row>
    <row r="596" spans="10:10" ht="12.75" customHeight="1">
      <c r="J596" s="202"/>
    </row>
    <row r="597" spans="10:10" ht="12.75" customHeight="1">
      <c r="J597" s="202"/>
    </row>
    <row r="598" spans="10:10" ht="12.75" customHeight="1">
      <c r="J598" s="202"/>
    </row>
    <row r="599" spans="10:10" ht="12.75" customHeight="1">
      <c r="J599" s="202"/>
    </row>
    <row r="600" spans="10:10" ht="12.75" customHeight="1">
      <c r="J600" s="202"/>
    </row>
    <row r="601" spans="10:10" ht="12.75" customHeight="1">
      <c r="J601" s="202"/>
    </row>
    <row r="602" spans="10:10" ht="12.75" customHeight="1">
      <c r="J602" s="202"/>
    </row>
    <row r="603" spans="10:10" ht="12.75" customHeight="1">
      <c r="J603" s="202"/>
    </row>
    <row r="604" spans="10:10" ht="12.75" customHeight="1">
      <c r="J604" s="202"/>
    </row>
    <row r="605" spans="10:10" ht="12.75" customHeight="1">
      <c r="J605" s="202"/>
    </row>
    <row r="606" spans="10:10" ht="12.75" customHeight="1">
      <c r="J606" s="202"/>
    </row>
    <row r="607" spans="10:10" ht="12.75" customHeight="1">
      <c r="J607" s="202"/>
    </row>
    <row r="608" spans="10:10" ht="12.75" customHeight="1">
      <c r="J608" s="202"/>
    </row>
    <row r="609" spans="10:10" ht="12.75" customHeight="1">
      <c r="J609" s="202"/>
    </row>
    <row r="610" spans="10:10" ht="12.75" customHeight="1">
      <c r="J610" s="202"/>
    </row>
    <row r="611" spans="10:10" ht="12.75" customHeight="1">
      <c r="J611" s="202"/>
    </row>
    <row r="612" spans="10:10" ht="12.75" customHeight="1">
      <c r="J612" s="202"/>
    </row>
    <row r="613" spans="10:10" ht="12.75" customHeight="1">
      <c r="J613" s="202"/>
    </row>
    <row r="614" spans="10:10" ht="12.75" customHeight="1">
      <c r="J614" s="202"/>
    </row>
    <row r="615" spans="10:10" ht="12.75" customHeight="1">
      <c r="J615" s="202"/>
    </row>
    <row r="616" spans="10:10" ht="12.75" customHeight="1">
      <c r="J616" s="202"/>
    </row>
    <row r="617" spans="10:10" ht="12.75" customHeight="1">
      <c r="J617" s="202"/>
    </row>
    <row r="618" spans="10:10" ht="12.75" customHeight="1">
      <c r="J618" s="202"/>
    </row>
    <row r="619" spans="10:10" ht="12.75" customHeight="1">
      <c r="J619" s="202"/>
    </row>
    <row r="620" spans="10:10" ht="12.75" customHeight="1">
      <c r="J620" s="202"/>
    </row>
    <row r="621" spans="10:10" ht="12.75" customHeight="1">
      <c r="J621" s="202"/>
    </row>
    <row r="622" spans="10:10" ht="12.75" customHeight="1">
      <c r="J622" s="202"/>
    </row>
    <row r="623" spans="10:10" ht="12.75" customHeight="1">
      <c r="J623" s="202"/>
    </row>
    <row r="624" spans="10:10" ht="12.75" customHeight="1">
      <c r="J624" s="202"/>
    </row>
    <row r="625" spans="10:10" ht="12.75" customHeight="1">
      <c r="J625" s="202"/>
    </row>
    <row r="626" spans="10:10" ht="12.75" customHeight="1">
      <c r="J626" s="202"/>
    </row>
    <row r="627" spans="10:10" ht="12.75" customHeight="1">
      <c r="J627" s="202"/>
    </row>
    <row r="628" spans="10:10" ht="12.75" customHeight="1">
      <c r="J628" s="202"/>
    </row>
    <row r="629" spans="10:10" ht="12.75" customHeight="1">
      <c r="J629" s="202"/>
    </row>
    <row r="630" spans="10:10" ht="12.75" customHeight="1">
      <c r="J630" s="202"/>
    </row>
    <row r="631" spans="10:10" ht="12.75" customHeight="1">
      <c r="J631" s="202"/>
    </row>
    <row r="632" spans="10:10" ht="12.75" customHeight="1">
      <c r="J632" s="202"/>
    </row>
    <row r="633" spans="10:10" ht="12.75" customHeight="1">
      <c r="J633" s="202"/>
    </row>
    <row r="634" spans="10:10" ht="12.75" customHeight="1">
      <c r="J634" s="202"/>
    </row>
    <row r="635" spans="10:10" ht="12.75" customHeight="1">
      <c r="J635" s="202"/>
    </row>
    <row r="636" spans="10:10" ht="12.75" customHeight="1">
      <c r="J636" s="202"/>
    </row>
    <row r="637" spans="10:10" ht="12.75" customHeight="1">
      <c r="J637" s="202"/>
    </row>
    <row r="638" spans="10:10" ht="12.75" customHeight="1">
      <c r="J638" s="202"/>
    </row>
    <row r="639" spans="10:10" ht="12.75" customHeight="1">
      <c r="J639" s="202"/>
    </row>
    <row r="640" spans="10:10" ht="12.75" customHeight="1">
      <c r="J640" s="202"/>
    </row>
    <row r="641" spans="10:10" ht="12.75" customHeight="1">
      <c r="J641" s="202"/>
    </row>
    <row r="642" spans="10:10" ht="12.75" customHeight="1">
      <c r="J642" s="202"/>
    </row>
    <row r="643" spans="10:10" ht="12.75" customHeight="1">
      <c r="J643" s="202"/>
    </row>
    <row r="644" spans="10:10" ht="12.75" customHeight="1">
      <c r="J644" s="202"/>
    </row>
    <row r="645" spans="10:10" ht="12.75" customHeight="1">
      <c r="J645" s="202"/>
    </row>
    <row r="646" spans="10:10" ht="12.75" customHeight="1">
      <c r="J646" s="202"/>
    </row>
    <row r="647" spans="10:10" ht="12.75" customHeight="1">
      <c r="J647" s="202"/>
    </row>
    <row r="648" spans="10:10" ht="12.75" customHeight="1">
      <c r="J648" s="202"/>
    </row>
    <row r="649" spans="10:10" ht="12.75" customHeight="1">
      <c r="J649" s="202"/>
    </row>
    <row r="650" spans="10:10" ht="12.75" customHeight="1">
      <c r="J650" s="202"/>
    </row>
    <row r="651" spans="10:10" ht="12.75" customHeight="1">
      <c r="J651" s="202"/>
    </row>
    <row r="652" spans="10:10" ht="12.75" customHeight="1">
      <c r="J652" s="202"/>
    </row>
    <row r="653" spans="10:10" ht="12.75" customHeight="1">
      <c r="J653" s="202"/>
    </row>
    <row r="654" spans="10:10" ht="12.75" customHeight="1">
      <c r="J654" s="202"/>
    </row>
    <row r="655" spans="10:10" ht="12.75" customHeight="1">
      <c r="J655" s="202"/>
    </row>
    <row r="656" spans="10:10" ht="12.75" customHeight="1">
      <c r="J656" s="202"/>
    </row>
    <row r="657" spans="10:10" ht="12.75" customHeight="1">
      <c r="J657" s="202"/>
    </row>
    <row r="658" spans="10:10" ht="12.75" customHeight="1">
      <c r="J658" s="202"/>
    </row>
    <row r="659" spans="10:10" ht="12.75" customHeight="1">
      <c r="J659" s="202"/>
    </row>
    <row r="660" spans="10:10" ht="12.75" customHeight="1">
      <c r="J660" s="202"/>
    </row>
    <row r="661" spans="10:10" ht="12.75" customHeight="1">
      <c r="J661" s="202"/>
    </row>
    <row r="662" spans="10:10" ht="12.75" customHeight="1">
      <c r="J662" s="202"/>
    </row>
    <row r="663" spans="10:10" ht="12.75" customHeight="1">
      <c r="J663" s="202"/>
    </row>
    <row r="664" spans="10:10" ht="12.75" customHeight="1">
      <c r="J664" s="202"/>
    </row>
    <row r="665" spans="10:10" ht="12.75" customHeight="1">
      <c r="J665" s="202"/>
    </row>
    <row r="666" spans="10:10" ht="12.75" customHeight="1">
      <c r="J666" s="202"/>
    </row>
    <row r="667" spans="10:10" ht="12.75" customHeight="1">
      <c r="J667" s="202"/>
    </row>
    <row r="668" spans="10:10" ht="12.75" customHeight="1">
      <c r="J668" s="202"/>
    </row>
    <row r="669" spans="10:10" ht="12.75" customHeight="1">
      <c r="J669" s="202"/>
    </row>
    <row r="670" spans="10:10" ht="12.75" customHeight="1">
      <c r="J670" s="202"/>
    </row>
    <row r="671" spans="10:10" ht="12.75" customHeight="1">
      <c r="J671" s="202"/>
    </row>
    <row r="672" spans="10:10" ht="12.75" customHeight="1">
      <c r="J672" s="202"/>
    </row>
    <row r="673" spans="10:10" ht="12.75" customHeight="1">
      <c r="J673" s="202"/>
    </row>
    <row r="674" spans="10:10" ht="12.75" customHeight="1">
      <c r="J674" s="202"/>
    </row>
    <row r="675" spans="10:10" ht="12.75" customHeight="1">
      <c r="J675" s="202"/>
    </row>
    <row r="676" spans="10:10" ht="12.75" customHeight="1">
      <c r="J676" s="202"/>
    </row>
    <row r="677" spans="10:10" ht="12.75" customHeight="1">
      <c r="J677" s="202"/>
    </row>
    <row r="678" spans="10:10" ht="12.75" customHeight="1">
      <c r="J678" s="202"/>
    </row>
    <row r="679" spans="10:10" ht="12.75" customHeight="1">
      <c r="J679" s="202"/>
    </row>
    <row r="680" spans="10:10" ht="12.75" customHeight="1">
      <c r="J680" s="202"/>
    </row>
    <row r="681" spans="10:10" ht="12.75" customHeight="1">
      <c r="J681" s="202"/>
    </row>
    <row r="682" spans="10:10" ht="12.75" customHeight="1">
      <c r="J682" s="202"/>
    </row>
    <row r="683" spans="10:10" ht="12.75" customHeight="1">
      <c r="J683" s="202"/>
    </row>
    <row r="684" spans="10:10" ht="12.75" customHeight="1">
      <c r="J684" s="202"/>
    </row>
    <row r="685" spans="10:10" ht="12.75" customHeight="1">
      <c r="J685" s="202"/>
    </row>
    <row r="686" spans="10:10" ht="12.75" customHeight="1">
      <c r="J686" s="202"/>
    </row>
    <row r="687" spans="10:10" ht="12.75" customHeight="1">
      <c r="J687" s="202"/>
    </row>
    <row r="688" spans="10:10" ht="12.75" customHeight="1">
      <c r="J688" s="202"/>
    </row>
    <row r="689" spans="10:10" ht="12.75" customHeight="1">
      <c r="J689" s="202"/>
    </row>
    <row r="690" spans="10:10" ht="12.75" customHeight="1">
      <c r="J690" s="202"/>
    </row>
    <row r="691" spans="10:10" ht="12.75" customHeight="1">
      <c r="J691" s="202"/>
    </row>
    <row r="692" spans="10:10" ht="12.75" customHeight="1">
      <c r="J692" s="202"/>
    </row>
    <row r="693" spans="10:10" ht="12.75" customHeight="1">
      <c r="J693" s="202"/>
    </row>
    <row r="694" spans="10:10" ht="12.75" customHeight="1">
      <c r="J694" s="202"/>
    </row>
    <row r="695" spans="10:10" ht="12.75" customHeight="1">
      <c r="J695" s="202"/>
    </row>
    <row r="696" spans="10:10" ht="12.75" customHeight="1">
      <c r="J696" s="202"/>
    </row>
    <row r="697" spans="10:10" ht="12.75" customHeight="1">
      <c r="J697" s="202"/>
    </row>
    <row r="698" spans="10:10" ht="12.75" customHeight="1">
      <c r="J698" s="202"/>
    </row>
    <row r="699" spans="10:10" ht="12.75" customHeight="1">
      <c r="J699" s="202"/>
    </row>
    <row r="700" spans="10:10" ht="12.75" customHeight="1">
      <c r="J700" s="202"/>
    </row>
    <row r="701" spans="10:10" ht="12.75" customHeight="1">
      <c r="J701" s="202"/>
    </row>
    <row r="702" spans="10:10" ht="12.75" customHeight="1">
      <c r="J702" s="202"/>
    </row>
    <row r="703" spans="10:10" ht="12.75" customHeight="1">
      <c r="J703" s="202"/>
    </row>
    <row r="704" spans="10:10" ht="12.75" customHeight="1">
      <c r="J704" s="202"/>
    </row>
    <row r="705" spans="10:10" ht="12.75" customHeight="1">
      <c r="J705" s="202"/>
    </row>
    <row r="706" spans="10:10" ht="12.75" customHeight="1">
      <c r="J706" s="202"/>
    </row>
    <row r="707" spans="10:10" ht="12.75" customHeight="1">
      <c r="J707" s="202"/>
    </row>
    <row r="708" spans="10:10" ht="12.75" customHeight="1">
      <c r="J708" s="202"/>
    </row>
    <row r="709" spans="10:10" ht="12.75" customHeight="1">
      <c r="J709" s="202"/>
    </row>
    <row r="710" spans="10:10" ht="12.75" customHeight="1">
      <c r="J710" s="202"/>
    </row>
    <row r="711" spans="10:10" ht="12.75" customHeight="1">
      <c r="J711" s="202"/>
    </row>
    <row r="712" spans="10:10" ht="12.75" customHeight="1">
      <c r="J712" s="202"/>
    </row>
    <row r="713" spans="10:10" ht="12.75" customHeight="1">
      <c r="J713" s="202"/>
    </row>
    <row r="714" spans="10:10" ht="12.75" customHeight="1">
      <c r="J714" s="202"/>
    </row>
    <row r="715" spans="10:10" ht="12.75" customHeight="1">
      <c r="J715" s="202"/>
    </row>
    <row r="716" spans="10:10" ht="12.75" customHeight="1">
      <c r="J716" s="202"/>
    </row>
    <row r="717" spans="10:10" ht="12.75" customHeight="1">
      <c r="J717" s="202"/>
    </row>
    <row r="718" spans="10:10" ht="12.75" customHeight="1">
      <c r="J718" s="202"/>
    </row>
    <row r="719" spans="10:10" ht="12.75" customHeight="1">
      <c r="J719" s="202"/>
    </row>
    <row r="720" spans="10:10" ht="12.75" customHeight="1">
      <c r="J720" s="202"/>
    </row>
    <row r="721" spans="10:10" ht="12.75" customHeight="1">
      <c r="J721" s="202"/>
    </row>
    <row r="722" spans="10:10" ht="12.75" customHeight="1">
      <c r="J722" s="202"/>
    </row>
    <row r="723" spans="10:10" ht="12.75" customHeight="1">
      <c r="J723" s="202"/>
    </row>
    <row r="724" spans="10:10" ht="12.75" customHeight="1">
      <c r="J724" s="202"/>
    </row>
    <row r="725" spans="10:10" ht="12.75" customHeight="1">
      <c r="J725" s="202"/>
    </row>
    <row r="726" spans="10:10" ht="12.75" customHeight="1">
      <c r="J726" s="202"/>
    </row>
    <row r="727" spans="10:10" ht="12.75" customHeight="1">
      <c r="J727" s="202"/>
    </row>
    <row r="728" spans="10:10" ht="12.75" customHeight="1">
      <c r="J728" s="202"/>
    </row>
    <row r="729" spans="10:10" ht="12.75" customHeight="1">
      <c r="J729" s="202"/>
    </row>
    <row r="730" spans="10:10" ht="12.75" customHeight="1">
      <c r="J730" s="202"/>
    </row>
    <row r="731" spans="10:10" ht="12.75" customHeight="1">
      <c r="J731" s="202"/>
    </row>
    <row r="732" spans="10:10" ht="12.75" customHeight="1">
      <c r="J732" s="202"/>
    </row>
    <row r="733" spans="10:10" ht="12.75" customHeight="1">
      <c r="J733" s="202"/>
    </row>
    <row r="734" spans="10:10" ht="12.75" customHeight="1">
      <c r="J734" s="202"/>
    </row>
    <row r="735" spans="10:10" ht="12.75" customHeight="1">
      <c r="J735" s="202"/>
    </row>
    <row r="736" spans="10:10" ht="12.75" customHeight="1">
      <c r="J736" s="202"/>
    </row>
    <row r="737" spans="10:10" ht="12.75" customHeight="1">
      <c r="J737" s="202"/>
    </row>
    <row r="738" spans="10:10" ht="12.75" customHeight="1">
      <c r="J738" s="202"/>
    </row>
    <row r="739" spans="10:10" ht="12.75" customHeight="1">
      <c r="J739" s="202"/>
    </row>
    <row r="740" spans="10:10" ht="12.75" customHeight="1">
      <c r="J740" s="202"/>
    </row>
    <row r="741" spans="10:10" ht="12.75" customHeight="1">
      <c r="J741" s="202"/>
    </row>
    <row r="742" spans="10:10" ht="12.75" customHeight="1">
      <c r="J742" s="202"/>
    </row>
    <row r="743" spans="10:10" ht="12.75" customHeight="1">
      <c r="J743" s="202"/>
    </row>
    <row r="744" spans="10:10" ht="12.75" customHeight="1">
      <c r="J744" s="202"/>
    </row>
    <row r="745" spans="10:10" ht="12.75" customHeight="1">
      <c r="J745" s="202"/>
    </row>
    <row r="746" spans="10:10" ht="12.75" customHeight="1">
      <c r="J746" s="202"/>
    </row>
    <row r="747" spans="10:10" ht="12.75" customHeight="1">
      <c r="J747" s="202"/>
    </row>
    <row r="748" spans="10:10" ht="12.75" customHeight="1">
      <c r="J748" s="202"/>
    </row>
    <row r="749" spans="10:10" ht="12.75" customHeight="1">
      <c r="J749" s="202"/>
    </row>
    <row r="750" spans="10:10" ht="12.75" customHeight="1">
      <c r="J750" s="202"/>
    </row>
    <row r="751" spans="10:10" ht="12.75" customHeight="1">
      <c r="J751" s="202"/>
    </row>
    <row r="752" spans="10:10" ht="12.75" customHeight="1">
      <c r="J752" s="202"/>
    </row>
    <row r="753" spans="10:10" ht="12.75" customHeight="1">
      <c r="J753" s="202"/>
    </row>
    <row r="754" spans="10:10" ht="12.75" customHeight="1">
      <c r="J754" s="202"/>
    </row>
    <row r="755" spans="10:10" ht="12.75" customHeight="1">
      <c r="J755" s="202"/>
    </row>
    <row r="756" spans="10:10" ht="12.75" customHeight="1">
      <c r="J756" s="202"/>
    </row>
    <row r="757" spans="10:10" ht="12.75" customHeight="1">
      <c r="J757" s="202"/>
    </row>
    <row r="758" spans="10:10" ht="12.75" customHeight="1">
      <c r="J758" s="202"/>
    </row>
    <row r="759" spans="10:10" ht="12.75" customHeight="1">
      <c r="J759" s="202"/>
    </row>
    <row r="760" spans="10:10" ht="12.75" customHeight="1">
      <c r="J760" s="202"/>
    </row>
    <row r="761" spans="10:10" ht="12.75" customHeight="1">
      <c r="J761" s="202"/>
    </row>
    <row r="762" spans="10:10" ht="12.75" customHeight="1">
      <c r="J762" s="202"/>
    </row>
    <row r="763" spans="10:10" ht="12.75" customHeight="1">
      <c r="J763" s="202"/>
    </row>
    <row r="764" spans="10:10" ht="12.75" customHeight="1">
      <c r="J764" s="202"/>
    </row>
    <row r="765" spans="10:10" ht="12.75" customHeight="1">
      <c r="J765" s="202"/>
    </row>
    <row r="766" spans="10:10" ht="12.75" customHeight="1">
      <c r="J766" s="202"/>
    </row>
    <row r="767" spans="10:10" ht="12.75" customHeight="1">
      <c r="J767" s="202"/>
    </row>
    <row r="768" spans="10:10" ht="12.75" customHeight="1">
      <c r="J768" s="202"/>
    </row>
    <row r="769" spans="10:10" ht="12.75" customHeight="1">
      <c r="J769" s="202"/>
    </row>
    <row r="770" spans="10:10" ht="12.75" customHeight="1">
      <c r="J770" s="202"/>
    </row>
    <row r="771" spans="10:10" ht="12.75" customHeight="1">
      <c r="J771" s="202"/>
    </row>
    <row r="772" spans="10:10" ht="12.75" customHeight="1">
      <c r="J772" s="202"/>
    </row>
    <row r="773" spans="10:10" ht="12.75" customHeight="1">
      <c r="J773" s="202"/>
    </row>
    <row r="774" spans="10:10" ht="12.75" customHeight="1">
      <c r="J774" s="202"/>
    </row>
    <row r="775" spans="10:10" ht="12.75" customHeight="1">
      <c r="J775" s="202"/>
    </row>
    <row r="776" spans="10:10" ht="12.75" customHeight="1">
      <c r="J776" s="202"/>
    </row>
    <row r="777" spans="10:10" ht="12.75" customHeight="1">
      <c r="J777" s="202"/>
    </row>
    <row r="778" spans="10:10" ht="12.75" customHeight="1">
      <c r="J778" s="202"/>
    </row>
    <row r="779" spans="10:10" ht="12.75" customHeight="1">
      <c r="J779" s="202"/>
    </row>
    <row r="780" spans="10:10" ht="12.75" customHeight="1">
      <c r="J780" s="202"/>
    </row>
    <row r="781" spans="10:10" ht="12.75" customHeight="1">
      <c r="J781" s="202"/>
    </row>
    <row r="782" spans="10:10" ht="12.75" customHeight="1">
      <c r="J782" s="202"/>
    </row>
    <row r="783" spans="10:10" ht="12.75" customHeight="1">
      <c r="J783" s="202"/>
    </row>
    <row r="784" spans="10:10" ht="12.75" customHeight="1">
      <c r="J784" s="202"/>
    </row>
    <row r="785" spans="10:10" ht="12.75" customHeight="1">
      <c r="J785" s="202"/>
    </row>
    <row r="786" spans="10:10" ht="12.75" customHeight="1">
      <c r="J786" s="202"/>
    </row>
    <row r="787" spans="10:10" ht="12.75" customHeight="1">
      <c r="J787" s="202"/>
    </row>
    <row r="788" spans="10:10" ht="12.75" customHeight="1">
      <c r="J788" s="202"/>
    </row>
    <row r="789" spans="10:10" ht="12.75" customHeight="1">
      <c r="J789" s="202"/>
    </row>
    <row r="790" spans="10:10" ht="12.75" customHeight="1">
      <c r="J790" s="202"/>
    </row>
    <row r="791" spans="10:10" ht="12.75" customHeight="1">
      <c r="J791" s="202"/>
    </row>
    <row r="792" spans="10:10" ht="12.75" customHeight="1">
      <c r="J792" s="202"/>
    </row>
    <row r="793" spans="10:10" ht="12.75" customHeight="1">
      <c r="J793" s="202"/>
    </row>
    <row r="794" spans="10:10" ht="12.75" customHeight="1">
      <c r="J794" s="202"/>
    </row>
    <row r="795" spans="10:10" ht="12.75" customHeight="1">
      <c r="J795" s="202"/>
    </row>
    <row r="796" spans="10:10" ht="12.75" customHeight="1">
      <c r="J796" s="202"/>
    </row>
    <row r="797" spans="10:10" ht="12.75" customHeight="1">
      <c r="J797" s="202"/>
    </row>
    <row r="798" spans="10:10" ht="12.75" customHeight="1">
      <c r="J798" s="202"/>
    </row>
    <row r="799" spans="10:10" ht="12.75" customHeight="1">
      <c r="J799" s="202"/>
    </row>
    <row r="800" spans="10:10" ht="12.75" customHeight="1">
      <c r="J800" s="202"/>
    </row>
    <row r="801" spans="10:10" ht="12.75" customHeight="1">
      <c r="J801" s="202"/>
    </row>
    <row r="802" spans="10:10" ht="12.75" customHeight="1">
      <c r="J802" s="202"/>
    </row>
    <row r="803" spans="10:10" ht="12.75" customHeight="1">
      <c r="J803" s="202"/>
    </row>
    <row r="804" spans="10:10" ht="12.75" customHeight="1">
      <c r="J804" s="202"/>
    </row>
    <row r="805" spans="10:10" ht="12.75" customHeight="1">
      <c r="J805" s="202"/>
    </row>
    <row r="806" spans="10:10" ht="12.75" customHeight="1">
      <c r="J806" s="202"/>
    </row>
    <row r="807" spans="10:10" ht="12.75" customHeight="1">
      <c r="J807" s="202"/>
    </row>
    <row r="808" spans="10:10" ht="12.75" customHeight="1">
      <c r="J808" s="202"/>
    </row>
    <row r="809" spans="10:10" ht="12.75" customHeight="1">
      <c r="J809" s="202"/>
    </row>
    <row r="810" spans="10:10" ht="12.75" customHeight="1">
      <c r="J810" s="202"/>
    </row>
    <row r="811" spans="10:10" ht="12.75" customHeight="1">
      <c r="J811" s="202"/>
    </row>
    <row r="812" spans="10:10" ht="12.75" customHeight="1">
      <c r="J812" s="202"/>
    </row>
    <row r="813" spans="10:10" ht="12.75" customHeight="1">
      <c r="J813" s="202"/>
    </row>
    <row r="814" spans="10:10" ht="12.75" customHeight="1">
      <c r="J814" s="202"/>
    </row>
    <row r="815" spans="10:10" ht="12.75" customHeight="1">
      <c r="J815" s="202"/>
    </row>
    <row r="816" spans="10:10" ht="12.75" customHeight="1">
      <c r="J816" s="202"/>
    </row>
    <row r="817" spans="10:10" ht="12.75" customHeight="1">
      <c r="J817" s="202"/>
    </row>
    <row r="818" spans="10:10" ht="12.75" customHeight="1">
      <c r="J818" s="202"/>
    </row>
    <row r="819" spans="10:10" ht="12.75" customHeight="1">
      <c r="J819" s="202"/>
    </row>
    <row r="820" spans="10:10" ht="12.75" customHeight="1">
      <c r="J820" s="202"/>
    </row>
    <row r="821" spans="10:10" ht="12.75" customHeight="1">
      <c r="J821" s="202"/>
    </row>
    <row r="822" spans="10:10" ht="12.75" customHeight="1">
      <c r="J822" s="202"/>
    </row>
    <row r="823" spans="10:10" ht="12.75" customHeight="1">
      <c r="J823" s="202"/>
    </row>
    <row r="824" spans="10:10" ht="12.75" customHeight="1">
      <c r="J824" s="202"/>
    </row>
    <row r="825" spans="10:10" ht="12.75" customHeight="1">
      <c r="J825" s="202"/>
    </row>
    <row r="826" spans="10:10" ht="12.75" customHeight="1">
      <c r="J826" s="202"/>
    </row>
    <row r="827" spans="10:10" ht="12.75" customHeight="1">
      <c r="J827" s="202"/>
    </row>
    <row r="828" spans="10:10" ht="12.75" customHeight="1">
      <c r="J828" s="202"/>
    </row>
    <row r="829" spans="10:10" ht="12.75" customHeight="1">
      <c r="J829" s="202"/>
    </row>
    <row r="830" spans="10:10" ht="12.75" customHeight="1">
      <c r="J830" s="202"/>
    </row>
    <row r="831" spans="10:10" ht="12.75" customHeight="1">
      <c r="J831" s="202"/>
    </row>
    <row r="832" spans="10:10" ht="12.75" customHeight="1">
      <c r="J832" s="202"/>
    </row>
    <row r="833" spans="10:10" ht="12.75" customHeight="1">
      <c r="J833" s="202"/>
    </row>
    <row r="834" spans="10:10" ht="12.75" customHeight="1">
      <c r="J834" s="202"/>
    </row>
    <row r="835" spans="10:10" ht="12.75" customHeight="1">
      <c r="J835" s="202"/>
    </row>
    <row r="836" spans="10:10" ht="12.75" customHeight="1">
      <c r="J836" s="202"/>
    </row>
    <row r="837" spans="10:10" ht="12.75" customHeight="1">
      <c r="J837" s="202"/>
    </row>
    <row r="838" spans="10:10" ht="12.75" customHeight="1">
      <c r="J838" s="202"/>
    </row>
    <row r="839" spans="10:10" ht="12.75" customHeight="1">
      <c r="J839" s="202"/>
    </row>
    <row r="840" spans="10:10" ht="12.75" customHeight="1">
      <c r="J840" s="202"/>
    </row>
    <row r="841" spans="10:10" ht="12.75" customHeight="1">
      <c r="J841" s="202"/>
    </row>
    <row r="842" spans="10:10" ht="12.75" customHeight="1">
      <c r="J842" s="202"/>
    </row>
    <row r="843" spans="10:10" ht="12.75" customHeight="1">
      <c r="J843" s="202"/>
    </row>
    <row r="844" spans="10:10" ht="12.75" customHeight="1">
      <c r="J844" s="202"/>
    </row>
    <row r="845" spans="10:10" ht="12.75" customHeight="1">
      <c r="J845" s="202"/>
    </row>
    <row r="846" spans="10:10" ht="12.75" customHeight="1">
      <c r="J846" s="202"/>
    </row>
    <row r="847" spans="10:10" ht="12.75" customHeight="1">
      <c r="J847" s="202"/>
    </row>
    <row r="848" spans="10:10" ht="12.75" customHeight="1">
      <c r="J848" s="202"/>
    </row>
    <row r="849" spans="10:10" ht="12.75" customHeight="1">
      <c r="J849" s="202"/>
    </row>
    <row r="850" spans="10:10" ht="12.75" customHeight="1">
      <c r="J850" s="202"/>
    </row>
    <row r="851" spans="10:10" ht="12.75" customHeight="1">
      <c r="J851" s="202"/>
    </row>
    <row r="852" spans="10:10" ht="12.75" customHeight="1">
      <c r="J852" s="202"/>
    </row>
    <row r="853" spans="10:10" ht="12.75" customHeight="1">
      <c r="J853" s="202"/>
    </row>
    <row r="854" spans="10:10" ht="12.75" customHeight="1">
      <c r="J854" s="202"/>
    </row>
    <row r="855" spans="10:10" ht="12.75" customHeight="1">
      <c r="J855" s="202"/>
    </row>
    <row r="856" spans="10:10" ht="12.75" customHeight="1">
      <c r="J856" s="202"/>
    </row>
    <row r="857" spans="10:10" ht="12.75" customHeight="1">
      <c r="J857" s="202"/>
    </row>
    <row r="858" spans="10:10" ht="12.75" customHeight="1">
      <c r="J858" s="202"/>
    </row>
    <row r="859" spans="10:10" ht="12.75" customHeight="1">
      <c r="J859" s="202"/>
    </row>
    <row r="860" spans="10:10" ht="12.75" customHeight="1">
      <c r="J860" s="202"/>
    </row>
    <row r="861" spans="10:10" ht="12.75" customHeight="1">
      <c r="J861" s="202"/>
    </row>
    <row r="862" spans="10:10" ht="12.75" customHeight="1">
      <c r="J862" s="202"/>
    </row>
    <row r="863" spans="10:10" ht="12.75" customHeight="1">
      <c r="J863" s="202"/>
    </row>
    <row r="864" spans="10:10" ht="12.75" customHeight="1">
      <c r="J864" s="202"/>
    </row>
    <row r="865" spans="10:10" ht="12.75" customHeight="1">
      <c r="J865" s="202"/>
    </row>
    <row r="866" spans="10:10" ht="12.75" customHeight="1">
      <c r="J866" s="202"/>
    </row>
    <row r="867" spans="10:10" ht="12.75" customHeight="1">
      <c r="J867" s="202"/>
    </row>
    <row r="868" spans="10:10" ht="12.75" customHeight="1">
      <c r="J868" s="202"/>
    </row>
    <row r="869" spans="10:10" ht="12.75" customHeight="1">
      <c r="J869" s="202"/>
    </row>
    <row r="870" spans="10:10" ht="12.75" customHeight="1">
      <c r="J870" s="202"/>
    </row>
    <row r="871" spans="10:10" ht="12.75" customHeight="1">
      <c r="J871" s="202"/>
    </row>
    <row r="872" spans="10:10" ht="12.75" customHeight="1">
      <c r="J872" s="202"/>
    </row>
    <row r="873" spans="10:10" ht="12.75" customHeight="1">
      <c r="J873" s="202"/>
    </row>
    <row r="874" spans="10:10" ht="12.75" customHeight="1">
      <c r="J874" s="202"/>
    </row>
    <row r="875" spans="10:10" ht="12.75" customHeight="1">
      <c r="J875" s="202"/>
    </row>
    <row r="876" spans="10:10" ht="12.75" customHeight="1">
      <c r="J876" s="202"/>
    </row>
    <row r="877" spans="10:10" ht="12.75" customHeight="1">
      <c r="J877" s="202"/>
    </row>
    <row r="878" spans="10:10" ht="12.75" customHeight="1">
      <c r="J878" s="202"/>
    </row>
    <row r="879" spans="10:10" ht="12.75" customHeight="1">
      <c r="J879" s="202"/>
    </row>
    <row r="880" spans="10:10" ht="12.75" customHeight="1">
      <c r="J880" s="202"/>
    </row>
    <row r="881" spans="10:10" ht="12.75" customHeight="1">
      <c r="J881" s="202"/>
    </row>
    <row r="882" spans="10:10" ht="12.75" customHeight="1">
      <c r="J882" s="202"/>
    </row>
    <row r="883" spans="10:10" ht="12.75" customHeight="1">
      <c r="J883" s="202"/>
    </row>
    <row r="884" spans="10:10" ht="12.75" customHeight="1">
      <c r="J884" s="202"/>
    </row>
    <row r="885" spans="10:10" ht="12.75" customHeight="1">
      <c r="J885" s="202"/>
    </row>
    <row r="886" spans="10:10" ht="12.75" customHeight="1">
      <c r="J886" s="202"/>
    </row>
    <row r="887" spans="10:10" ht="12.75" customHeight="1">
      <c r="J887" s="202"/>
    </row>
    <row r="888" spans="10:10" ht="12.75" customHeight="1">
      <c r="J888" s="202"/>
    </row>
    <row r="889" spans="10:10" ht="12.75" customHeight="1">
      <c r="J889" s="202"/>
    </row>
    <row r="890" spans="10:10" ht="12.75" customHeight="1">
      <c r="J890" s="202"/>
    </row>
    <row r="891" spans="10:10" ht="12.75" customHeight="1">
      <c r="J891" s="202"/>
    </row>
    <row r="892" spans="10:10" ht="12.75" customHeight="1">
      <c r="J892" s="202"/>
    </row>
    <row r="893" spans="10:10" ht="12.75" customHeight="1">
      <c r="J893" s="202"/>
    </row>
    <row r="894" spans="10:10" ht="12.75" customHeight="1">
      <c r="J894" s="202"/>
    </row>
    <row r="895" spans="10:10" ht="12.75" customHeight="1">
      <c r="J895" s="202"/>
    </row>
    <row r="896" spans="10:10" ht="12.75" customHeight="1">
      <c r="J896" s="202"/>
    </row>
    <row r="897" spans="10:10" ht="12.75" customHeight="1">
      <c r="J897" s="202"/>
    </row>
    <row r="898" spans="10:10" ht="12.75" customHeight="1">
      <c r="J898" s="202"/>
    </row>
    <row r="899" spans="10:10" ht="12.75" customHeight="1">
      <c r="J899" s="202"/>
    </row>
    <row r="900" spans="10:10" ht="12.75" customHeight="1">
      <c r="J900" s="202"/>
    </row>
    <row r="901" spans="10:10" ht="12.75" customHeight="1">
      <c r="J901" s="202"/>
    </row>
    <row r="902" spans="10:10" ht="12.75" customHeight="1">
      <c r="J902" s="202"/>
    </row>
    <row r="903" spans="10:10" ht="12.75" customHeight="1">
      <c r="J903" s="202"/>
    </row>
    <row r="904" spans="10:10" ht="12.75" customHeight="1">
      <c r="J904" s="202"/>
    </row>
    <row r="905" spans="10:10" ht="12.75" customHeight="1">
      <c r="J905" s="202"/>
    </row>
    <row r="906" spans="10:10" ht="12.75" customHeight="1">
      <c r="J906" s="202"/>
    </row>
    <row r="907" spans="10:10" ht="12.75" customHeight="1">
      <c r="J907" s="202"/>
    </row>
    <row r="908" spans="10:10" ht="12.75" customHeight="1">
      <c r="J908" s="202"/>
    </row>
    <row r="909" spans="10:10" ht="12.75" customHeight="1">
      <c r="J909" s="202"/>
    </row>
    <row r="910" spans="10:10" ht="12.75" customHeight="1">
      <c r="J910" s="202"/>
    </row>
    <row r="911" spans="10:10" ht="12.75" customHeight="1">
      <c r="J911" s="202"/>
    </row>
    <row r="912" spans="10:10" ht="12.75" customHeight="1">
      <c r="J912" s="202"/>
    </row>
    <row r="913" spans="10:10" ht="12.75" customHeight="1">
      <c r="J913" s="202"/>
    </row>
    <row r="914" spans="10:10" ht="12.75" customHeight="1">
      <c r="J914" s="202"/>
    </row>
    <row r="915" spans="10:10" ht="12.75" customHeight="1">
      <c r="J915" s="202"/>
    </row>
    <row r="916" spans="10:10" ht="12.75" customHeight="1">
      <c r="J916" s="202"/>
    </row>
    <row r="917" spans="10:10" ht="12.75" customHeight="1">
      <c r="J917" s="202"/>
    </row>
    <row r="918" spans="10:10" ht="12.75" customHeight="1">
      <c r="J918" s="202"/>
    </row>
    <row r="919" spans="10:10" ht="12.75" customHeight="1">
      <c r="J919" s="202"/>
    </row>
    <row r="920" spans="10:10" ht="12.75" customHeight="1">
      <c r="J920" s="202"/>
    </row>
    <row r="921" spans="10:10" ht="12.75" customHeight="1">
      <c r="J921" s="202"/>
    </row>
    <row r="922" spans="10:10" ht="12.75" customHeight="1">
      <c r="J922" s="202"/>
    </row>
    <row r="923" spans="10:10" ht="12.75" customHeight="1">
      <c r="J923" s="202"/>
    </row>
    <row r="924" spans="10:10" ht="12.75" customHeight="1">
      <c r="J924" s="202"/>
    </row>
    <row r="925" spans="10:10" ht="12.75" customHeight="1">
      <c r="J925" s="202"/>
    </row>
    <row r="926" spans="10:10" ht="12.75" customHeight="1">
      <c r="J926" s="202"/>
    </row>
    <row r="927" spans="10:10" ht="12.75" customHeight="1">
      <c r="J927" s="202"/>
    </row>
    <row r="928" spans="10:10" ht="12.75" customHeight="1">
      <c r="J928" s="202"/>
    </row>
    <row r="929" spans="10:10" ht="12.75" customHeight="1">
      <c r="J929" s="202"/>
    </row>
    <row r="930" spans="10:10" ht="12.75" customHeight="1">
      <c r="J930" s="202"/>
    </row>
    <row r="931" spans="10:10" ht="12.75" customHeight="1">
      <c r="J931" s="202"/>
    </row>
    <row r="932" spans="10:10" ht="12.75" customHeight="1">
      <c r="J932" s="202"/>
    </row>
    <row r="933" spans="10:10" ht="12.75" customHeight="1">
      <c r="J933" s="202"/>
    </row>
    <row r="934" spans="10:10" ht="12.75" customHeight="1">
      <c r="J934" s="202"/>
    </row>
    <row r="935" spans="10:10" ht="12.75" customHeight="1">
      <c r="J935" s="202"/>
    </row>
    <row r="936" spans="10:10" ht="12.75" customHeight="1">
      <c r="J936" s="202"/>
    </row>
    <row r="937" spans="10:10" ht="12.75" customHeight="1">
      <c r="J937" s="202"/>
    </row>
    <row r="938" spans="10:10" ht="12.75" customHeight="1">
      <c r="J938" s="202"/>
    </row>
    <row r="939" spans="10:10" ht="12.75" customHeight="1">
      <c r="J939" s="202"/>
    </row>
    <row r="940" spans="10:10" ht="12.75" customHeight="1">
      <c r="J940" s="202"/>
    </row>
    <row r="941" spans="10:10" ht="12.75" customHeight="1">
      <c r="J941" s="202"/>
    </row>
    <row r="942" spans="10:10" ht="12.75" customHeight="1">
      <c r="J942" s="202"/>
    </row>
    <row r="943" spans="10:10" ht="12.75" customHeight="1">
      <c r="J943" s="202"/>
    </row>
    <row r="944" spans="10:10" ht="12.75" customHeight="1">
      <c r="J944" s="202"/>
    </row>
    <row r="945" spans="10:10" ht="12.75" customHeight="1">
      <c r="J945" s="202"/>
    </row>
    <row r="946" spans="10:10" ht="12.75" customHeight="1">
      <c r="J946" s="202"/>
    </row>
    <row r="947" spans="10:10" ht="12.75" customHeight="1">
      <c r="J947" s="202"/>
    </row>
    <row r="948" spans="10:10" ht="12.75" customHeight="1">
      <c r="J948" s="202"/>
    </row>
    <row r="949" spans="10:10" ht="12.75" customHeight="1">
      <c r="J949" s="202"/>
    </row>
    <row r="950" spans="10:10" ht="12.75" customHeight="1">
      <c r="J950" s="202"/>
    </row>
    <row r="951" spans="10:10" ht="12.75" customHeight="1">
      <c r="J951" s="202"/>
    </row>
    <row r="952" spans="10:10" ht="12.75" customHeight="1">
      <c r="J952" s="202"/>
    </row>
    <row r="953" spans="10:10" ht="12.75" customHeight="1">
      <c r="J953" s="202"/>
    </row>
    <row r="954" spans="10:10" ht="12.75" customHeight="1">
      <c r="J954" s="202"/>
    </row>
    <row r="955" spans="10:10" ht="12.75" customHeight="1">
      <c r="J955" s="202"/>
    </row>
    <row r="956" spans="10:10" ht="12.75" customHeight="1">
      <c r="J956" s="202"/>
    </row>
    <row r="957" spans="10:10" ht="12.75" customHeight="1">
      <c r="J957" s="202"/>
    </row>
    <row r="958" spans="10:10" ht="12.75" customHeight="1">
      <c r="J958" s="202"/>
    </row>
    <row r="959" spans="10:10" ht="12.75" customHeight="1">
      <c r="J959" s="202"/>
    </row>
    <row r="960" spans="10:10" ht="12.75" customHeight="1">
      <c r="J960" s="202"/>
    </row>
    <row r="961" spans="10:10" ht="12.75" customHeight="1">
      <c r="J961" s="202"/>
    </row>
    <row r="962" spans="10:10" ht="12.75" customHeight="1">
      <c r="J962" s="202"/>
    </row>
    <row r="963" spans="10:10" ht="12.75" customHeight="1">
      <c r="J963" s="202"/>
    </row>
    <row r="964" spans="10:10" ht="12.75" customHeight="1">
      <c r="J964" s="202"/>
    </row>
    <row r="965" spans="10:10" ht="12.75" customHeight="1">
      <c r="J965" s="202"/>
    </row>
    <row r="966" spans="10:10" ht="12.75" customHeight="1">
      <c r="J966" s="202"/>
    </row>
    <row r="967" spans="10:10" ht="12.75" customHeight="1">
      <c r="J967" s="202"/>
    </row>
    <row r="968" spans="10:10" ht="12.75" customHeight="1">
      <c r="J968" s="202"/>
    </row>
    <row r="969" spans="10:10" ht="12.75" customHeight="1">
      <c r="J969" s="202"/>
    </row>
    <row r="970" spans="10:10" ht="12.75" customHeight="1">
      <c r="J970" s="202"/>
    </row>
    <row r="971" spans="10:10" ht="12.75" customHeight="1">
      <c r="J971" s="202"/>
    </row>
    <row r="972" spans="10:10" ht="12.75" customHeight="1">
      <c r="J972" s="202"/>
    </row>
    <row r="973" spans="10:10" ht="12.75" customHeight="1">
      <c r="J973" s="202"/>
    </row>
    <row r="974" spans="10:10" ht="12.75" customHeight="1">
      <c r="J974" s="202"/>
    </row>
    <row r="975" spans="10:10" ht="12.75" customHeight="1">
      <c r="J975" s="202"/>
    </row>
    <row r="976" spans="10:10" ht="12.75" customHeight="1">
      <c r="J976" s="202"/>
    </row>
    <row r="977" spans="10:10" ht="12.75" customHeight="1">
      <c r="J977" s="202"/>
    </row>
    <row r="978" spans="10:10" ht="12.75" customHeight="1">
      <c r="J978" s="202"/>
    </row>
    <row r="979" spans="10:10" ht="12.75" customHeight="1">
      <c r="J979" s="202"/>
    </row>
    <row r="980" spans="10:10" ht="12.75" customHeight="1">
      <c r="J980" s="202"/>
    </row>
    <row r="981" spans="10:10" ht="12.75" customHeight="1">
      <c r="J981" s="202"/>
    </row>
    <row r="982" spans="10:10" ht="12.75" customHeight="1">
      <c r="J982" s="202"/>
    </row>
    <row r="983" spans="10:10" ht="12.75" customHeight="1">
      <c r="J983" s="202"/>
    </row>
    <row r="984" spans="10:10" ht="12.75" customHeight="1">
      <c r="J984" s="202"/>
    </row>
    <row r="985" spans="10:10" ht="12.75" customHeight="1">
      <c r="J985" s="202"/>
    </row>
    <row r="986" spans="10:10" ht="12.75" customHeight="1">
      <c r="J986" s="202"/>
    </row>
    <row r="987" spans="10:10" ht="12.75" customHeight="1">
      <c r="J987" s="202"/>
    </row>
    <row r="988" spans="10:10" ht="12.75" customHeight="1">
      <c r="J988" s="202"/>
    </row>
    <row r="989" spans="10:10" ht="12.75" customHeight="1">
      <c r="J989" s="202"/>
    </row>
    <row r="990" spans="10:10" ht="12.75" customHeight="1">
      <c r="J990" s="202"/>
    </row>
    <row r="991" spans="10:10" ht="12.75" customHeight="1">
      <c r="J991" s="202"/>
    </row>
    <row r="992" spans="10:10" ht="12.75" customHeight="1">
      <c r="J992" s="202"/>
    </row>
    <row r="993" spans="10:10" ht="12.75" customHeight="1">
      <c r="J993" s="202"/>
    </row>
    <row r="994" spans="10:10" ht="12.75" customHeight="1">
      <c r="J994" s="202"/>
    </row>
    <row r="995" spans="10:10" ht="12.75" customHeight="1">
      <c r="J995" s="202"/>
    </row>
    <row r="996" spans="10:10" ht="12.75" customHeight="1">
      <c r="J996" s="202"/>
    </row>
    <row r="997" spans="10:10" ht="12.75" customHeight="1">
      <c r="J997" s="202"/>
    </row>
    <row r="998" spans="10:10" ht="12.75" customHeight="1">
      <c r="J998" s="202"/>
    </row>
    <row r="999" spans="10:10" ht="12.75" customHeight="1">
      <c r="J999" s="202"/>
    </row>
    <row r="1000" spans="10:10" ht="12.75" customHeight="1">
      <c r="J1000" s="202"/>
    </row>
    <row r="1001" spans="10:10" ht="12.75" customHeight="1">
      <c r="J1001" s="202"/>
    </row>
    <row r="1002" spans="10:10" ht="12.75" customHeight="1">
      <c r="J1002" s="202"/>
    </row>
    <row r="1003" spans="10:10" ht="12.75" customHeight="1">
      <c r="J1003" s="202"/>
    </row>
  </sheetData>
  <mergeCells count="9">
    <mergeCell ref="B3:B4"/>
    <mergeCell ref="A3:A4"/>
    <mergeCell ref="G3:G4"/>
    <mergeCell ref="E3:E4"/>
    <mergeCell ref="I3:I4"/>
    <mergeCell ref="F3:F4"/>
    <mergeCell ref="D3:D4"/>
    <mergeCell ref="H3:H4"/>
    <mergeCell ref="C3:C4"/>
  </mergeCells>
  <hyperlinks>
    <hyperlink ref="A1" location="'Modelo de dominio'!A1" display="&lt;&lt;&lt;Modelo de Dominio" xr:uid="{00000000-0004-0000-0D00-000000000000}"/>
    <hyperlink ref="B1" location="'Objetos de dominio'!A1" display="&lt;&lt;&lt;Objetos de Dominio" xr:uid="{00000000-0004-0000-0D00-000001000000}"/>
    <hyperlink ref="B6" location="'M-ProductoInterno'!A1" display="ProductoInterno " xr:uid="{00000000-0004-0000-0D00-000002000000}"/>
    <hyperlink ref="D6" location="'M-UnidadMedida'!A1" display="UnidadMedida" xr:uid="{00000000-0004-0000-0D00-000003000000}"/>
    <hyperlink ref="G6" location="'M-Compra'!A1" display="Compra" xr:uid="{00000000-0004-0000-0D00-000004000000}"/>
    <hyperlink ref="H6" location="'M-TipoMovimiento'!A1" display="TipoMovimiento" xr:uid="{00000000-0004-0000-0D00-000005000000}"/>
  </hyperlinks>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9">
    <outlinePr summaryBelow="0" summaryRight="0"/>
  </sheetPr>
  <dimension ref="A1:WQJ44"/>
  <sheetViews>
    <sheetView topLeftCell="M31" zoomScale="55" zoomScaleNormal="55" workbookViewId="0">
      <selection activeCell="P34" sqref="P34"/>
    </sheetView>
  </sheetViews>
  <sheetFormatPr baseColWidth="10" defaultColWidth="12.625" defaultRowHeight="12.9"/>
  <cols>
    <col min="1" max="1" width="27.75" bestFit="1" customWidth="1"/>
    <col min="2" max="2" width="188.37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50.375" bestFit="1" customWidth="1"/>
    <col min="10" max="10" width="23.25" bestFit="1" customWidth="1"/>
    <col min="11" max="11" width="21.75" bestFit="1" customWidth="1"/>
    <col min="12" max="12" width="18.75" bestFit="1" customWidth="1"/>
    <col min="13" max="13" width="159" bestFit="1" customWidth="1"/>
    <col min="14" max="14" width="15.375" bestFit="1" customWidth="1"/>
    <col min="15" max="15" width="31.25" bestFit="1" customWidth="1"/>
    <col min="16" max="16" width="28.25" bestFit="1" customWidth="1"/>
    <col min="17" max="17" width="113.875" bestFit="1" customWidth="1"/>
    <col min="18" max="18" width="71.625" bestFit="1" customWidth="1"/>
    <col min="19" max="19" width="23.875" bestFit="1" customWidth="1"/>
    <col min="20" max="20" width="27.375" bestFit="1" customWidth="1"/>
    <col min="21" max="21" width="15.25" bestFit="1" customWidth="1"/>
    <col min="22" max="22" width="32.375" customWidth="1"/>
    <col min="23" max="23" width="27.625" customWidth="1"/>
    <col min="24" max="25" width="27.125" customWidth="1"/>
  </cols>
  <sheetData>
    <row r="1" spans="1:25">
      <c r="A1" s="76" t="s">
        <v>0</v>
      </c>
      <c r="B1" s="132" t="s">
        <v>1</v>
      </c>
      <c r="C1" s="76"/>
      <c r="D1" s="132"/>
      <c r="E1" s="76"/>
      <c r="F1" s="132"/>
      <c r="G1" s="76"/>
      <c r="H1" s="132"/>
      <c r="I1" s="76"/>
      <c r="J1" s="132"/>
      <c r="K1" s="76"/>
      <c r="L1" s="132"/>
      <c r="M1" s="76"/>
      <c r="N1" s="132"/>
      <c r="O1" s="76"/>
      <c r="P1" s="132"/>
      <c r="Q1" s="76"/>
      <c r="R1" s="132"/>
      <c r="S1" s="76"/>
      <c r="T1" s="132"/>
      <c r="U1" s="76"/>
      <c r="V1" s="132"/>
    </row>
    <row r="2" spans="1:25" ht="14.3" customHeight="1">
      <c r="A2" s="7" t="s">
        <v>20</v>
      </c>
      <c r="B2" s="1331" t="s">
        <v>40</v>
      </c>
      <c r="C2" s="1332"/>
      <c r="D2" s="1332"/>
      <c r="E2" s="1332"/>
      <c r="F2" s="1332"/>
      <c r="G2" s="1332"/>
      <c r="H2" s="1332"/>
      <c r="I2" s="1332"/>
      <c r="J2" s="1332"/>
      <c r="K2" s="1332"/>
      <c r="L2" s="1332"/>
      <c r="M2" s="1332"/>
      <c r="N2" s="1332"/>
      <c r="O2" s="1332"/>
      <c r="P2" s="1332"/>
      <c r="Q2" s="1332"/>
      <c r="R2" s="1332"/>
      <c r="S2" s="1332"/>
      <c r="T2" s="1332"/>
      <c r="U2" s="1333"/>
    </row>
    <row r="3" spans="1:25" ht="14.3" customHeight="1">
      <c r="A3" s="710" t="s">
        <v>79</v>
      </c>
      <c r="B3" s="1238" t="str">
        <f>HYPERLINK("#'Objetos de dominio'!B11", 'Objetos de dominio'!B13)</f>
        <v>Es cada uno de los productos o insumos que se compraron en una compra, con la cantidad de cada uno.</v>
      </c>
      <c r="C3" s="1239"/>
      <c r="D3" s="1239"/>
      <c r="E3" s="1239"/>
      <c r="F3" s="1239"/>
      <c r="G3" s="1239"/>
      <c r="H3" s="1239"/>
      <c r="I3" s="1239"/>
      <c r="J3" s="1239"/>
      <c r="K3" s="1239"/>
      <c r="L3" s="1239"/>
      <c r="M3" s="1239"/>
      <c r="N3" s="1239"/>
      <c r="O3" s="1239"/>
      <c r="P3" s="1239"/>
      <c r="Q3" s="1239"/>
      <c r="R3" s="1239"/>
      <c r="S3" s="1239"/>
      <c r="T3" s="1239"/>
      <c r="U3" s="1240"/>
    </row>
    <row r="4" spans="1:25" ht="14.3" customHeight="1">
      <c r="A4" s="110" t="s">
        <v>80</v>
      </c>
      <c r="B4" s="711" t="s">
        <v>81</v>
      </c>
      <c r="C4" s="712" t="s">
        <v>82</v>
      </c>
      <c r="D4" s="713" t="s">
        <v>8</v>
      </c>
      <c r="E4" s="713" t="s">
        <v>14</v>
      </c>
      <c r="F4" s="713" t="s">
        <v>83</v>
      </c>
      <c r="G4" s="713" t="s">
        <v>84</v>
      </c>
      <c r="H4" s="713" t="s">
        <v>85</v>
      </c>
      <c r="I4" s="713" t="s">
        <v>86</v>
      </c>
      <c r="J4" s="713" t="s">
        <v>87</v>
      </c>
      <c r="K4" s="713" t="s">
        <v>88</v>
      </c>
      <c r="L4" s="713" t="s">
        <v>89</v>
      </c>
      <c r="M4" s="713" t="s">
        <v>90</v>
      </c>
      <c r="N4" s="713" t="s">
        <v>91</v>
      </c>
      <c r="O4" s="713" t="s">
        <v>92</v>
      </c>
      <c r="P4" s="713" t="s">
        <v>93</v>
      </c>
      <c r="Q4" s="713" t="s">
        <v>94</v>
      </c>
      <c r="R4" s="713" t="s">
        <v>95</v>
      </c>
      <c r="S4" s="713" t="s">
        <v>96</v>
      </c>
      <c r="T4" s="713" t="s">
        <v>97</v>
      </c>
      <c r="U4" s="714" t="s">
        <v>98</v>
      </c>
      <c r="V4" s="686" t="str">
        <f>HYPERLINK("#'C-DetalleCompra'!A24", 'C-DetalleCompra'!A24)</f>
        <v>Registrar detalle de compra</v>
      </c>
      <c r="W4" s="1241" t="str">
        <f>HYPERLINK("#'C-DetalleCompra'!A37", 'C-DetalleCompra'!A37)</f>
        <v>Modificar detalle de compra</v>
      </c>
      <c r="X4" s="1242"/>
      <c r="Y4" s="716" t="str">
        <f>HYPERLINK("#'C-DetalleCompra'!A42", 'C-DetalleCompra'!A42)</f>
        <v>Eliminar detalle de compra</v>
      </c>
    </row>
    <row r="5" spans="1:25" ht="13.75" customHeight="1">
      <c r="A5" s="141" t="str">
        <f>HYPERLINK("#'M-DetalleCompra'!A6", 'M-DetalleCompra'!A6)</f>
        <v>Id</v>
      </c>
      <c r="B5" s="141" t="str">
        <f>HYPERLINK("#'M-DetalleCompra'!A2", 'M-DetalleCompra'!A2)</f>
        <v>Identificador unico de cada detalle de compra</v>
      </c>
      <c r="C5" s="145" t="s">
        <v>15</v>
      </c>
      <c r="D5" s="146" t="s">
        <v>99</v>
      </c>
      <c r="E5" s="146" t="s">
        <v>15</v>
      </c>
      <c r="F5" s="146"/>
      <c r="G5" s="146"/>
      <c r="H5" s="146"/>
      <c r="I5" s="146"/>
      <c r="J5" s="146"/>
      <c r="K5" s="146"/>
      <c r="L5" s="146"/>
      <c r="M5" s="146"/>
      <c r="N5" s="146" t="s">
        <v>100</v>
      </c>
      <c r="O5" s="146" t="s">
        <v>100</v>
      </c>
      <c r="P5" s="146"/>
      <c r="Q5" s="146" t="s">
        <v>100</v>
      </c>
      <c r="R5" s="146" t="s">
        <v>100</v>
      </c>
      <c r="S5" s="146" t="s">
        <v>100</v>
      </c>
      <c r="T5" s="146"/>
      <c r="U5" s="482" t="s">
        <v>15</v>
      </c>
      <c r="V5" s="684" t="s">
        <v>101</v>
      </c>
      <c r="W5" s="687" t="s">
        <v>101</v>
      </c>
      <c r="X5" s="687" t="s">
        <v>273</v>
      </c>
      <c r="Y5" s="715" t="s">
        <v>101</v>
      </c>
    </row>
    <row r="6" spans="1:25" ht="13.75" customHeight="1">
      <c r="A6" s="141" t="str">
        <f>HYPERLINK("#'M-DetalleCompra'!B6", 'M-DetalleCompra'!B6)</f>
        <v>ProductoInterno</v>
      </c>
      <c r="B6" s="141" t="str">
        <f>HYPERLINK("#'M-DetalleCompra'!B2", 'M-DetalleCompra'!B2)</f>
        <v xml:space="preserve">Nombre del producto Interno </v>
      </c>
      <c r="C6" s="145" t="s">
        <v>100</v>
      </c>
      <c r="D6" s="146" t="s">
        <v>38</v>
      </c>
      <c r="E6" s="146" t="s">
        <v>15</v>
      </c>
      <c r="F6" s="146"/>
      <c r="G6" s="146"/>
      <c r="H6" s="146"/>
      <c r="I6" s="146"/>
      <c r="J6" s="146"/>
      <c r="K6" s="146"/>
      <c r="L6" s="146"/>
      <c r="M6" s="146" t="s">
        <v>361</v>
      </c>
      <c r="N6" s="146" t="s">
        <v>100</v>
      </c>
      <c r="O6" s="146" t="s">
        <v>100</v>
      </c>
      <c r="P6" s="146"/>
      <c r="Q6" s="146" t="s">
        <v>100</v>
      </c>
      <c r="R6" s="146" t="s">
        <v>100</v>
      </c>
      <c r="S6" s="146" t="s">
        <v>100</v>
      </c>
      <c r="T6" s="146"/>
      <c r="U6" s="482" t="s">
        <v>100</v>
      </c>
      <c r="V6" s="582" t="s">
        <v>101</v>
      </c>
      <c r="W6" s="557" t="s">
        <v>276</v>
      </c>
      <c r="X6" s="557" t="s">
        <v>277</v>
      </c>
      <c r="Y6" s="608" t="s">
        <v>276</v>
      </c>
    </row>
    <row r="7" spans="1:25" ht="13.75" customHeight="1">
      <c r="A7" s="141" t="str">
        <f>HYPERLINK("#'M-DetalleCompra'!C6", 'M-DetalleCompra'!C6)</f>
        <v>Cantidad</v>
      </c>
      <c r="B7" s="141" t="str">
        <f>HYPERLINK("#'M-DetalleCompra'!C2", 'M-DetalleCompra'!C2)</f>
        <v xml:space="preserve">Cantidad que se compro de un producto determinado </v>
      </c>
      <c r="C7" s="145" t="s">
        <v>100</v>
      </c>
      <c r="D7" s="146" t="s">
        <v>13</v>
      </c>
      <c r="E7" s="146" t="s">
        <v>15</v>
      </c>
      <c r="F7" s="146"/>
      <c r="G7" s="146"/>
      <c r="H7" s="146">
        <v>4</v>
      </c>
      <c r="I7" s="146" t="s">
        <v>103</v>
      </c>
      <c r="J7" s="146" t="s">
        <v>104</v>
      </c>
      <c r="K7" s="146">
        <v>100000</v>
      </c>
      <c r="L7" s="146"/>
      <c r="M7" s="146" t="s">
        <v>105</v>
      </c>
      <c r="N7" s="146" t="s">
        <v>100</v>
      </c>
      <c r="O7" s="146" t="s">
        <v>100</v>
      </c>
      <c r="P7" s="146"/>
      <c r="Q7" s="146" t="s">
        <v>100</v>
      </c>
      <c r="R7" s="146" t="s">
        <v>100</v>
      </c>
      <c r="S7" s="146" t="s">
        <v>100</v>
      </c>
      <c r="T7" s="146"/>
      <c r="U7" s="482" t="s">
        <v>100</v>
      </c>
      <c r="V7" s="582" t="s">
        <v>101</v>
      </c>
      <c r="W7" s="557" t="s">
        <v>276</v>
      </c>
      <c r="X7" s="557" t="s">
        <v>277</v>
      </c>
      <c r="Y7" s="608" t="s">
        <v>276</v>
      </c>
    </row>
    <row r="8" spans="1:25" ht="13.75" customHeight="1">
      <c r="A8" s="141" t="str">
        <f>HYPERLINK("#'M-DetalleCompra'!D6", 'M-DetalleCompra'!D6)</f>
        <v>UnidadMedida</v>
      </c>
      <c r="B8" s="141" t="str">
        <f>HYPERLINK("#'M-DetalleCompra'!D2", 'M-DetalleCompra'!D2)</f>
        <v xml:space="preserve">Se ingresa la  unidad de medida en la que se hizo la compra , esta unidad de medida debe ser valida para el tipo de dato , por ejemplo si el producto es aceite de oliva , el va a ser de tipo volumen entonces puede estar en ml o l </v>
      </c>
      <c r="C8" s="145" t="s">
        <v>100</v>
      </c>
      <c r="D8" s="146" t="s">
        <v>28</v>
      </c>
      <c r="E8" s="146" t="s">
        <v>15</v>
      </c>
      <c r="F8" s="146"/>
      <c r="G8" s="146"/>
      <c r="H8" s="146"/>
      <c r="I8" s="146"/>
      <c r="J8" s="146"/>
      <c r="K8" s="146"/>
      <c r="L8" s="146"/>
      <c r="M8" s="147" t="s">
        <v>362</v>
      </c>
      <c r="N8" s="146" t="s">
        <v>100</v>
      </c>
      <c r="O8" s="146" t="s">
        <v>100</v>
      </c>
      <c r="P8" s="146"/>
      <c r="Q8" s="146" t="s">
        <v>100</v>
      </c>
      <c r="R8" s="146" t="s">
        <v>100</v>
      </c>
      <c r="S8" s="146" t="s">
        <v>100</v>
      </c>
      <c r="T8" s="146"/>
      <c r="U8" s="482" t="s">
        <v>100</v>
      </c>
      <c r="V8" s="582" t="s">
        <v>101</v>
      </c>
      <c r="W8" s="557" t="s">
        <v>276</v>
      </c>
      <c r="X8" s="557" t="s">
        <v>277</v>
      </c>
      <c r="Y8" s="608" t="s">
        <v>276</v>
      </c>
    </row>
    <row r="9" spans="1:25" ht="13.75" customHeight="1">
      <c r="A9" s="142" t="str">
        <f>HYPERLINK("#'M-DetalleCompra'!E6", 'M-DetalleCompra'!E6)</f>
        <v>PrecioCompra</v>
      </c>
      <c r="B9" s="142" t="str">
        <f>HYPERLINK("#'M-DetalleCompra'!E2", 'M-DetalleCompra'!E2)</f>
        <v xml:space="preserve">Valor monetario de cada producto </v>
      </c>
      <c r="C9" s="145" t="s">
        <v>100</v>
      </c>
      <c r="D9" s="146" t="s">
        <v>13</v>
      </c>
      <c r="E9" s="146" t="s">
        <v>15</v>
      </c>
      <c r="F9" s="146"/>
      <c r="G9" s="146"/>
      <c r="H9" s="146">
        <v>2</v>
      </c>
      <c r="I9" s="146" t="s">
        <v>103</v>
      </c>
      <c r="J9" s="146" t="s">
        <v>363</v>
      </c>
      <c r="K9" s="146">
        <v>5000000</v>
      </c>
      <c r="L9" s="146"/>
      <c r="M9" s="147"/>
      <c r="N9" s="146" t="s">
        <v>100</v>
      </c>
      <c r="O9" s="146" t="s">
        <v>100</v>
      </c>
      <c r="P9" s="146"/>
      <c r="Q9" s="146" t="s">
        <v>100</v>
      </c>
      <c r="R9" s="146" t="s">
        <v>100</v>
      </c>
      <c r="S9" s="146" t="s">
        <v>100</v>
      </c>
      <c r="T9" s="146"/>
      <c r="U9" s="482" t="s">
        <v>100</v>
      </c>
      <c r="V9" s="582" t="s">
        <v>101</v>
      </c>
      <c r="W9" s="557" t="s">
        <v>276</v>
      </c>
      <c r="X9" s="557" t="s">
        <v>277</v>
      </c>
      <c r="Y9" s="608" t="s">
        <v>276</v>
      </c>
    </row>
    <row r="10" spans="1:25" ht="13.75" customHeight="1">
      <c r="A10" s="142" t="str">
        <f>HYPERLINK("#'M-DetalleCompra'!F6", 'M-DetalleCompra'!F6)</f>
        <v>FechaVencimiento</v>
      </c>
      <c r="B10" s="142" t="str">
        <f>HYPERLINK("#'M-DetalleCompra'!F2", 'M-DetalleCompra'!F2)</f>
        <v xml:space="preserve">Se ingresa la fecha de vencimiento del producto , en caso de que la traiga de lo contrario hay que calcular una vida util </v>
      </c>
      <c r="C10" s="145" t="s">
        <v>100</v>
      </c>
      <c r="D10" s="146" t="s">
        <v>9</v>
      </c>
      <c r="E10" s="146" t="s">
        <v>100</v>
      </c>
      <c r="F10" s="146"/>
      <c r="G10" s="146"/>
      <c r="H10" s="146"/>
      <c r="I10" s="146"/>
      <c r="J10" s="146"/>
      <c r="K10" s="146"/>
      <c r="L10" s="146" t="s">
        <v>107</v>
      </c>
      <c r="M10" s="147" t="s">
        <v>364</v>
      </c>
      <c r="N10" s="146" t="s">
        <v>100</v>
      </c>
      <c r="O10" s="146" t="s">
        <v>100</v>
      </c>
      <c r="P10" s="146"/>
      <c r="Q10" s="146" t="s">
        <v>100</v>
      </c>
      <c r="R10" s="146" t="s">
        <v>100</v>
      </c>
      <c r="S10" s="146" t="s">
        <v>100</v>
      </c>
      <c r="T10" s="146" t="s">
        <v>360</v>
      </c>
      <c r="U10" s="482" t="s">
        <v>100</v>
      </c>
      <c r="V10" s="582" t="s">
        <v>101</v>
      </c>
      <c r="W10" s="557" t="s">
        <v>276</v>
      </c>
      <c r="X10" s="557" t="s">
        <v>277</v>
      </c>
      <c r="Y10" s="608" t="s">
        <v>276</v>
      </c>
    </row>
    <row r="11" spans="1:25" ht="13.75" customHeight="1">
      <c r="A11" s="670" t="str">
        <f>HYPERLINK("#'M-DetalleCompra'!G6", 'M-DetalleCompra'!G6)</f>
        <v>Compra</v>
      </c>
      <c r="B11" s="670" t="str">
        <f>HYPERLINK("#'M-DetalleCompra'!G2", 'M-DetalleCompra'!G2)</f>
        <v>Compra a la que pertenece este detalle</v>
      </c>
      <c r="C11" s="671" t="s">
        <v>100</v>
      </c>
      <c r="D11" s="672" t="s">
        <v>36</v>
      </c>
      <c r="E11" s="672" t="s">
        <v>15</v>
      </c>
      <c r="F11" s="672"/>
      <c r="G11" s="672"/>
      <c r="H11" s="672"/>
      <c r="I11" s="672"/>
      <c r="J11" s="672"/>
      <c r="K11" s="672"/>
      <c r="L11" s="672"/>
      <c r="M11" s="673" t="s">
        <v>365</v>
      </c>
      <c r="N11" s="672" t="s">
        <v>100</v>
      </c>
      <c r="O11" s="672" t="s">
        <v>100</v>
      </c>
      <c r="P11" s="672"/>
      <c r="Q11" s="672" t="s">
        <v>100</v>
      </c>
      <c r="R11" s="672" t="s">
        <v>100</v>
      </c>
      <c r="S11" s="672" t="s">
        <v>100</v>
      </c>
      <c r="T11" s="672"/>
      <c r="U11" s="674" t="s">
        <v>100</v>
      </c>
      <c r="V11" s="663" t="s">
        <v>101</v>
      </c>
      <c r="W11" s="664" t="s">
        <v>276</v>
      </c>
      <c r="X11" s="664" t="s">
        <v>273</v>
      </c>
      <c r="Y11" s="675" t="s">
        <v>276</v>
      </c>
    </row>
    <row r="12" spans="1:25" s="614" customFormat="1" ht="13.75" customHeight="1">
      <c r="A12" s="676" t="str">
        <f>HYPERLINK("#'M-DetalleCompra'!H6", 'M-DetalleCompra'!H6)</f>
        <v>TipoMovimiento</v>
      </c>
      <c r="B12" s="676" t="str">
        <f>HYPERLINK("#'M-DetalleCompra'!H2", 'M-DetalleCompra'!H2)</f>
        <v>Codigo de la operacion (TipoMovimiento) propio de este detalle de compra; es el mismo que lleva su movimiento de entrada</v>
      </c>
      <c r="C12" s="677" t="s">
        <v>100</v>
      </c>
      <c r="D12" s="677" t="s">
        <v>10</v>
      </c>
      <c r="E12" s="677" t="s">
        <v>15</v>
      </c>
      <c r="F12" s="677"/>
      <c r="G12" s="677"/>
      <c r="H12" s="677"/>
      <c r="I12" s="677"/>
      <c r="J12" s="677"/>
      <c r="K12" s="677"/>
      <c r="L12" s="677"/>
      <c r="M12" s="678" t="s">
        <v>1157</v>
      </c>
      <c r="N12" s="677" t="s">
        <v>100</v>
      </c>
      <c r="O12" s="677" t="s">
        <v>100</v>
      </c>
      <c r="P12" s="677"/>
      <c r="Q12" s="677" t="s">
        <v>100</v>
      </c>
      <c r="R12" s="677" t="s">
        <v>100</v>
      </c>
      <c r="S12" s="677" t="s">
        <v>100</v>
      </c>
      <c r="T12" s="677"/>
      <c r="U12" s="677" t="s">
        <v>15</v>
      </c>
      <c r="V12" s="582" t="s">
        <v>276</v>
      </c>
      <c r="W12" s="557" t="s">
        <v>276</v>
      </c>
      <c r="X12" s="557" t="s">
        <v>273</v>
      </c>
      <c r="Y12" s="608" t="s">
        <v>276</v>
      </c>
    </row>
    <row r="16" spans="1:25" ht="14.3" customHeight="1">
      <c r="A16" s="111" t="s">
        <v>109</v>
      </c>
      <c r="B16" s="111" t="s">
        <v>79</v>
      </c>
      <c r="C16" s="111" t="s">
        <v>110</v>
      </c>
    </row>
    <row r="17" spans="1:18" ht="13.75" customHeight="1">
      <c r="A17" s="1345" t="s">
        <v>111</v>
      </c>
      <c r="B17" s="1337" t="s">
        <v>366</v>
      </c>
      <c r="C17" s="468" t="str">
        <f>HYPERLINK("#'C-DetalleCompra'!A11", 'C-DetalleCompra'!A11)</f>
        <v>Compra</v>
      </c>
    </row>
    <row r="18" spans="1:18">
      <c r="A18" s="1090"/>
      <c r="B18" s="1090"/>
      <c r="C18" s="468" t="str">
        <f>HYPERLINK("#'C-DetalleCompra'!A6", 'C-DetalleCompra'!A6)</f>
        <v>ProductoInterno</v>
      </c>
    </row>
    <row r="19" spans="1:18">
      <c r="A19" s="1089"/>
      <c r="B19" s="1089"/>
      <c r="C19" s="797" t="str">
        <f>HYPERLINK("#'C-DetalleCompra'!A10", 'C-DetalleCompra'!A10)</f>
        <v>FechaVencimiento</v>
      </c>
    </row>
    <row r="20" spans="1:18" s="614" customFormat="1" ht="13.6">
      <c r="A20" s="647" t="s">
        <v>1061</v>
      </c>
      <c r="B20" s="646" t="s">
        <v>1158</v>
      </c>
      <c r="C20" s="797" t="str">
        <f>HYPERLINK("#'C-DetalleCompra'!A12", 'C-DetalleCompra'!A12)</f>
        <v>TipoMovimiento</v>
      </c>
    </row>
    <row r="21" spans="1:18" ht="13.75" customHeight="1" thickBot="1"/>
    <row r="22" spans="1:18" ht="14.3" customHeight="1">
      <c r="A22" s="1346" t="s">
        <v>113</v>
      </c>
      <c r="B22" s="1342"/>
      <c r="C22" s="1334" t="s">
        <v>79</v>
      </c>
      <c r="D22" s="1341"/>
      <c r="E22" s="1341"/>
      <c r="F22" s="1342"/>
      <c r="G22" s="1334" t="s">
        <v>114</v>
      </c>
      <c r="H22" s="1335"/>
      <c r="I22" s="1336"/>
      <c r="J22" s="1334" t="s">
        <v>115</v>
      </c>
      <c r="K22" s="1335"/>
      <c r="L22" s="1335"/>
      <c r="M22" s="1335"/>
      <c r="N22" s="1336"/>
      <c r="O22" s="1334" t="s">
        <v>116</v>
      </c>
      <c r="P22" s="1336"/>
      <c r="Q22" s="1334" t="s">
        <v>117</v>
      </c>
      <c r="R22" s="1336"/>
    </row>
    <row r="23" spans="1:18" ht="14.3" customHeight="1" thickBot="1">
      <c r="A23" s="1347"/>
      <c r="B23" s="1261"/>
      <c r="C23" s="1343"/>
      <c r="D23" s="1344"/>
      <c r="E23" s="1344"/>
      <c r="F23" s="1261"/>
      <c r="G23" s="558" t="s">
        <v>118</v>
      </c>
      <c r="H23" s="558" t="s">
        <v>8</v>
      </c>
      <c r="I23" s="558" t="s">
        <v>79</v>
      </c>
      <c r="J23" s="717" t="s">
        <v>119</v>
      </c>
      <c r="K23" s="1338" t="s">
        <v>79</v>
      </c>
      <c r="L23" s="1339"/>
      <c r="M23" s="1339"/>
      <c r="N23" s="1340"/>
      <c r="O23" s="558" t="s">
        <v>120</v>
      </c>
      <c r="P23" s="558" t="s">
        <v>79</v>
      </c>
      <c r="Q23" s="558" t="s">
        <v>121</v>
      </c>
      <c r="R23" s="320" t="s">
        <v>122</v>
      </c>
    </row>
    <row r="24" spans="1:18" ht="76.75" customHeight="1" thickBot="1">
      <c r="A24" s="1305" t="str">
        <f>HYPERLINK("#'C-DetalleCompra'!V4", 'E-DetalleCompra'!B7)</f>
        <v>Registrar detalle de compra</v>
      </c>
      <c r="B24" s="1306"/>
      <c r="C24" s="1311" t="str">
        <f>'E-DetalleCompra'!C7</f>
        <v>Registrar un producto adquirido dentro de una compra, indicando la cantidad, unidad de medida, precio de compra y, cuando corresponda, su fecha de vencimiento.</v>
      </c>
      <c r="D24" s="1312"/>
      <c r="E24" s="1312"/>
      <c r="F24" s="1306"/>
      <c r="G24" s="1324" t="s">
        <v>123</v>
      </c>
      <c r="H24" s="1324" t="s">
        <v>40</v>
      </c>
      <c r="I24" s="1327" t="s">
        <v>367</v>
      </c>
      <c r="J24" s="1330" t="s">
        <v>40</v>
      </c>
      <c r="K24" s="1317" t="s">
        <v>368</v>
      </c>
      <c r="L24" s="1318"/>
      <c r="M24" s="1318"/>
      <c r="N24" s="1319"/>
      <c r="O24" s="798" t="str">
        <f>HYPERLINK("#'P-DetalleCompra'!A5", 'P-DetalleCompra'!A5)</f>
        <v>P-DC-001</v>
      </c>
      <c r="P24" s="529" t="str">
        <f>'P-DetalleCompra'!B5</f>
        <v>Asegurar que los datos requeridos para registrar un detalle de compra sean válidos de acuerdo con el tipo de dato, obligatoriedad, formato y rango correspondiente.</v>
      </c>
      <c r="Q24" s="529" t="s">
        <v>369</v>
      </c>
      <c r="R24" s="530" t="s">
        <v>127</v>
      </c>
    </row>
    <row r="25" spans="1:18" ht="39.4" thickBot="1">
      <c r="A25" s="1307"/>
      <c r="B25" s="1308"/>
      <c r="C25" s="1313"/>
      <c r="D25" s="1314"/>
      <c r="E25" s="1314"/>
      <c r="F25" s="1308"/>
      <c r="G25" s="1325"/>
      <c r="H25" s="1325"/>
      <c r="I25" s="1328"/>
      <c r="J25" s="1215"/>
      <c r="K25" s="1209"/>
      <c r="L25" s="1018"/>
      <c r="M25" s="1018"/>
      <c r="N25" s="1320"/>
      <c r="O25" s="798" t="str">
        <f>HYPERLINK("#'P-DetalleCompra'!A6", 'P-DetalleCompra'!A6)</f>
        <v>P-DC-002</v>
      </c>
      <c r="P25" s="529" t="str">
        <f>'P-DetalleCompra'!B6</f>
        <v>Asegurar que la compra a la que pertenece el detalle de compra exista en el sistema.</v>
      </c>
      <c r="Q25" s="529" t="s">
        <v>370</v>
      </c>
      <c r="R25" s="530" t="s">
        <v>371</v>
      </c>
    </row>
    <row r="26" spans="1:18" ht="39.4" thickBot="1">
      <c r="A26" s="1307"/>
      <c r="B26" s="1308"/>
      <c r="C26" s="1313"/>
      <c r="D26" s="1314"/>
      <c r="E26" s="1314"/>
      <c r="F26" s="1308"/>
      <c r="G26" s="1325"/>
      <c r="H26" s="1325"/>
      <c r="I26" s="1328"/>
      <c r="J26" s="1215"/>
      <c r="K26" s="1209"/>
      <c r="L26" s="1018"/>
      <c r="M26" s="1018"/>
      <c r="N26" s="1320"/>
      <c r="O26" s="798" t="str">
        <f>HYPERLINK("#'P-DetalleCompra'!A7", 'P-DetalleCompra'!A7)</f>
        <v>P-DC-003</v>
      </c>
      <c r="P26" s="529" t="str">
        <f>'P-DetalleCompra'!B7</f>
        <v>Asegurar que el producto interno asociado al detalle de compra exista en el sistema.</v>
      </c>
      <c r="Q26" s="529" t="s">
        <v>372</v>
      </c>
      <c r="R26" s="530" t="s">
        <v>129</v>
      </c>
    </row>
    <row r="27" spans="1:18" ht="39.4" thickBot="1">
      <c r="A27" s="1307"/>
      <c r="B27" s="1308"/>
      <c r="C27" s="1313"/>
      <c r="D27" s="1314"/>
      <c r="E27" s="1314"/>
      <c r="F27" s="1308"/>
      <c r="G27" s="1325"/>
      <c r="H27" s="1325"/>
      <c r="I27" s="1328"/>
      <c r="J27" s="1215"/>
      <c r="K27" s="1209"/>
      <c r="L27" s="1018"/>
      <c r="M27" s="1018"/>
      <c r="N27" s="1320"/>
      <c r="O27" s="798" t="str">
        <f>HYPERLINK("#'P-DetalleCompra'!A17", 'P-DetalleCompra'!A17)</f>
        <v>P-DC-013</v>
      </c>
      <c r="P27" s="529" t="str">
        <f>'P-DetalleCompra'!B17</f>
        <v>Asegurar que el producto interno del detalle de compra se encuentre activo.</v>
      </c>
      <c r="Q27" s="529" t="s">
        <v>1434</v>
      </c>
      <c r="R27" s="530" t="s">
        <v>1435</v>
      </c>
    </row>
    <row r="28" spans="1:18" ht="103.95" thickBot="1">
      <c r="A28" s="1307"/>
      <c r="B28" s="1308"/>
      <c r="C28" s="1313"/>
      <c r="D28" s="1314"/>
      <c r="E28" s="1314"/>
      <c r="F28" s="1308"/>
      <c r="G28" s="1325"/>
      <c r="H28" s="1325"/>
      <c r="I28" s="1328"/>
      <c r="J28" s="1215"/>
      <c r="K28" s="1209"/>
      <c r="L28" s="1018"/>
      <c r="M28" s="1018"/>
      <c r="N28" s="1320"/>
      <c r="O28" s="798" t="str">
        <f>HYPERLINK("#'P-DetalleCompra'!A8", 'P-DetalleCompra'!A8)</f>
        <v>P-DC-004</v>
      </c>
      <c r="P28" s="529" t="str">
        <f>'P-DetalleCompra'!B8</f>
        <v>Asegurar que la fecha de vencimiento del detalle de compra solo tenga un valor real cuando el producto interno sea no perecedero; si es perecedero, debe quedar en el valor por defecto (01/01/1000), ya que su vencimiento se calcula en Lote.</v>
      </c>
      <c r="Q28" s="529" t="s">
        <v>373</v>
      </c>
      <c r="R28" s="530" t="s">
        <v>374</v>
      </c>
    </row>
    <row r="29" spans="1:18" ht="52.3" thickBot="1">
      <c r="A29" s="1307"/>
      <c r="B29" s="1308"/>
      <c r="C29" s="1313"/>
      <c r="D29" s="1314"/>
      <c r="E29" s="1314"/>
      <c r="F29" s="1308"/>
      <c r="G29" s="1325"/>
      <c r="H29" s="1325"/>
      <c r="I29" s="1328"/>
      <c r="J29" s="1215"/>
      <c r="K29" s="1209"/>
      <c r="L29" s="1018"/>
      <c r="M29" s="1018"/>
      <c r="N29" s="1320"/>
      <c r="O29" s="798" t="str">
        <f>HYPERLINK("#'P-DetalleCompra'!A9", 'P-DetalleCompra'!A9)</f>
        <v>P-DC-005</v>
      </c>
      <c r="P29" s="529" t="str">
        <f>'P-DetalleCompra'!B9</f>
        <v>Asegurar que la cantidad registrada en un detalle de compra sea mayor que cero y como maximo 100.000.</v>
      </c>
      <c r="Q29" s="529" t="s">
        <v>1436</v>
      </c>
      <c r="R29" s="530" t="s">
        <v>1437</v>
      </c>
    </row>
    <row r="30" spans="1:18" ht="13.75" customHeight="1" thickBot="1">
      <c r="A30" s="1307"/>
      <c r="B30" s="1308"/>
      <c r="C30" s="1313"/>
      <c r="D30" s="1314"/>
      <c r="E30" s="1314"/>
      <c r="F30" s="1308"/>
      <c r="G30" s="1325"/>
      <c r="H30" s="1325"/>
      <c r="I30" s="1328"/>
      <c r="J30" s="1215"/>
      <c r="K30" s="1209"/>
      <c r="L30" s="1018"/>
      <c r="M30" s="1018"/>
      <c r="N30" s="1320"/>
      <c r="O30" s="798" t="str">
        <f>HYPERLINK("#'P-DetalleCompra'!A16", 'P-DetalleCompra'!A16)</f>
        <v>P-DC-012</v>
      </c>
      <c r="P30" s="529" t="str">
        <f>'P-DetalleCompra'!B16</f>
        <v>Asegurar que el precio de compra sea mayor o igual a cero y como maximo 5.000.000.</v>
      </c>
      <c r="Q30" s="529" t="s">
        <v>1438</v>
      </c>
      <c r="R30" s="530" t="s">
        <v>1437</v>
      </c>
    </row>
    <row r="31" spans="1:18" ht="52.3" customHeight="1" thickBot="1">
      <c r="A31" s="1307"/>
      <c r="B31" s="1308"/>
      <c r="C31" s="1313"/>
      <c r="D31" s="1314"/>
      <c r="E31" s="1314"/>
      <c r="F31" s="1308"/>
      <c r="G31" s="1325"/>
      <c r="H31" s="1325"/>
      <c r="I31" s="1328"/>
      <c r="J31" s="1215"/>
      <c r="K31" s="1209"/>
      <c r="L31" s="1018"/>
      <c r="M31" s="1018"/>
      <c r="N31" s="1320"/>
      <c r="O31" s="798" t="str">
        <f>HYPERLINK("#'P-DetalleCompra'!A10", 'P-DetalleCompra'!A10)</f>
        <v>P-DC-006</v>
      </c>
      <c r="P31" s="529" t="str">
        <f>'P-DetalleCompra'!B10</f>
        <v>Asegurar que la unidad de medida utilizada para expresar la cantidad del detalle de compra sea válida.</v>
      </c>
      <c r="Q31" s="529" t="s">
        <v>375</v>
      </c>
      <c r="R31" s="530" t="s">
        <v>133</v>
      </c>
    </row>
    <row r="32" spans="1:18" ht="50.95" customHeight="1" thickBot="1">
      <c r="A32" s="1307"/>
      <c r="B32" s="1308"/>
      <c r="C32" s="1313"/>
      <c r="D32" s="1314"/>
      <c r="E32" s="1314"/>
      <c r="F32" s="1308"/>
      <c r="G32" s="1325"/>
      <c r="H32" s="1325"/>
      <c r="I32" s="1328"/>
      <c r="J32" s="1215"/>
      <c r="K32" s="1209"/>
      <c r="L32" s="1018"/>
      <c r="M32" s="1018"/>
      <c r="N32" s="1320"/>
      <c r="O32" s="798" t="str">
        <f>HYPERLINK("#'P-DetalleCompra'!A13", 'P-DetalleCompra'!A13)</f>
        <v>P-DC-009</v>
      </c>
      <c r="P32" s="529" t="str">
        <f>'P-DetalleCompra'!B13</f>
        <v>Asegurar que un mismo producto interno no se repita dentro de una misma compra, salvo que tenga una fecha de vencimiento real distinta (aplicable unicamente a productos no perecederos, ya que un perecedero nunca trae fecha de vencimiento propia).</v>
      </c>
      <c r="Q32" s="529" t="s">
        <v>376</v>
      </c>
      <c r="R32" s="530" t="s">
        <v>377</v>
      </c>
    </row>
    <row r="33" spans="1:18 16000:16000" ht="52.3" thickBot="1">
      <c r="A33" s="1307"/>
      <c r="B33" s="1308"/>
      <c r="C33" s="1313"/>
      <c r="D33" s="1314"/>
      <c r="E33" s="1314"/>
      <c r="F33" s="1308"/>
      <c r="G33" s="1325"/>
      <c r="H33" s="1325"/>
      <c r="I33" s="1328"/>
      <c r="J33" s="1215"/>
      <c r="K33" s="1209"/>
      <c r="L33" s="1018"/>
      <c r="M33" s="1018"/>
      <c r="N33" s="1320"/>
      <c r="O33" s="798" t="str">
        <f>HYPERLINK("#'P-DetalleCompra'!A18", 'P-DetalleCompra'!A18)</f>
        <v>P-DC-014</v>
      </c>
      <c r="P33" s="529" t="str">
        <f>'P-DetalleCompra'!B18</f>
        <v>Al registrar un detalle de compra se genera su propio TipoMovimiento de categoria Compra, que no se repite.</v>
      </c>
      <c r="Q33" s="529" t="s">
        <v>1439</v>
      </c>
      <c r="R33" s="530" t="s">
        <v>1440</v>
      </c>
    </row>
    <row r="34" spans="1:18 16000:16000" s="614" customFormat="1" ht="129.75" thickBot="1">
      <c r="A34" s="1307"/>
      <c r="B34" s="1308"/>
      <c r="C34" s="1313"/>
      <c r="D34" s="1314"/>
      <c r="E34" s="1314"/>
      <c r="F34" s="1308"/>
      <c r="G34" s="1325"/>
      <c r="H34" s="1325"/>
      <c r="I34" s="1328"/>
      <c r="J34" s="1215"/>
      <c r="K34" s="1209"/>
      <c r="L34" s="1018"/>
      <c r="M34" s="1018"/>
      <c r="N34" s="1320"/>
      <c r="O34" s="798" t="str">
        <f>HYPERLINK("#'P-DetalleCompra'!A19", 'P-DetalleCompra'!A19)</f>
        <v>P-DC-015</v>
      </c>
      <c r="P34" s="529" t="str">
        <f>'P-DetalleCompra'!B19</f>
        <v>Al registrar un detalle de compra se crea un nuevo Lote del producto interno con la cantidad comprada (en la unidad del inventario) y su numero de lote consecutivo. Su fecha de vencimiento es la del detalle si el producto no es perecedero, o la fecha de compra mas la vida util si es perecedero.</v>
      </c>
      <c r="Q34" s="529" t="s">
        <v>1441</v>
      </c>
      <c r="R34" s="530" t="s">
        <v>1442</v>
      </c>
      <c r="WQJ34"/>
    </row>
    <row r="35" spans="1:18 16000:16000" s="614" customFormat="1" ht="78.150000000000006" thickBot="1">
      <c r="A35" s="1307"/>
      <c r="B35" s="1308"/>
      <c r="C35" s="1313"/>
      <c r="D35" s="1314"/>
      <c r="E35" s="1314"/>
      <c r="F35" s="1308"/>
      <c r="G35" s="1325"/>
      <c r="H35" s="1325"/>
      <c r="I35" s="1328"/>
      <c r="J35" s="1215"/>
      <c r="K35" s="1209"/>
      <c r="L35" s="1018"/>
      <c r="M35" s="1018"/>
      <c r="N35" s="1320"/>
      <c r="O35" s="798" t="str">
        <f>HYPERLINK("#'P-DetalleCompra'!A20", 'P-DetalleCompra'!A20)</f>
        <v>P-DC-016</v>
      </c>
      <c r="P35" s="529" t="str">
        <f>'P-DetalleCompra'!B20</f>
        <v>Al registrar un detalle de compra se registra el movimiento de inventario de Entrada sobre el lote creado y se actualiza la cantidad total del inventario del producto interno.</v>
      </c>
      <c r="Q35" s="529" t="s">
        <v>1443</v>
      </c>
      <c r="R35" s="530" t="s">
        <v>1442</v>
      </c>
      <c r="WQJ35"/>
    </row>
    <row r="36" spans="1:18 16000:16000" s="614" customFormat="1" ht="38.75">
      <c r="A36" s="1309"/>
      <c r="B36" s="1310"/>
      <c r="C36" s="1315"/>
      <c r="D36" s="1316"/>
      <c r="E36" s="1316"/>
      <c r="F36" s="1310"/>
      <c r="G36" s="1326"/>
      <c r="H36" s="1326"/>
      <c r="I36" s="1329"/>
      <c r="J36" s="1215"/>
      <c r="K36" s="1321"/>
      <c r="L36" s="1322"/>
      <c r="M36" s="1322"/>
      <c r="N36" s="1323"/>
      <c r="O36" s="798" t="str">
        <f>HYPERLINK("#'P-DetalleCompra'!A21", 'P-DetalleCompra'!A21)</f>
        <v>P-DC-017</v>
      </c>
      <c r="P36" s="529" t="str">
        <f>'P-DetalleCompra'!B21</f>
        <v>Al registrar, modificar o eliminar un detalle de compra se recalcula el total de la compra.</v>
      </c>
      <c r="Q36" s="529" t="s">
        <v>1444</v>
      </c>
      <c r="R36" s="530" t="s">
        <v>1445</v>
      </c>
      <c r="WQJ36"/>
    </row>
    <row r="37" spans="1:18 16000:16000" s="614" customFormat="1" ht="51.65">
      <c r="A37" s="1281" t="str">
        <f>HYPERLINK("#'C-DetalleCompra'!W4", 'E-DetalleCompra'!B20)</f>
        <v>Modificar detalle de compra</v>
      </c>
      <c r="B37" s="1282"/>
      <c r="C37" s="1287" t="str">
        <f>'E-DetalleCompra'!C20</f>
        <v>Actualizar la información de un detalle de compra existente sin comprometer la trazabilidad de los movimientos de inventario ya generados.</v>
      </c>
      <c r="D37" s="1288"/>
      <c r="E37" s="1288"/>
      <c r="F37" s="1289"/>
      <c r="G37" s="1300" t="s">
        <v>123</v>
      </c>
      <c r="H37" s="1300" t="s">
        <v>40</v>
      </c>
      <c r="I37" s="1300" t="s">
        <v>378</v>
      </c>
      <c r="J37" s="1303" t="s">
        <v>40</v>
      </c>
      <c r="K37" s="1295" t="s">
        <v>379</v>
      </c>
      <c r="L37" s="1296"/>
      <c r="M37" s="1296"/>
      <c r="N37" s="1282"/>
      <c r="O37" s="799" t="str">
        <f>HYPERLINK("#'P-DetalleCompra'!A11", 'P-DetalleCompra'!A11)</f>
        <v>P-DC-007</v>
      </c>
      <c r="P37" s="531" t="str">
        <f>'P-DetalleCompra'!B11</f>
        <v>Asegurar que el detalle de compra que se desea modificar se encuentre registrado en el sistema.</v>
      </c>
      <c r="Q37" s="531" t="s">
        <v>380</v>
      </c>
      <c r="R37" s="532" t="s">
        <v>381</v>
      </c>
      <c r="WQJ37"/>
    </row>
    <row r="38" spans="1:18 16000:16000" s="614" customFormat="1" ht="77.45">
      <c r="A38" s="1283"/>
      <c r="B38" s="1284"/>
      <c r="C38" s="1290"/>
      <c r="D38" s="1250"/>
      <c r="E38" s="1250"/>
      <c r="F38" s="1291"/>
      <c r="G38" s="1301"/>
      <c r="H38" s="1301"/>
      <c r="I38" s="1301"/>
      <c r="J38" s="1303"/>
      <c r="K38" s="1297"/>
      <c r="L38" s="985"/>
      <c r="M38" s="985"/>
      <c r="N38" s="1284"/>
      <c r="O38" s="799" t="str">
        <f>HYPERLINK("#'P-DetalleCompra'!A5", 'P-DetalleCompra'!A5)</f>
        <v>P-DC-001</v>
      </c>
      <c r="P38" s="531" t="str">
        <f>'P-DetalleCompra'!B5</f>
        <v>Asegurar que los datos requeridos para registrar un detalle de compra sean válidos de acuerdo con el tipo de dato, obligatoriedad, formato y rango correspondiente.</v>
      </c>
      <c r="Q38" s="531" t="s">
        <v>1446</v>
      </c>
      <c r="R38" s="532" t="s">
        <v>1400</v>
      </c>
      <c r="WQJ38"/>
    </row>
    <row r="39" spans="1:18 16000:16000" s="614" customFormat="1" ht="51.65">
      <c r="A39" s="1283"/>
      <c r="B39" s="1284"/>
      <c r="C39" s="1290"/>
      <c r="D39" s="1250"/>
      <c r="E39" s="1250"/>
      <c r="F39" s="1291"/>
      <c r="G39" s="1301"/>
      <c r="H39" s="1301"/>
      <c r="I39" s="1301"/>
      <c r="J39" s="1303"/>
      <c r="K39" s="1297"/>
      <c r="L39" s="985"/>
      <c r="M39" s="985"/>
      <c r="N39" s="1284"/>
      <c r="O39" s="799" t="str">
        <f>HYPERLINK("#'P-DetalleCompra'!A9", 'P-DetalleCompra'!A9)</f>
        <v>P-DC-005</v>
      </c>
      <c r="P39" s="531" t="str">
        <f>'P-DetalleCompra'!B9</f>
        <v>Asegurar que la cantidad registrada en un detalle de compra sea mayor que cero y como maximo 100.000.</v>
      </c>
      <c r="Q39" s="531" t="s">
        <v>1447</v>
      </c>
      <c r="R39" s="532" t="s">
        <v>1448</v>
      </c>
      <c r="WQJ39"/>
    </row>
    <row r="40" spans="1:18 16000:16000" s="614" customFormat="1" ht="38.75">
      <c r="A40" s="1283"/>
      <c r="B40" s="1284"/>
      <c r="C40" s="1290"/>
      <c r="D40" s="1250"/>
      <c r="E40" s="1250"/>
      <c r="F40" s="1291"/>
      <c r="G40" s="1301"/>
      <c r="H40" s="1301"/>
      <c r="I40" s="1301"/>
      <c r="J40" s="1303"/>
      <c r="K40" s="1297"/>
      <c r="L40" s="985"/>
      <c r="M40" s="985"/>
      <c r="N40" s="1284"/>
      <c r="O40" s="799" t="str">
        <f>HYPERLINK("#'P-DetalleCompra'!A16", 'P-DetalleCompra'!A16)</f>
        <v>P-DC-012</v>
      </c>
      <c r="P40" s="531" t="str">
        <f>'P-DetalleCompra'!B16</f>
        <v>Asegurar que el precio de compra sea mayor o igual a cero y como maximo 5.000.000.</v>
      </c>
      <c r="Q40" s="531" t="s">
        <v>1449</v>
      </c>
      <c r="R40" s="532" t="s">
        <v>1448</v>
      </c>
      <c r="WQJ40"/>
    </row>
    <row r="41" spans="1:18 16000:16000" s="614" customFormat="1" ht="39.4" thickBot="1">
      <c r="A41" s="1285"/>
      <c r="B41" s="1286"/>
      <c r="C41" s="1292"/>
      <c r="D41" s="1293"/>
      <c r="E41" s="1293"/>
      <c r="F41" s="1294"/>
      <c r="G41" s="1302"/>
      <c r="H41" s="1302"/>
      <c r="I41" s="1302"/>
      <c r="J41" s="1304"/>
      <c r="K41" s="1298"/>
      <c r="L41" s="1299"/>
      <c r="M41" s="1299"/>
      <c r="N41" s="1286"/>
      <c r="O41" s="799" t="str">
        <f>HYPERLINK("#'P-DetalleCompra'!A21", 'P-DetalleCompra'!A21)</f>
        <v>P-DC-017</v>
      </c>
      <c r="P41" s="531" t="str">
        <f>'P-DetalleCompra'!B21</f>
        <v>Al registrar, modificar o eliminar un detalle de compra se recalcula el total de la compra.</v>
      </c>
      <c r="Q41" s="531" t="s">
        <v>1444</v>
      </c>
      <c r="R41" s="532" t="s">
        <v>1450</v>
      </c>
      <c r="WQJ41"/>
    </row>
    <row r="42" spans="1:18 16000:16000" s="614" customFormat="1" ht="51.65">
      <c r="A42" s="1268" t="str">
        <f>HYPERLINK("#'C-DetalleCompra'!Y4", 'E-DetalleCompra'!B25)</f>
        <v>Eliminar detalle de compra</v>
      </c>
      <c r="B42" s="1269"/>
      <c r="C42" s="1272" t="str">
        <f>'E-DetalleCompra'!C25</f>
        <v>Permite eliminar un detalle de compra que no haya generado un lote asociado que deba conservarse para mantener la trazabilidad.</v>
      </c>
      <c r="D42" s="1273"/>
      <c r="E42" s="1273"/>
      <c r="F42" s="1269"/>
      <c r="G42" s="1278" t="s">
        <v>16</v>
      </c>
      <c r="H42" s="1278" t="s">
        <v>299</v>
      </c>
      <c r="I42" s="1278" t="s">
        <v>382</v>
      </c>
      <c r="J42" s="1278" t="s">
        <v>40</v>
      </c>
      <c r="K42" s="1272" t="s">
        <v>383</v>
      </c>
      <c r="L42" s="1273"/>
      <c r="M42" s="1273"/>
      <c r="N42" s="1276"/>
      <c r="O42" s="800" t="str">
        <f>HYPERLINK("#'P-DetalleCompra'!A12", 'P-DetalleCompra'!A12)</f>
        <v>P-DC-008</v>
      </c>
      <c r="P42" s="571" t="str">
        <f>'P-DetalleCompra'!B12</f>
        <v>Asegurar que el detalle de compra que se desea eliminar se encuentre registrado en el sistema.</v>
      </c>
      <c r="Q42" s="571" t="s">
        <v>384</v>
      </c>
      <c r="R42" s="571" t="s">
        <v>385</v>
      </c>
      <c r="WQJ42"/>
    </row>
    <row r="43" spans="1:18 16000:16000" s="614" customFormat="1" ht="64.55">
      <c r="A43" s="1270"/>
      <c r="B43" s="1271"/>
      <c r="C43" s="1274"/>
      <c r="D43" s="1275"/>
      <c r="E43" s="1275"/>
      <c r="F43" s="1271"/>
      <c r="G43" s="1279"/>
      <c r="H43" s="1279"/>
      <c r="I43" s="1279"/>
      <c r="J43" s="1279"/>
      <c r="K43" s="1274"/>
      <c r="L43" s="1275"/>
      <c r="M43" s="1275"/>
      <c r="N43" s="1277"/>
      <c r="O43" s="800" t="str">
        <f>HYPERLINK("#'P-DetalleCompra'!A15", 'P-DetalleCompra'!A15)</f>
        <v>P-DC-011</v>
      </c>
      <c r="P43" s="571" t="str">
        <f>'P-DetalleCompra'!B15</f>
        <v>Asegurar que un detalle de compra no pueda eliminarse cuando ya haya generado un lote asociado que deba conservarse para mantener la trazabilidad.</v>
      </c>
      <c r="Q43" s="571" t="s">
        <v>386</v>
      </c>
      <c r="R43" s="571" t="s">
        <v>387</v>
      </c>
      <c r="WQJ43"/>
    </row>
    <row r="44" spans="1:18 16000:16000" s="614" customFormat="1" ht="38.75">
      <c r="A44" s="1270"/>
      <c r="B44" s="1271"/>
      <c r="C44" s="1274"/>
      <c r="D44" s="1275"/>
      <c r="E44" s="1275"/>
      <c r="F44" s="1271"/>
      <c r="G44" s="1280"/>
      <c r="H44" s="1280"/>
      <c r="I44" s="1280"/>
      <c r="J44" s="1280"/>
      <c r="K44" s="1274"/>
      <c r="L44" s="1275"/>
      <c r="M44" s="1275"/>
      <c r="N44" s="1277"/>
      <c r="O44" s="800" t="str">
        <f>HYPERLINK("#'P-DetalleCompra'!A21", 'P-DetalleCompra'!A21)</f>
        <v>P-DC-017</v>
      </c>
      <c r="P44" s="571" t="str">
        <f>'P-DetalleCompra'!B21</f>
        <v>Al registrar, modificar o eliminar un detalle de compra se recalcula el total de la compra.</v>
      </c>
      <c r="Q44" s="571" t="s">
        <v>1451</v>
      </c>
      <c r="R44" s="571" t="s">
        <v>1452</v>
      </c>
      <c r="WQJ44"/>
    </row>
  </sheetData>
  <mergeCells count="33">
    <mergeCell ref="W4:X4"/>
    <mergeCell ref="C22:F23"/>
    <mergeCell ref="A17:A19"/>
    <mergeCell ref="B3:U3"/>
    <mergeCell ref="A22:B23"/>
    <mergeCell ref="O22:P22"/>
    <mergeCell ref="Q22:R22"/>
    <mergeCell ref="B2:U2"/>
    <mergeCell ref="G22:I22"/>
    <mergeCell ref="B17:B19"/>
    <mergeCell ref="J22:N22"/>
    <mergeCell ref="K23:N23"/>
    <mergeCell ref="A24:B36"/>
    <mergeCell ref="C24:F36"/>
    <mergeCell ref="K24:N36"/>
    <mergeCell ref="G24:G36"/>
    <mergeCell ref="H24:H36"/>
    <mergeCell ref="I24:I36"/>
    <mergeCell ref="J24:J36"/>
    <mergeCell ref="A37:B41"/>
    <mergeCell ref="C37:F41"/>
    <mergeCell ref="K37:N41"/>
    <mergeCell ref="G37:G41"/>
    <mergeCell ref="H37:H41"/>
    <mergeCell ref="I37:I41"/>
    <mergeCell ref="J37:J41"/>
    <mergeCell ref="A42:B44"/>
    <mergeCell ref="C42:F44"/>
    <mergeCell ref="K42:N44"/>
    <mergeCell ref="G42:G44"/>
    <mergeCell ref="H42:H44"/>
    <mergeCell ref="I42:I44"/>
    <mergeCell ref="J42:J44"/>
  </mergeCells>
  <hyperlinks>
    <hyperlink ref="A1" location="'Modelo de dominio'!A1" display="&lt;&lt;&lt;Modelo de Dominio" xr:uid="{00000000-0004-0000-0E00-000000000000}"/>
    <hyperlink ref="B1" location="'Objetos de dominio'!A1" display="&lt;&lt;&lt;Objetos de Dominio" xr:uid="{00000000-0004-0000-0E00-000001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0">
    <tabColor theme="2"/>
    <outlinePr summaryBelow="0" summaryRight="0"/>
  </sheetPr>
  <dimension ref="A1:WQJ28"/>
  <sheetViews>
    <sheetView topLeftCell="D1" workbookViewId="0">
      <selection activeCell="G27" sqref="G27"/>
    </sheetView>
  </sheetViews>
  <sheetFormatPr baseColWidth="10" defaultColWidth="25.625" defaultRowHeight="12.9"/>
  <cols>
    <col min="1" max="1" width="18" bestFit="1" customWidth="1"/>
    <col min="2" max="2" width="25.375" bestFit="1" customWidth="1"/>
    <col min="3" max="3" width="177.875" bestFit="1" customWidth="1"/>
    <col min="4" max="4" width="29.125" bestFit="1" customWidth="1"/>
    <col min="5" max="5" width="30.75" bestFit="1" customWidth="1"/>
    <col min="6" max="6" width="106.625" bestFit="1" customWidth="1"/>
    <col min="7" max="7" width="19.625" bestFit="1" customWidth="1"/>
    <col min="8" max="8" width="15.375" bestFit="1" customWidth="1"/>
    <col min="9" max="9" width="26.875" bestFit="1" customWidth="1"/>
    <col min="10" max="10" width="22.375" bestFit="1" customWidth="1"/>
  </cols>
  <sheetData>
    <row r="1" spans="1:20 16000:16000">
      <c r="A1" s="2" t="s">
        <v>0</v>
      </c>
      <c r="B1" s="132" t="s">
        <v>1</v>
      </c>
    </row>
    <row r="2" spans="1:20 16000:16000" ht="13.75" customHeight="1">
      <c r="A2" s="17" t="s">
        <v>209</v>
      </c>
      <c r="B2" s="1365" t="s">
        <v>40</v>
      </c>
      <c r="C2" s="1032"/>
      <c r="D2" s="1032"/>
      <c r="E2" s="1032"/>
      <c r="F2" s="1032"/>
      <c r="G2" s="1032"/>
      <c r="H2" s="1032"/>
      <c r="I2" s="1032"/>
      <c r="J2" s="1033"/>
    </row>
    <row r="3" spans="1:20 16000:16000" ht="13.75" customHeight="1">
      <c r="A3" s="18" t="s">
        <v>210</v>
      </c>
      <c r="B3" s="1367" t="str">
        <f>'C-DetalleCompra'!B3</f>
        <v>Es cada uno de los productos o insumos que se compraron en una compra, con la cantidad de cada uno.</v>
      </c>
      <c r="C3" s="1032"/>
      <c r="D3" s="1032"/>
      <c r="E3" s="1032"/>
      <c r="F3" s="1032"/>
      <c r="G3" s="1032"/>
      <c r="H3" s="1032"/>
      <c r="I3" s="1032"/>
      <c r="J3" s="1033"/>
    </row>
    <row r="4" spans="1:20 16000:16000" ht="13.75" customHeight="1">
      <c r="A4" s="406" t="s">
        <v>211</v>
      </c>
      <c r="B4" s="1370" t="s">
        <v>212</v>
      </c>
      <c r="C4" s="1033"/>
      <c r="D4" s="19" t="s">
        <v>213</v>
      </c>
      <c r="E4" s="1372" t="s">
        <v>214</v>
      </c>
      <c r="F4" s="1033"/>
      <c r="G4" s="20" t="s">
        <v>215</v>
      </c>
      <c r="H4" s="384" t="s">
        <v>216</v>
      </c>
      <c r="I4" s="385" t="s">
        <v>217</v>
      </c>
      <c r="J4" s="383" t="s">
        <v>218</v>
      </c>
    </row>
    <row r="5" spans="1:20 16000:16000" ht="13.75" customHeight="1">
      <c r="A5" s="1373" t="s">
        <v>211</v>
      </c>
      <c r="B5" s="1366" t="s">
        <v>219</v>
      </c>
      <c r="C5" s="1366" t="s">
        <v>79</v>
      </c>
      <c r="D5" s="1374" t="s">
        <v>220</v>
      </c>
      <c r="E5" s="1375" t="s">
        <v>221</v>
      </c>
      <c r="F5" s="1033"/>
      <c r="G5" s="26" t="s">
        <v>222</v>
      </c>
      <c r="H5" s="1368" t="s">
        <v>223</v>
      </c>
      <c r="I5" s="1371" t="s">
        <v>224</v>
      </c>
      <c r="J5" s="1369" t="s">
        <v>225</v>
      </c>
    </row>
    <row r="6" spans="1:20 16000:16000" ht="13.75" customHeight="1">
      <c r="A6" s="1066"/>
      <c r="B6" s="1066"/>
      <c r="C6" s="1066"/>
      <c r="D6" s="1066"/>
      <c r="E6" s="121" t="s">
        <v>226</v>
      </c>
      <c r="F6" s="121" t="s">
        <v>79</v>
      </c>
      <c r="G6" s="122" t="s">
        <v>227</v>
      </c>
      <c r="H6" s="1066"/>
      <c r="I6" s="1066"/>
      <c r="J6" s="1066"/>
    </row>
    <row r="7" spans="1:20 16000:16000" ht="13.75" customHeight="1">
      <c r="A7" s="1349" t="s">
        <v>228</v>
      </c>
      <c r="B7" s="1358" t="s">
        <v>388</v>
      </c>
      <c r="C7" s="1361" t="s">
        <v>389</v>
      </c>
      <c r="D7" s="1349" t="s">
        <v>40</v>
      </c>
      <c r="E7" s="1364" t="s">
        <v>390</v>
      </c>
      <c r="F7" s="1364" t="s">
        <v>391</v>
      </c>
      <c r="G7" s="779" t="str">
        <f>HYPERLINK("#'P-DetalleCompra'!A5", "P-DC-001")</f>
        <v>P-DC-001</v>
      </c>
      <c r="H7" s="1358"/>
      <c r="I7" s="1349" t="s">
        <v>392</v>
      </c>
      <c r="J7" s="1349"/>
    </row>
    <row r="8" spans="1:20 16000:16000" ht="13.75" customHeight="1">
      <c r="A8" s="1350"/>
      <c r="B8" s="1359"/>
      <c r="C8" s="1362"/>
      <c r="D8" s="1350"/>
      <c r="E8" s="1350"/>
      <c r="F8" s="1350"/>
      <c r="G8" s="779" t="str">
        <f>HYPERLINK("#'P-DetalleCompra'!A6", "P-DC-002")</f>
        <v>P-DC-002</v>
      </c>
      <c r="H8" s="1359"/>
      <c r="I8" s="1350"/>
      <c r="J8" s="1350"/>
    </row>
    <row r="9" spans="1:20 16000:16000" ht="13.75" customHeight="1">
      <c r="A9" s="1350"/>
      <c r="B9" s="1359"/>
      <c r="C9" s="1362"/>
      <c r="D9" s="1350"/>
      <c r="E9" s="1350"/>
      <c r="F9" s="1350"/>
      <c r="G9" s="779" t="str">
        <f>HYPERLINK("#'P-DetalleCompra'!A7", "P-DC-003")</f>
        <v>P-DC-003</v>
      </c>
      <c r="H9" s="1359"/>
      <c r="I9" s="1350"/>
      <c r="J9" s="1350"/>
    </row>
    <row r="10" spans="1:20 16000:16000" ht="13.75" customHeight="1">
      <c r="A10" s="1350"/>
      <c r="B10" s="1359"/>
      <c r="C10" s="1362"/>
      <c r="D10" s="1350"/>
      <c r="E10" s="1350"/>
      <c r="F10" s="1350"/>
      <c r="G10" s="779" t="str">
        <f>HYPERLINK("#'P-DetalleCompra'!A17", "P-DC-013")</f>
        <v>P-DC-013</v>
      </c>
      <c r="H10" s="1359"/>
      <c r="I10" s="1350"/>
      <c r="J10" s="1350"/>
    </row>
    <row r="11" spans="1:20 16000:16000" ht="13.75" customHeight="1">
      <c r="A11" s="1350"/>
      <c r="B11" s="1359"/>
      <c r="C11" s="1362"/>
      <c r="D11" s="1350"/>
      <c r="E11" s="1350"/>
      <c r="F11" s="1350"/>
      <c r="G11" s="779" t="str">
        <f>HYPERLINK("#'P-DetalleCompra'!A8", "P-DC-004")</f>
        <v>P-DC-004</v>
      </c>
      <c r="H11" s="1359"/>
      <c r="I11" s="1350"/>
      <c r="J11" s="1350"/>
    </row>
    <row r="12" spans="1:20 16000:16000" ht="13.75" customHeight="1">
      <c r="A12" s="1350"/>
      <c r="B12" s="1359"/>
      <c r="C12" s="1362"/>
      <c r="D12" s="1350"/>
      <c r="E12" s="1350"/>
      <c r="F12" s="1350"/>
      <c r="G12" s="779" t="str">
        <f>HYPERLINK("#'P-DetalleCompra'!A9", "P-DC-005")</f>
        <v>P-DC-005</v>
      </c>
      <c r="H12" s="1359"/>
      <c r="I12" s="1350"/>
      <c r="J12" s="1350"/>
    </row>
    <row r="13" spans="1:20 16000:16000" ht="13.75" customHeight="1">
      <c r="A13" s="1350"/>
      <c r="B13" s="1359"/>
      <c r="C13" s="1362"/>
      <c r="D13" s="1350"/>
      <c r="E13" s="1350"/>
      <c r="F13" s="1350"/>
      <c r="G13" s="779" t="str">
        <f>HYPERLINK("#'P-DetalleCompra'!A16", "P-DC-012")</f>
        <v>P-DC-012</v>
      </c>
      <c r="H13" s="1359"/>
      <c r="I13" s="1350"/>
      <c r="J13" s="1350"/>
    </row>
    <row r="14" spans="1:20 16000:16000" s="614" customFormat="1" ht="13.75" customHeight="1">
      <c r="A14" s="1350"/>
      <c r="B14" s="1359"/>
      <c r="C14" s="1362"/>
      <c r="D14" s="1350"/>
      <c r="E14" s="1350"/>
      <c r="F14" s="1350"/>
      <c r="G14" s="779" t="str">
        <f>HYPERLINK("#'P-DetalleCompra'!A10", "P-DC-006")</f>
        <v>P-DC-006</v>
      </c>
      <c r="H14" s="1359"/>
      <c r="I14" s="1350"/>
      <c r="J14" s="1350"/>
      <c r="K14" s="321"/>
      <c r="L14" s="321"/>
      <c r="M14" s="321"/>
      <c r="N14" s="321"/>
      <c r="O14" s="321"/>
      <c r="P14" s="321"/>
      <c r="Q14" s="322"/>
      <c r="R14" s="323"/>
      <c r="S14" s="321"/>
      <c r="T14" s="323"/>
      <c r="WQJ14"/>
    </row>
    <row r="15" spans="1:20 16000:16000" ht="13.75" customHeight="1">
      <c r="A15" s="1350"/>
      <c r="B15" s="1359"/>
      <c r="C15" s="1362"/>
      <c r="D15" s="1350"/>
      <c r="E15" s="1350"/>
      <c r="F15" s="1350"/>
      <c r="G15" s="779" t="str">
        <f>HYPERLINK("#'P-DetalleCompra'!A13", "P-DC-009")</f>
        <v>P-DC-009</v>
      </c>
      <c r="H15" s="1359"/>
      <c r="I15" s="1350"/>
      <c r="J15" s="1350"/>
    </row>
    <row r="16" spans="1:20 16000:16000" ht="13.75" customHeight="1">
      <c r="A16" s="1350"/>
      <c r="B16" s="1359"/>
      <c r="C16" s="1362"/>
      <c r="D16" s="1350"/>
      <c r="E16" s="1350"/>
      <c r="F16" s="1350"/>
      <c r="G16" s="779" t="str">
        <f>HYPERLINK("#'P-DetalleCompra'!A18", "P-DC-014")</f>
        <v>P-DC-014</v>
      </c>
      <c r="H16" s="1359"/>
      <c r="I16" s="1350"/>
      <c r="J16" s="1350"/>
    </row>
    <row r="17" spans="1:10 16000:16000" s="614" customFormat="1" ht="13.75" customHeight="1">
      <c r="A17" s="1350"/>
      <c r="B17" s="1359"/>
      <c r="C17" s="1362"/>
      <c r="D17" s="1350"/>
      <c r="E17" s="1350"/>
      <c r="F17" s="1350"/>
      <c r="G17" s="779" t="str">
        <f>HYPERLINK("#'P-DetalleCompra'!A19", "P-DC-015")</f>
        <v>P-DC-015</v>
      </c>
      <c r="H17" s="1359"/>
      <c r="I17" s="1350"/>
      <c r="J17" s="1350"/>
      <c r="WQJ17"/>
    </row>
    <row r="18" spans="1:10 16000:16000" s="614" customFormat="1" ht="13.75" customHeight="1">
      <c r="A18" s="1350"/>
      <c r="B18" s="1359"/>
      <c r="C18" s="1362"/>
      <c r="D18" s="1350"/>
      <c r="E18" s="1350"/>
      <c r="F18" s="1350"/>
      <c r="G18" s="779" t="str">
        <f>HYPERLINK("#'P-DetalleCompra'!A20", "P-DC-016")</f>
        <v>P-DC-016</v>
      </c>
      <c r="H18" s="1359"/>
      <c r="I18" s="1350"/>
      <c r="J18" s="1350"/>
      <c r="WQJ18"/>
    </row>
    <row r="19" spans="1:10 16000:16000" s="614" customFormat="1" ht="13.75" customHeight="1">
      <c r="A19" s="1351"/>
      <c r="B19" s="1360"/>
      <c r="C19" s="1363"/>
      <c r="D19" s="1351"/>
      <c r="E19" s="1351"/>
      <c r="F19" s="1351"/>
      <c r="G19" s="779" t="str">
        <f>HYPERLINK("#'P-DetalleCompra'!A21", "P-DC-017")</f>
        <v>P-DC-017</v>
      </c>
      <c r="H19" s="1360"/>
      <c r="I19" s="1351"/>
      <c r="J19" s="1351"/>
      <c r="WQJ19"/>
    </row>
    <row r="20" spans="1:10 16000:16000" s="614" customFormat="1" ht="13.75" customHeight="1">
      <c r="A20" s="1352" t="s">
        <v>228</v>
      </c>
      <c r="B20" s="1352" t="s">
        <v>393</v>
      </c>
      <c r="C20" s="1352" t="s">
        <v>394</v>
      </c>
      <c r="D20" s="1352" t="s">
        <v>40</v>
      </c>
      <c r="E20" s="1352" t="s">
        <v>390</v>
      </c>
      <c r="F20" s="1352" t="s">
        <v>395</v>
      </c>
      <c r="G20" s="801" t="str">
        <f>HYPERLINK("#'P-DetalleCompra'!A11", "P-DC-007")</f>
        <v>P-DC-007</v>
      </c>
      <c r="H20" s="1352"/>
      <c r="I20" s="1352" t="s">
        <v>396</v>
      </c>
      <c r="J20" s="1355"/>
      <c r="WQJ20"/>
    </row>
    <row r="21" spans="1:10 16000:16000" s="614" customFormat="1" ht="13.75" customHeight="1">
      <c r="A21" s="1353"/>
      <c r="B21" s="1353"/>
      <c r="C21" s="1353"/>
      <c r="D21" s="1353"/>
      <c r="E21" s="1353"/>
      <c r="F21" s="1353"/>
      <c r="G21" s="801" t="str">
        <f>HYPERLINK("#'P-DetalleCompra'!A5", "P-DC-001")</f>
        <v>P-DC-001</v>
      </c>
      <c r="H21" s="1353"/>
      <c r="I21" s="1353"/>
      <c r="J21" s="1356"/>
      <c r="WQJ21"/>
    </row>
    <row r="22" spans="1:10 16000:16000" s="614" customFormat="1" ht="13.75" customHeight="1">
      <c r="A22" s="1353"/>
      <c r="B22" s="1353"/>
      <c r="C22" s="1353"/>
      <c r="D22" s="1353"/>
      <c r="E22" s="1353"/>
      <c r="F22" s="1353"/>
      <c r="G22" s="801" t="str">
        <f>HYPERLINK("#'P-DetalleCompra'!A9", "P-DC-005")</f>
        <v>P-DC-005</v>
      </c>
      <c r="H22" s="1353"/>
      <c r="I22" s="1353"/>
      <c r="J22" s="1356"/>
      <c r="WQJ22"/>
    </row>
    <row r="23" spans="1:10 16000:16000" s="614" customFormat="1" ht="13.75" customHeight="1">
      <c r="A23" s="1353"/>
      <c r="B23" s="1353"/>
      <c r="C23" s="1353"/>
      <c r="D23" s="1353"/>
      <c r="E23" s="1353"/>
      <c r="F23" s="1353"/>
      <c r="G23" s="801" t="str">
        <f>HYPERLINK("#'P-DetalleCompra'!A16", "P-DC-012")</f>
        <v>P-DC-012</v>
      </c>
      <c r="H23" s="1353"/>
      <c r="I23" s="1353"/>
      <c r="J23" s="1356"/>
      <c r="WQJ23"/>
    </row>
    <row r="24" spans="1:10 16000:16000" s="614" customFormat="1" ht="13.75" customHeight="1">
      <c r="A24" s="1354"/>
      <c r="B24" s="1354"/>
      <c r="C24" s="1354"/>
      <c r="D24" s="1354"/>
      <c r="E24" s="1354"/>
      <c r="F24" s="1354"/>
      <c r="G24" s="801" t="str">
        <f>HYPERLINK("#'P-DetalleCompra'!A21", "P-DC-017")</f>
        <v>P-DC-017</v>
      </c>
      <c r="H24" s="1354"/>
      <c r="I24" s="1354"/>
      <c r="J24" s="1357"/>
      <c r="WQJ24"/>
    </row>
    <row r="25" spans="1:10 16000:16000" s="614" customFormat="1" ht="13.75" customHeight="1">
      <c r="A25" s="1049" t="s">
        <v>228</v>
      </c>
      <c r="B25" s="1049" t="s">
        <v>397</v>
      </c>
      <c r="C25" s="1049" t="s">
        <v>398</v>
      </c>
      <c r="D25" s="1049" t="s">
        <v>40</v>
      </c>
      <c r="E25" s="1049" t="s">
        <v>390</v>
      </c>
      <c r="F25" s="1049" t="s">
        <v>399</v>
      </c>
      <c r="G25" s="779" t="str">
        <f>HYPERLINK("#'P-DetalleCompra'!A12", "P-DC-008")</f>
        <v>P-DC-008</v>
      </c>
      <c r="H25" s="1348"/>
      <c r="I25" s="1049" t="s">
        <v>400</v>
      </c>
      <c r="J25" s="1348"/>
      <c r="WQJ25"/>
    </row>
    <row r="26" spans="1:10 16000:16000" s="614" customFormat="1" ht="13.75" customHeight="1">
      <c r="A26" s="1050"/>
      <c r="B26" s="1050"/>
      <c r="C26" s="1050"/>
      <c r="D26" s="1050"/>
      <c r="E26" s="1050"/>
      <c r="F26" s="1050"/>
      <c r="G26" s="779" t="str">
        <f>HYPERLINK("#'P-DetalleCompra'!A15", "P-DC-011")</f>
        <v>P-DC-011</v>
      </c>
      <c r="H26" s="1090"/>
      <c r="I26" s="1050"/>
      <c r="J26" s="1090"/>
      <c r="WQJ26"/>
    </row>
    <row r="27" spans="1:10 16000:16000" s="614" customFormat="1" ht="13.75" customHeight="1">
      <c r="A27" s="1051"/>
      <c r="B27" s="1051"/>
      <c r="C27" s="1051"/>
      <c r="D27" s="1051"/>
      <c r="E27" s="1051"/>
      <c r="F27" s="1051"/>
      <c r="G27" s="779" t="str">
        <f>HYPERLINK("#'P-DetalleCompra'!A21", "P-DC-017")</f>
        <v>P-DC-017</v>
      </c>
      <c r="H27" s="1089"/>
      <c r="I27" s="1051"/>
      <c r="J27" s="1089"/>
      <c r="WQJ27"/>
    </row>
    <row r="28" spans="1:10 16000:16000" ht="13.75" customHeight="1">
      <c r="G28" s="155"/>
    </row>
  </sheetData>
  <mergeCells count="39">
    <mergeCell ref="H7:H19"/>
    <mergeCell ref="I7:I19"/>
    <mergeCell ref="E4:F4"/>
    <mergeCell ref="A5:A6"/>
    <mergeCell ref="B5:B6"/>
    <mergeCell ref="D5:D6"/>
    <mergeCell ref="E5:F5"/>
    <mergeCell ref="B2:J2"/>
    <mergeCell ref="C5:C6"/>
    <mergeCell ref="B3:J3"/>
    <mergeCell ref="H5:H6"/>
    <mergeCell ref="J5:J6"/>
    <mergeCell ref="B4:C4"/>
    <mergeCell ref="I5:I6"/>
    <mergeCell ref="J7:J19"/>
    <mergeCell ref="A20:A24"/>
    <mergeCell ref="B20:B24"/>
    <mergeCell ref="C20:C24"/>
    <mergeCell ref="D20:D24"/>
    <mergeCell ref="E20:E24"/>
    <mergeCell ref="F20:F24"/>
    <mergeCell ref="H20:H24"/>
    <mergeCell ref="I20:I24"/>
    <mergeCell ref="J20:J24"/>
    <mergeCell ref="A7:A19"/>
    <mergeCell ref="B7:B19"/>
    <mergeCell ref="C7:C19"/>
    <mergeCell ref="D7:D19"/>
    <mergeCell ref="E7:E19"/>
    <mergeCell ref="F7:F19"/>
    <mergeCell ref="F25:F27"/>
    <mergeCell ref="H25:H27"/>
    <mergeCell ref="I25:I27"/>
    <mergeCell ref="J25:J27"/>
    <mergeCell ref="A25:A27"/>
    <mergeCell ref="B25:B27"/>
    <mergeCell ref="C25:C27"/>
    <mergeCell ref="D25:D27"/>
    <mergeCell ref="E25:E27"/>
  </mergeCells>
  <hyperlinks>
    <hyperlink ref="A1" location="'Modelo de dominio'!A1" display="&lt;&lt;&lt;Modelo de Dominio" xr:uid="{00000000-0004-0000-0F00-000000000000}"/>
    <hyperlink ref="B1" location="'Objetos de dominio'!A1" display="&lt;&lt;&lt;Objetos de Dominio" xr:uid="{00000000-0004-0000-0F00-000001000000}"/>
    <hyperlink ref="B3" location="'Objetos de dominio'!B12" display="Objeto de dominio que representa cada uno de los productos internos (ingredientes o bebidas almacenadas) adquiridos en una compra" xr:uid="{00000000-0004-0000-0F00-000002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31">
    <outlinePr summaryBelow="0" summaryRight="0"/>
  </sheetPr>
  <dimension ref="A1:Z1001"/>
  <sheetViews>
    <sheetView workbookViewId="0">
      <selection activeCell="B27" sqref="B27"/>
    </sheetView>
  </sheetViews>
  <sheetFormatPr baseColWidth="10" defaultColWidth="12.625" defaultRowHeight="12.9"/>
  <cols>
    <col min="1" max="1" width="17.625" bestFit="1" customWidth="1"/>
    <col min="2" max="2" width="244" bestFit="1" customWidth="1"/>
    <col min="3" max="3" width="19.5" bestFit="1" customWidth="1"/>
    <col min="4" max="4" width="19.125" bestFit="1" customWidth="1"/>
  </cols>
  <sheetData>
    <row r="1" spans="1:26" ht="13.6">
      <c r="A1" s="2" t="s">
        <v>0</v>
      </c>
      <c r="B1" s="132" t="s">
        <v>1</v>
      </c>
      <c r="C1" s="27"/>
      <c r="D1" s="73"/>
      <c r="E1" s="27"/>
      <c r="F1" s="27"/>
      <c r="G1" s="27"/>
      <c r="H1" s="27"/>
      <c r="I1" s="27"/>
      <c r="J1" s="27"/>
      <c r="K1" s="27"/>
      <c r="L1" s="27"/>
      <c r="M1" s="27"/>
      <c r="N1" s="27"/>
      <c r="O1" s="27"/>
      <c r="P1" s="27"/>
      <c r="Q1" s="27"/>
      <c r="R1" s="27"/>
      <c r="S1" s="27"/>
      <c r="T1" s="27"/>
      <c r="U1" s="27"/>
      <c r="V1" s="27"/>
      <c r="W1" s="27"/>
      <c r="X1" s="27"/>
      <c r="Y1" s="27"/>
      <c r="Z1" s="27"/>
    </row>
    <row r="2" spans="1:26" ht="13.6">
      <c r="A2" s="54" t="s">
        <v>233</v>
      </c>
      <c r="B2" s="1237" t="s">
        <v>40</v>
      </c>
      <c r="C2" s="1033"/>
      <c r="E2" s="27"/>
      <c r="F2" s="27"/>
      <c r="G2" s="27"/>
      <c r="H2" s="27"/>
      <c r="I2" s="27"/>
      <c r="J2" s="27"/>
      <c r="K2" s="27"/>
      <c r="L2" s="27"/>
      <c r="M2" s="27"/>
      <c r="N2" s="27"/>
      <c r="O2" s="27"/>
      <c r="P2" s="27"/>
      <c r="Q2" s="27"/>
      <c r="R2" s="27"/>
      <c r="S2" s="27"/>
      <c r="T2" s="27"/>
      <c r="U2" s="27"/>
      <c r="V2" s="27"/>
      <c r="W2" s="27"/>
      <c r="X2" s="27"/>
      <c r="Y2" s="27"/>
      <c r="Z2" s="27"/>
    </row>
    <row r="3" spans="1:26" ht="13.6">
      <c r="A3" s="54" t="s">
        <v>21</v>
      </c>
      <c r="B3" s="1236" t="str">
        <f>'C-DetalleCompra'!B3</f>
        <v>Es cada uno de los productos o insumos que se compraron en una compra, con la cantidad de cada uno.</v>
      </c>
      <c r="C3" s="1033"/>
      <c r="E3" s="27"/>
      <c r="F3" s="27"/>
      <c r="G3" s="27"/>
      <c r="H3" s="27"/>
      <c r="I3" s="27"/>
      <c r="J3" s="27"/>
      <c r="K3" s="27"/>
      <c r="L3" s="27"/>
      <c r="M3" s="27"/>
      <c r="N3" s="27"/>
      <c r="O3" s="27"/>
      <c r="P3" s="27"/>
      <c r="Q3" s="27"/>
      <c r="R3" s="27"/>
      <c r="S3" s="27"/>
      <c r="T3" s="27"/>
      <c r="U3" s="27"/>
      <c r="V3" s="27"/>
      <c r="W3" s="27"/>
      <c r="X3" s="27"/>
      <c r="Y3" s="27"/>
      <c r="Z3" s="27"/>
    </row>
    <row r="4" spans="1:26" ht="13.6">
      <c r="A4" s="55" t="s">
        <v>234</v>
      </c>
      <c r="B4" s="55" t="s">
        <v>235</v>
      </c>
      <c r="C4" s="55" t="s">
        <v>236</v>
      </c>
      <c r="D4" s="55" t="s">
        <v>237</v>
      </c>
      <c r="E4" s="27"/>
      <c r="F4" s="27"/>
      <c r="G4" s="27"/>
      <c r="H4" s="27"/>
      <c r="I4" s="27"/>
      <c r="J4" s="27"/>
      <c r="K4" s="27"/>
      <c r="L4" s="27"/>
      <c r="M4" s="27"/>
      <c r="N4" s="27"/>
      <c r="O4" s="27"/>
      <c r="P4" s="27"/>
      <c r="Q4" s="27"/>
      <c r="R4" s="27"/>
      <c r="S4" s="27"/>
      <c r="T4" s="27"/>
      <c r="U4" s="27"/>
      <c r="V4" s="27"/>
      <c r="W4" s="27"/>
      <c r="X4" s="27"/>
      <c r="Y4" s="27"/>
      <c r="Z4" s="27"/>
    </row>
    <row r="5" spans="1:26" ht="13.6">
      <c r="A5" s="21" t="s">
        <v>401</v>
      </c>
      <c r="B5" s="21" t="s">
        <v>402</v>
      </c>
      <c r="C5" s="21" t="s">
        <v>40</v>
      </c>
      <c r="D5" s="114"/>
      <c r="E5" s="27"/>
      <c r="F5" s="27"/>
      <c r="G5" s="27"/>
      <c r="H5" s="27"/>
      <c r="I5" s="27"/>
      <c r="J5" s="27"/>
      <c r="K5" s="27"/>
      <c r="L5" s="27"/>
      <c r="M5" s="27"/>
      <c r="N5" s="27"/>
      <c r="O5" s="27"/>
      <c r="P5" s="27"/>
      <c r="Q5" s="27"/>
      <c r="R5" s="27"/>
      <c r="S5" s="27"/>
      <c r="T5" s="27"/>
      <c r="U5" s="27"/>
      <c r="V5" s="27"/>
      <c r="W5" s="27"/>
      <c r="X5" s="27"/>
      <c r="Y5" s="27"/>
      <c r="Z5" s="27"/>
    </row>
    <row r="6" spans="1:26" ht="13.6">
      <c r="A6" s="21" t="s">
        <v>403</v>
      </c>
      <c r="B6" s="21" t="s">
        <v>404</v>
      </c>
      <c r="C6" s="21" t="s">
        <v>36</v>
      </c>
      <c r="D6" s="802" t="str">
        <f>HYPERLINK("#'P-Compra'!A10", 'P-Compra'!A10)</f>
        <v>P-COM-006</v>
      </c>
      <c r="E6" s="27"/>
      <c r="F6" s="27"/>
      <c r="G6" s="27"/>
      <c r="H6" s="27"/>
      <c r="I6" s="27"/>
      <c r="J6" s="27"/>
      <c r="K6" s="27"/>
      <c r="L6" s="27"/>
      <c r="M6" s="27"/>
      <c r="N6" s="27"/>
      <c r="O6" s="27"/>
      <c r="P6" s="27"/>
      <c r="Q6" s="27"/>
      <c r="R6" s="27"/>
      <c r="S6" s="27"/>
      <c r="T6" s="27"/>
      <c r="U6" s="27"/>
      <c r="V6" s="27"/>
      <c r="W6" s="27"/>
      <c r="X6" s="27"/>
      <c r="Y6" s="27"/>
      <c r="Z6" s="27"/>
    </row>
    <row r="7" spans="1:26" ht="13.6">
      <c r="A7" s="21" t="s">
        <v>405</v>
      </c>
      <c r="B7" s="21" t="s">
        <v>406</v>
      </c>
      <c r="C7" s="21" t="s">
        <v>38</v>
      </c>
      <c r="D7" s="802" t="str">
        <f>HYPERLINK("#'P-ProductoInterno'!A11", 'P-ProductoInterno'!A11)</f>
        <v>P-PI-007</v>
      </c>
      <c r="E7" s="27"/>
      <c r="F7" s="27"/>
      <c r="G7" s="27"/>
      <c r="H7" s="27"/>
      <c r="I7" s="27"/>
      <c r="J7" s="27"/>
      <c r="K7" s="27"/>
      <c r="L7" s="27"/>
      <c r="M7" s="27"/>
      <c r="N7" s="27"/>
      <c r="O7" s="27"/>
      <c r="P7" s="27"/>
      <c r="Q7" s="27"/>
      <c r="R7" s="27"/>
      <c r="S7" s="27"/>
      <c r="T7" s="27"/>
      <c r="U7" s="27"/>
      <c r="V7" s="27"/>
      <c r="W7" s="27"/>
      <c r="X7" s="27"/>
      <c r="Y7" s="27"/>
      <c r="Z7" s="27"/>
    </row>
    <row r="8" spans="1:26" ht="13.6">
      <c r="A8" s="21" t="s">
        <v>407</v>
      </c>
      <c r="B8" s="21" t="s">
        <v>408</v>
      </c>
      <c r="C8" s="21" t="s">
        <v>40</v>
      </c>
      <c r="D8" s="134"/>
      <c r="E8" s="27"/>
      <c r="F8" s="27"/>
      <c r="G8" s="27"/>
      <c r="H8" s="27"/>
      <c r="I8" s="27"/>
      <c r="J8" s="27"/>
      <c r="K8" s="27"/>
      <c r="L8" s="27"/>
      <c r="M8" s="27"/>
      <c r="N8" s="27"/>
      <c r="O8" s="27"/>
      <c r="P8" s="27"/>
      <c r="Q8" s="27"/>
      <c r="R8" s="27"/>
      <c r="S8" s="27"/>
      <c r="T8" s="27"/>
      <c r="U8" s="27"/>
      <c r="V8" s="27"/>
      <c r="W8" s="27"/>
      <c r="X8" s="27"/>
      <c r="Y8" s="27"/>
      <c r="Z8" s="27"/>
    </row>
    <row r="9" spans="1:26" ht="13.6">
      <c r="A9" s="21" t="s">
        <v>409</v>
      </c>
      <c r="B9" s="21" t="s">
        <v>1421</v>
      </c>
      <c r="C9" s="21" t="s">
        <v>40</v>
      </c>
      <c r="D9" s="114"/>
      <c r="E9" s="27"/>
      <c r="F9" s="27"/>
      <c r="G9" s="27"/>
      <c r="H9" s="27"/>
      <c r="I9" s="27"/>
      <c r="J9" s="27"/>
      <c r="K9" s="27"/>
      <c r="L9" s="27"/>
      <c r="M9" s="27"/>
      <c r="N9" s="27"/>
      <c r="O9" s="27"/>
      <c r="P9" s="27"/>
      <c r="Q9" s="27"/>
      <c r="R9" s="27"/>
      <c r="S9" s="27"/>
      <c r="T9" s="27"/>
      <c r="U9" s="27"/>
      <c r="V9" s="27"/>
      <c r="W9" s="27"/>
      <c r="X9" s="27"/>
      <c r="Y9" s="27"/>
      <c r="Z9" s="27"/>
    </row>
    <row r="10" spans="1:26" ht="13.6">
      <c r="A10" s="21" t="s">
        <v>410</v>
      </c>
      <c r="B10" s="21" t="s">
        <v>411</v>
      </c>
      <c r="C10" s="21" t="s">
        <v>28</v>
      </c>
      <c r="D10" s="802" t="str">
        <f>HYPERLINK("#'P-UnidadMedida'!A6", 'P-UnidadMedida'!A6)</f>
        <v>P-UM-002</v>
      </c>
      <c r="E10" s="27"/>
      <c r="F10" s="27"/>
      <c r="G10" s="27"/>
      <c r="H10" s="27"/>
      <c r="I10" s="27"/>
      <c r="J10" s="27"/>
      <c r="K10" s="27"/>
      <c r="L10" s="27"/>
      <c r="M10" s="27"/>
      <c r="N10" s="27"/>
      <c r="O10" s="27"/>
      <c r="P10" s="27"/>
      <c r="Q10" s="27"/>
      <c r="R10" s="27"/>
      <c r="S10" s="27"/>
      <c r="T10" s="27"/>
      <c r="U10" s="27"/>
      <c r="V10" s="27"/>
      <c r="W10" s="27"/>
      <c r="X10" s="27"/>
      <c r="Y10" s="27"/>
      <c r="Z10" s="27"/>
    </row>
    <row r="11" spans="1:26" ht="13.6">
      <c r="A11" s="21" t="s">
        <v>412</v>
      </c>
      <c r="B11" s="21" t="s">
        <v>413</v>
      </c>
      <c r="C11" s="21" t="s">
        <v>40</v>
      </c>
      <c r="D11" s="114"/>
      <c r="E11" s="27"/>
      <c r="F11" s="27"/>
      <c r="G11" s="27"/>
      <c r="H11" s="27"/>
      <c r="I11" s="27"/>
      <c r="J11" s="27"/>
      <c r="K11" s="27"/>
      <c r="L11" s="27"/>
      <c r="M11" s="27"/>
      <c r="N11" s="27"/>
      <c r="O11" s="27"/>
      <c r="P11" s="27"/>
      <c r="Q11" s="27"/>
      <c r="R11" s="27"/>
      <c r="S11" s="27"/>
      <c r="T11" s="27"/>
      <c r="U11" s="27"/>
      <c r="V11" s="27"/>
      <c r="W11" s="27"/>
      <c r="X11" s="27"/>
      <c r="Y11" s="27"/>
      <c r="Z11" s="27"/>
    </row>
    <row r="12" spans="1:26" ht="13.6">
      <c r="A12" s="21" t="s">
        <v>414</v>
      </c>
      <c r="B12" s="21" t="s">
        <v>415</v>
      </c>
      <c r="C12" s="21" t="s">
        <v>40</v>
      </c>
      <c r="D12" s="114"/>
      <c r="E12" s="27"/>
      <c r="F12" s="27"/>
      <c r="G12" s="27"/>
      <c r="H12" s="27"/>
      <c r="I12" s="27"/>
      <c r="J12" s="27"/>
      <c r="K12" s="27"/>
      <c r="L12" s="27"/>
      <c r="M12" s="27"/>
      <c r="N12" s="27"/>
      <c r="O12" s="27"/>
      <c r="P12" s="27"/>
      <c r="Q12" s="27"/>
      <c r="R12" s="27"/>
      <c r="S12" s="27"/>
      <c r="T12" s="27"/>
      <c r="U12" s="27"/>
      <c r="V12" s="27"/>
      <c r="W12" s="27"/>
      <c r="X12" s="27"/>
      <c r="Y12" s="27"/>
      <c r="Z12" s="27"/>
    </row>
    <row r="13" spans="1:26" ht="13.6">
      <c r="A13" s="21" t="s">
        <v>416</v>
      </c>
      <c r="B13" s="21" t="s">
        <v>417</v>
      </c>
      <c r="C13" s="21" t="s">
        <v>40</v>
      </c>
      <c r="D13" s="114"/>
      <c r="E13" s="27"/>
      <c r="F13" s="27"/>
      <c r="G13" s="27"/>
      <c r="H13" s="27"/>
      <c r="I13" s="27"/>
      <c r="J13" s="27"/>
      <c r="K13" s="27"/>
      <c r="L13" s="27"/>
      <c r="M13" s="27"/>
      <c r="N13" s="27"/>
      <c r="O13" s="27"/>
      <c r="P13" s="27"/>
      <c r="Q13" s="27"/>
      <c r="R13" s="27"/>
      <c r="S13" s="27"/>
      <c r="T13" s="27"/>
      <c r="U13" s="27"/>
      <c r="V13" s="27"/>
      <c r="W13" s="27"/>
      <c r="X13" s="27"/>
      <c r="Y13" s="27"/>
      <c r="Z13" s="27"/>
    </row>
    <row r="14" spans="1:26" ht="13.6">
      <c r="A14" s="324" t="s">
        <v>418</v>
      </c>
      <c r="B14" s="324" t="s">
        <v>419</v>
      </c>
      <c r="C14" s="324" t="s">
        <v>40</v>
      </c>
      <c r="D14" s="59"/>
      <c r="E14" s="27"/>
      <c r="F14" s="27"/>
      <c r="G14" s="27"/>
      <c r="H14" s="27"/>
      <c r="I14" s="27"/>
      <c r="J14" s="27"/>
      <c r="K14" s="27"/>
      <c r="L14" s="27"/>
      <c r="M14" s="27"/>
      <c r="N14" s="27"/>
      <c r="O14" s="27"/>
      <c r="P14" s="27"/>
      <c r="Q14" s="27"/>
      <c r="R14" s="27"/>
      <c r="S14" s="27"/>
      <c r="T14" s="27"/>
      <c r="U14" s="27"/>
      <c r="V14" s="27"/>
      <c r="W14" s="27"/>
      <c r="X14" s="27"/>
      <c r="Y14" s="27"/>
      <c r="Z14" s="27"/>
    </row>
    <row r="15" spans="1:26" ht="13.6">
      <c r="A15" s="325" t="s">
        <v>420</v>
      </c>
      <c r="B15" s="562" t="s">
        <v>421</v>
      </c>
      <c r="C15" s="562" t="s">
        <v>12</v>
      </c>
      <c r="D15" s="796" t="str">
        <f>HYPERLINK("#'P-Lote'!A12", 'P-Lote'!A12)</f>
        <v>P-LOT-008</v>
      </c>
      <c r="E15" s="27"/>
      <c r="F15" s="27"/>
      <c r="G15" s="27"/>
      <c r="H15" s="27"/>
      <c r="I15" s="27"/>
      <c r="J15" s="27"/>
      <c r="K15" s="27"/>
      <c r="L15" s="27"/>
      <c r="M15" s="27"/>
      <c r="N15" s="27"/>
      <c r="O15" s="27"/>
      <c r="P15" s="27"/>
      <c r="Q15" s="27"/>
      <c r="R15" s="27"/>
      <c r="S15" s="27"/>
      <c r="T15" s="27"/>
      <c r="U15" s="27"/>
      <c r="V15" s="27"/>
      <c r="W15" s="27"/>
      <c r="X15" s="27"/>
      <c r="Y15" s="27"/>
      <c r="Z15" s="27"/>
    </row>
    <row r="16" spans="1:26" ht="13.6">
      <c r="A16" s="325" t="s">
        <v>1422</v>
      </c>
      <c r="B16" s="562" t="s">
        <v>1423</v>
      </c>
      <c r="C16" s="562" t="s">
        <v>40</v>
      </c>
      <c r="D16" s="796"/>
      <c r="E16" s="27"/>
      <c r="F16" s="27"/>
      <c r="G16" s="27"/>
      <c r="H16" s="27"/>
      <c r="I16" s="27"/>
      <c r="J16" s="27"/>
      <c r="K16" s="27"/>
      <c r="L16" s="27"/>
      <c r="M16" s="27"/>
      <c r="N16" s="27"/>
      <c r="O16" s="27"/>
      <c r="P16" s="27"/>
      <c r="Q16" s="27"/>
      <c r="R16" s="27"/>
      <c r="S16" s="27"/>
      <c r="T16" s="27"/>
      <c r="U16" s="27"/>
      <c r="V16" s="27"/>
      <c r="W16" s="27"/>
      <c r="X16" s="27"/>
      <c r="Y16" s="27"/>
      <c r="Z16" s="27"/>
    </row>
    <row r="17" spans="1:26" ht="13.6">
      <c r="A17" s="325" t="s">
        <v>1424</v>
      </c>
      <c r="B17" s="562" t="s">
        <v>1425</v>
      </c>
      <c r="C17" s="562" t="s">
        <v>38</v>
      </c>
      <c r="D17" s="796"/>
      <c r="E17" s="27"/>
      <c r="F17" s="27"/>
      <c r="G17" s="27"/>
      <c r="H17" s="27"/>
      <c r="I17" s="27"/>
      <c r="J17" s="27"/>
      <c r="K17" s="27"/>
      <c r="L17" s="27"/>
      <c r="M17" s="27"/>
      <c r="N17" s="27"/>
      <c r="O17" s="27"/>
      <c r="P17" s="27"/>
      <c r="Q17" s="27"/>
      <c r="R17" s="27"/>
      <c r="S17" s="27"/>
      <c r="T17" s="27"/>
      <c r="U17" s="27"/>
      <c r="V17" s="27"/>
      <c r="W17" s="27"/>
      <c r="X17" s="27"/>
      <c r="Y17" s="27"/>
      <c r="Z17" s="27"/>
    </row>
    <row r="18" spans="1:26" ht="13.6">
      <c r="A18" s="325" t="s">
        <v>1426</v>
      </c>
      <c r="B18" s="562" t="s">
        <v>1427</v>
      </c>
      <c r="C18" s="562" t="s">
        <v>10</v>
      </c>
      <c r="D18" s="796" t="str">
        <f>HYPERLINK("#'P-TipoMovimiento'!A5", 'P-TipoMovimiento'!A5)</f>
        <v>P-TMV-001</v>
      </c>
      <c r="E18" s="27"/>
      <c r="F18" s="27"/>
      <c r="G18" s="27"/>
      <c r="H18" s="27"/>
      <c r="I18" s="27"/>
      <c r="J18" s="27"/>
      <c r="K18" s="27"/>
      <c r="L18" s="27"/>
      <c r="M18" s="27"/>
      <c r="N18" s="27"/>
      <c r="O18" s="27"/>
      <c r="P18" s="27"/>
      <c r="Q18" s="27"/>
      <c r="R18" s="27"/>
      <c r="S18" s="27"/>
      <c r="T18" s="27"/>
      <c r="U18" s="27"/>
      <c r="V18" s="27"/>
      <c r="W18" s="27"/>
      <c r="X18" s="27"/>
      <c r="Y18" s="27"/>
      <c r="Z18" s="27"/>
    </row>
    <row r="19" spans="1:26" ht="13.6">
      <c r="A19" s="325" t="s">
        <v>1428</v>
      </c>
      <c r="B19" s="562" t="s">
        <v>1429</v>
      </c>
      <c r="C19" s="562" t="s">
        <v>12</v>
      </c>
      <c r="D19" s="796" t="str">
        <f>HYPERLINK("#'P-Lote'!A5", 'P-Lote'!A5)</f>
        <v>P-LOT-001</v>
      </c>
      <c r="E19" s="27"/>
      <c r="F19" s="27"/>
      <c r="G19" s="27"/>
      <c r="H19" s="27"/>
      <c r="I19" s="27"/>
      <c r="J19" s="27"/>
      <c r="K19" s="27"/>
      <c r="L19" s="27"/>
      <c r="M19" s="27"/>
      <c r="N19" s="27"/>
      <c r="O19" s="27"/>
      <c r="P19" s="27"/>
      <c r="Q19" s="27"/>
      <c r="R19" s="27"/>
      <c r="S19" s="27"/>
      <c r="T19" s="27"/>
      <c r="U19" s="27"/>
      <c r="V19" s="27"/>
      <c r="W19" s="27"/>
      <c r="X19" s="27"/>
      <c r="Y19" s="27"/>
      <c r="Z19" s="27"/>
    </row>
    <row r="20" spans="1:26" ht="13.6">
      <c r="A20" s="325" t="s">
        <v>1430</v>
      </c>
      <c r="B20" s="562" t="s">
        <v>1431</v>
      </c>
      <c r="C20" s="562" t="s">
        <v>195</v>
      </c>
      <c r="D20" s="796" t="str">
        <f>HYPERLINK("#'P-MovimientoInventario'!A5", 'P-MovimientoInventario'!A5)</f>
        <v>P-MI-001</v>
      </c>
      <c r="E20" s="27"/>
      <c r="F20" s="27"/>
      <c r="G20" s="27"/>
      <c r="H20" s="27"/>
      <c r="I20" s="27"/>
      <c r="J20" s="27"/>
      <c r="K20" s="27"/>
      <c r="L20" s="27"/>
      <c r="M20" s="27"/>
      <c r="N20" s="27"/>
      <c r="O20" s="27"/>
      <c r="P20" s="27"/>
      <c r="Q20" s="27"/>
      <c r="R20" s="27"/>
      <c r="S20" s="27"/>
      <c r="T20" s="27"/>
      <c r="U20" s="27"/>
      <c r="V20" s="27"/>
      <c r="W20" s="27"/>
      <c r="X20" s="27"/>
      <c r="Y20" s="27"/>
      <c r="Z20" s="27"/>
    </row>
    <row r="21" spans="1:26" ht="13.6">
      <c r="A21" s="325" t="s">
        <v>1432</v>
      </c>
      <c r="B21" s="562" t="s">
        <v>1433</v>
      </c>
      <c r="C21" s="562" t="s">
        <v>36</v>
      </c>
      <c r="D21" s="796" t="str">
        <f>HYPERLINK("#'P-Compra'!A13", 'P-Compra'!A13)</f>
        <v>P-COM-009</v>
      </c>
      <c r="E21" s="27"/>
      <c r="F21" s="27"/>
      <c r="G21" s="27"/>
      <c r="H21" s="27"/>
      <c r="I21" s="27"/>
      <c r="J21" s="27"/>
      <c r="K21" s="27"/>
      <c r="L21" s="27"/>
      <c r="M21" s="27"/>
      <c r="N21" s="27"/>
      <c r="O21" s="27"/>
      <c r="P21" s="27"/>
      <c r="Q21" s="27"/>
      <c r="R21" s="27"/>
      <c r="S21" s="27"/>
      <c r="T21" s="27"/>
      <c r="U21" s="27"/>
      <c r="V21" s="27"/>
      <c r="W21" s="27"/>
      <c r="X21" s="27"/>
      <c r="Y21" s="27"/>
      <c r="Z21" s="27"/>
    </row>
    <row r="22" spans="1:26" ht="13.6">
      <c r="A22" s="27"/>
      <c r="B22" s="27"/>
      <c r="C22" s="27"/>
      <c r="D22" s="73"/>
      <c r="E22" s="27"/>
      <c r="F22" s="27"/>
      <c r="G22" s="27"/>
      <c r="H22" s="27"/>
      <c r="I22" s="27"/>
      <c r="J22" s="27"/>
      <c r="K22" s="27"/>
      <c r="L22" s="27"/>
      <c r="M22" s="27"/>
      <c r="N22" s="27"/>
      <c r="O22" s="27"/>
      <c r="P22" s="27"/>
      <c r="Q22" s="27"/>
      <c r="R22" s="27"/>
      <c r="S22" s="27"/>
      <c r="T22" s="27"/>
      <c r="U22" s="27"/>
      <c r="V22" s="27"/>
      <c r="W22" s="27"/>
      <c r="X22" s="27"/>
      <c r="Y22" s="27"/>
      <c r="Z22" s="27"/>
    </row>
    <row r="23" spans="1:26" ht="13.6">
      <c r="A23" s="27"/>
      <c r="B23" s="27"/>
      <c r="C23" s="27"/>
      <c r="D23" s="73"/>
      <c r="E23" s="27"/>
      <c r="F23" s="27"/>
      <c r="G23" s="27"/>
      <c r="H23" s="27"/>
      <c r="I23" s="27"/>
      <c r="J23" s="27"/>
      <c r="K23" s="27"/>
      <c r="L23" s="27"/>
      <c r="M23" s="27"/>
      <c r="N23" s="27"/>
      <c r="O23" s="27"/>
      <c r="P23" s="27"/>
      <c r="Q23" s="27"/>
      <c r="R23" s="27"/>
      <c r="S23" s="27"/>
      <c r="T23" s="27"/>
      <c r="U23" s="27"/>
      <c r="V23" s="27"/>
      <c r="W23" s="27"/>
      <c r="X23" s="27"/>
      <c r="Y23" s="27"/>
      <c r="Z23" s="27"/>
    </row>
    <row r="24" spans="1:26" ht="13.6">
      <c r="A24" s="27"/>
      <c r="B24" s="27"/>
      <c r="C24" s="27"/>
      <c r="D24" s="73"/>
      <c r="E24" s="27"/>
      <c r="F24" s="27"/>
      <c r="G24" s="27"/>
      <c r="H24" s="27"/>
      <c r="I24" s="27"/>
      <c r="J24" s="27"/>
      <c r="K24" s="27"/>
      <c r="L24" s="27"/>
      <c r="M24" s="27"/>
      <c r="N24" s="27"/>
      <c r="O24" s="27"/>
      <c r="P24" s="27"/>
      <c r="Q24" s="27"/>
      <c r="R24" s="27"/>
      <c r="S24" s="27"/>
      <c r="T24" s="27"/>
      <c r="U24" s="27"/>
      <c r="V24" s="27"/>
      <c r="W24" s="27"/>
      <c r="X24" s="27"/>
      <c r="Y24" s="27"/>
      <c r="Z24" s="27"/>
    </row>
    <row r="25" spans="1:26" ht="13.6">
      <c r="A25" s="27"/>
      <c r="B25" s="27"/>
      <c r="C25" s="27"/>
      <c r="D25" s="73"/>
      <c r="E25" s="27"/>
      <c r="F25" s="27"/>
      <c r="G25" s="27"/>
      <c r="H25" s="27"/>
      <c r="I25" s="27"/>
      <c r="J25" s="27"/>
      <c r="K25" s="27"/>
      <c r="L25" s="27"/>
      <c r="M25" s="27"/>
      <c r="N25" s="27"/>
      <c r="O25" s="27"/>
      <c r="P25" s="27"/>
      <c r="Q25" s="27"/>
      <c r="R25" s="27"/>
      <c r="S25" s="27"/>
      <c r="T25" s="27"/>
      <c r="U25" s="27"/>
      <c r="V25" s="27"/>
      <c r="W25" s="27"/>
      <c r="X25" s="27"/>
      <c r="Y25" s="27"/>
      <c r="Z25" s="27"/>
    </row>
    <row r="26" spans="1:26" ht="13.6">
      <c r="A26" s="27"/>
      <c r="B26" s="27"/>
      <c r="C26" s="27"/>
      <c r="D26" s="73"/>
      <c r="E26" s="27"/>
      <c r="F26" s="27"/>
      <c r="G26" s="27"/>
      <c r="H26" s="27"/>
      <c r="I26" s="27"/>
      <c r="J26" s="27"/>
      <c r="K26" s="27"/>
      <c r="L26" s="27"/>
      <c r="M26" s="27"/>
      <c r="N26" s="27"/>
      <c r="O26" s="27"/>
      <c r="P26" s="27"/>
      <c r="Q26" s="27"/>
      <c r="R26" s="27"/>
      <c r="S26" s="27"/>
      <c r="T26" s="27"/>
      <c r="U26" s="27"/>
      <c r="V26" s="27"/>
      <c r="W26" s="27"/>
      <c r="X26" s="27"/>
      <c r="Y26" s="27"/>
      <c r="Z26" s="27"/>
    </row>
    <row r="27" spans="1:26" ht="13.6">
      <c r="A27" s="27"/>
      <c r="B27" s="27"/>
      <c r="C27" s="27"/>
      <c r="D27" s="73"/>
      <c r="E27" s="27"/>
      <c r="F27" s="27"/>
      <c r="G27" s="27"/>
      <c r="H27" s="27"/>
      <c r="I27" s="27"/>
      <c r="J27" s="27"/>
      <c r="K27" s="27"/>
      <c r="L27" s="27"/>
      <c r="M27" s="27"/>
      <c r="N27" s="27"/>
      <c r="O27" s="27"/>
      <c r="P27" s="27"/>
      <c r="Q27" s="27"/>
      <c r="R27" s="27"/>
      <c r="S27" s="27"/>
      <c r="T27" s="27"/>
      <c r="U27" s="27"/>
      <c r="V27" s="27"/>
      <c r="W27" s="27"/>
      <c r="X27" s="27"/>
      <c r="Y27" s="27"/>
      <c r="Z27" s="27"/>
    </row>
    <row r="28" spans="1:26" ht="13.6">
      <c r="A28" s="27"/>
      <c r="B28" s="27"/>
      <c r="C28" s="27"/>
      <c r="D28" s="73"/>
      <c r="E28" s="27"/>
      <c r="F28" s="27"/>
      <c r="G28" s="27"/>
      <c r="H28" s="27"/>
      <c r="I28" s="27"/>
      <c r="J28" s="27"/>
      <c r="K28" s="27"/>
      <c r="L28" s="27"/>
      <c r="M28" s="27"/>
      <c r="N28" s="27"/>
      <c r="O28" s="27"/>
      <c r="P28" s="27"/>
      <c r="Q28" s="27"/>
      <c r="R28" s="27"/>
      <c r="S28" s="27"/>
      <c r="T28" s="27"/>
      <c r="U28" s="27"/>
      <c r="V28" s="27"/>
      <c r="W28" s="27"/>
      <c r="X28" s="27"/>
      <c r="Y28" s="27"/>
      <c r="Z28" s="27"/>
    </row>
    <row r="29" spans="1:26" ht="13.6">
      <c r="A29" s="27"/>
      <c r="B29" s="27"/>
      <c r="C29" s="27"/>
      <c r="D29" s="73"/>
      <c r="E29" s="27"/>
      <c r="F29" s="27"/>
      <c r="G29" s="27"/>
      <c r="H29" s="27"/>
      <c r="I29" s="27"/>
      <c r="J29" s="27"/>
      <c r="K29" s="27"/>
      <c r="L29" s="27"/>
      <c r="M29" s="27"/>
      <c r="N29" s="27"/>
      <c r="O29" s="27"/>
      <c r="P29" s="27"/>
      <c r="Q29" s="27"/>
      <c r="R29" s="27"/>
      <c r="S29" s="27"/>
      <c r="T29" s="27"/>
      <c r="U29" s="27"/>
      <c r="V29" s="27"/>
      <c r="W29" s="27"/>
      <c r="X29" s="27"/>
      <c r="Y29" s="27"/>
      <c r="Z29" s="27"/>
    </row>
    <row r="30" spans="1:26" ht="13.6">
      <c r="A30" s="27"/>
      <c r="B30" s="27"/>
      <c r="C30" s="27"/>
      <c r="D30" s="73"/>
      <c r="E30" s="27"/>
      <c r="F30" s="27"/>
      <c r="G30" s="27"/>
      <c r="H30" s="27"/>
      <c r="I30" s="27"/>
      <c r="J30" s="27"/>
      <c r="K30" s="27"/>
      <c r="L30" s="27"/>
      <c r="M30" s="27"/>
      <c r="N30" s="27"/>
      <c r="O30" s="27"/>
      <c r="P30" s="27"/>
      <c r="Q30" s="27"/>
      <c r="R30" s="27"/>
      <c r="S30" s="27"/>
      <c r="T30" s="27"/>
      <c r="U30" s="27"/>
      <c r="V30" s="27"/>
      <c r="W30" s="27"/>
      <c r="X30" s="27"/>
      <c r="Y30" s="27"/>
      <c r="Z30" s="27"/>
    </row>
    <row r="31" spans="1:26" ht="13.6">
      <c r="A31" s="27"/>
      <c r="B31" s="27"/>
      <c r="C31" s="27"/>
      <c r="D31" s="73"/>
      <c r="E31" s="27"/>
      <c r="F31" s="27"/>
      <c r="G31" s="27"/>
      <c r="H31" s="27"/>
      <c r="I31" s="27"/>
      <c r="J31" s="27"/>
      <c r="K31" s="27"/>
      <c r="L31" s="27"/>
      <c r="M31" s="27"/>
      <c r="N31" s="27"/>
      <c r="O31" s="27"/>
      <c r="P31" s="27"/>
      <c r="Q31" s="27"/>
      <c r="R31" s="27"/>
      <c r="S31" s="27"/>
      <c r="T31" s="27"/>
      <c r="U31" s="27"/>
      <c r="V31" s="27"/>
      <c r="W31" s="27"/>
      <c r="X31" s="27"/>
      <c r="Y31" s="27"/>
      <c r="Z31" s="27"/>
    </row>
    <row r="32" spans="1:26" ht="13.6">
      <c r="A32" s="27"/>
      <c r="B32" s="27"/>
      <c r="C32" s="27"/>
      <c r="D32" s="73"/>
      <c r="E32" s="27"/>
      <c r="F32" s="27"/>
      <c r="G32" s="27"/>
      <c r="H32" s="27"/>
      <c r="I32" s="27"/>
      <c r="J32" s="27"/>
      <c r="K32" s="27"/>
      <c r="L32" s="27"/>
      <c r="M32" s="27"/>
      <c r="N32" s="27"/>
      <c r="O32" s="27"/>
      <c r="P32" s="27"/>
      <c r="Q32" s="27"/>
      <c r="R32" s="27"/>
      <c r="S32" s="27"/>
      <c r="T32" s="27"/>
      <c r="U32" s="27"/>
      <c r="V32" s="27"/>
      <c r="W32" s="27"/>
      <c r="X32" s="27"/>
      <c r="Y32" s="27"/>
      <c r="Z32" s="27"/>
    </row>
    <row r="33" spans="1:26" ht="13.6">
      <c r="A33" s="27"/>
      <c r="B33" s="27"/>
      <c r="C33" s="27"/>
      <c r="D33" s="73"/>
      <c r="E33" s="27"/>
      <c r="F33" s="27"/>
      <c r="G33" s="27"/>
      <c r="H33" s="27"/>
      <c r="I33" s="27"/>
      <c r="J33" s="27"/>
      <c r="K33" s="27"/>
      <c r="L33" s="27"/>
      <c r="M33" s="27"/>
      <c r="N33" s="27"/>
      <c r="O33" s="27"/>
      <c r="P33" s="27"/>
      <c r="Q33" s="27"/>
      <c r="R33" s="27"/>
      <c r="S33" s="27"/>
      <c r="T33" s="27"/>
      <c r="U33" s="27"/>
      <c r="V33" s="27"/>
      <c r="W33" s="27"/>
      <c r="X33" s="27"/>
      <c r="Y33" s="27"/>
      <c r="Z33" s="27"/>
    </row>
    <row r="34" spans="1:26" ht="13.6">
      <c r="A34" s="27"/>
      <c r="B34" s="27"/>
      <c r="C34" s="27"/>
      <c r="D34" s="73"/>
      <c r="E34" s="27"/>
      <c r="F34" s="27"/>
      <c r="G34" s="27"/>
      <c r="H34" s="27"/>
      <c r="I34" s="27"/>
      <c r="J34" s="27"/>
      <c r="K34" s="27"/>
      <c r="L34" s="27"/>
      <c r="M34" s="27"/>
      <c r="N34" s="27"/>
      <c r="O34" s="27"/>
      <c r="P34" s="27"/>
      <c r="Q34" s="27"/>
      <c r="R34" s="27"/>
      <c r="S34" s="27"/>
      <c r="T34" s="27"/>
      <c r="U34" s="27"/>
      <c r="V34" s="27"/>
      <c r="W34" s="27"/>
      <c r="X34" s="27"/>
      <c r="Y34" s="27"/>
      <c r="Z34" s="27"/>
    </row>
    <row r="35" spans="1:26" ht="13.6">
      <c r="A35" s="27"/>
      <c r="B35" s="27"/>
      <c r="C35" s="27"/>
      <c r="D35" s="73"/>
      <c r="E35" s="27"/>
      <c r="F35" s="27"/>
      <c r="G35" s="27"/>
      <c r="H35" s="27"/>
      <c r="I35" s="27"/>
      <c r="J35" s="27"/>
      <c r="K35" s="27"/>
      <c r="L35" s="27"/>
      <c r="M35" s="27"/>
      <c r="N35" s="27"/>
      <c r="O35" s="27"/>
      <c r="P35" s="27"/>
      <c r="Q35" s="27"/>
      <c r="R35" s="27"/>
      <c r="S35" s="27"/>
      <c r="T35" s="27"/>
      <c r="U35" s="27"/>
      <c r="V35" s="27"/>
      <c r="W35" s="27"/>
      <c r="X35" s="27"/>
      <c r="Y35" s="27"/>
      <c r="Z35" s="27"/>
    </row>
    <row r="36" spans="1:26" ht="13.6">
      <c r="A36" s="27"/>
      <c r="B36" s="27"/>
      <c r="C36" s="27"/>
      <c r="D36" s="73"/>
      <c r="E36" s="27"/>
      <c r="F36" s="27"/>
      <c r="G36" s="27"/>
      <c r="H36" s="27"/>
      <c r="I36" s="27"/>
      <c r="J36" s="27"/>
      <c r="K36" s="27"/>
      <c r="L36" s="27"/>
      <c r="M36" s="27"/>
      <c r="N36" s="27"/>
      <c r="O36" s="27"/>
      <c r="P36" s="27"/>
      <c r="Q36" s="27"/>
      <c r="R36" s="27"/>
      <c r="S36" s="27"/>
      <c r="T36" s="27"/>
      <c r="U36" s="27"/>
      <c r="V36" s="27"/>
      <c r="W36" s="27"/>
      <c r="X36" s="27"/>
      <c r="Y36" s="27"/>
      <c r="Z36" s="27"/>
    </row>
    <row r="37" spans="1:26" ht="13.6">
      <c r="A37" s="27"/>
      <c r="B37" s="27"/>
      <c r="C37" s="27"/>
      <c r="D37" s="73"/>
      <c r="E37" s="27"/>
      <c r="F37" s="27"/>
      <c r="G37" s="27"/>
      <c r="H37" s="27"/>
      <c r="I37" s="27"/>
      <c r="J37" s="27"/>
      <c r="K37" s="27"/>
      <c r="L37" s="27"/>
      <c r="M37" s="27"/>
      <c r="N37" s="27"/>
      <c r="O37" s="27"/>
      <c r="P37" s="27"/>
      <c r="Q37" s="27"/>
      <c r="R37" s="27"/>
      <c r="S37" s="27"/>
      <c r="T37" s="27"/>
      <c r="U37" s="27"/>
      <c r="V37" s="27"/>
      <c r="W37" s="27"/>
      <c r="X37" s="27"/>
      <c r="Y37" s="27"/>
      <c r="Z37" s="27"/>
    </row>
    <row r="38" spans="1:26" ht="13.6">
      <c r="A38" s="27"/>
      <c r="B38" s="27"/>
      <c r="C38" s="27"/>
      <c r="D38" s="73"/>
      <c r="E38" s="27"/>
      <c r="F38" s="27"/>
      <c r="G38" s="27"/>
      <c r="H38" s="27"/>
      <c r="I38" s="27"/>
      <c r="J38" s="27"/>
      <c r="K38" s="27"/>
      <c r="L38" s="27"/>
      <c r="M38" s="27"/>
      <c r="N38" s="27"/>
      <c r="O38" s="27"/>
      <c r="P38" s="27"/>
      <c r="Q38" s="27"/>
      <c r="R38" s="27"/>
      <c r="S38" s="27"/>
      <c r="T38" s="27"/>
      <c r="U38" s="27"/>
      <c r="V38" s="27"/>
      <c r="W38" s="27"/>
      <c r="X38" s="27"/>
      <c r="Y38" s="27"/>
      <c r="Z38" s="27"/>
    </row>
    <row r="39" spans="1:26" ht="13.6">
      <c r="A39" s="27"/>
      <c r="B39" s="27"/>
      <c r="C39" s="27"/>
      <c r="D39" s="73"/>
      <c r="E39" s="27"/>
      <c r="F39" s="27"/>
      <c r="G39" s="27"/>
      <c r="H39" s="27"/>
      <c r="I39" s="27"/>
      <c r="J39" s="27"/>
      <c r="K39" s="27"/>
      <c r="L39" s="27"/>
      <c r="M39" s="27"/>
      <c r="N39" s="27"/>
      <c r="O39" s="27"/>
      <c r="P39" s="27"/>
      <c r="Q39" s="27"/>
      <c r="R39" s="27"/>
      <c r="S39" s="27"/>
      <c r="T39" s="27"/>
      <c r="U39" s="27"/>
      <c r="V39" s="27"/>
      <c r="W39" s="27"/>
      <c r="X39" s="27"/>
      <c r="Y39" s="27"/>
      <c r="Z39" s="27"/>
    </row>
    <row r="40" spans="1:26" ht="13.6">
      <c r="A40" s="27"/>
      <c r="B40" s="27"/>
      <c r="C40" s="27"/>
      <c r="D40" s="73"/>
      <c r="E40" s="27"/>
      <c r="F40" s="27"/>
      <c r="G40" s="27"/>
      <c r="H40" s="27"/>
      <c r="I40" s="27"/>
      <c r="J40" s="27"/>
      <c r="K40" s="27"/>
      <c r="L40" s="27"/>
      <c r="M40" s="27"/>
      <c r="N40" s="27"/>
      <c r="O40" s="27"/>
      <c r="P40" s="27"/>
      <c r="Q40" s="27"/>
      <c r="R40" s="27"/>
      <c r="S40" s="27"/>
      <c r="T40" s="27"/>
      <c r="U40" s="27"/>
      <c r="V40" s="27"/>
      <c r="W40" s="27"/>
      <c r="X40" s="27"/>
      <c r="Y40" s="27"/>
      <c r="Z40" s="27"/>
    </row>
    <row r="41" spans="1:26" ht="13.6">
      <c r="A41" s="27"/>
      <c r="B41" s="27"/>
      <c r="C41" s="27"/>
      <c r="D41" s="73"/>
      <c r="E41" s="27"/>
      <c r="F41" s="27"/>
      <c r="G41" s="27"/>
      <c r="H41" s="27"/>
      <c r="I41" s="27"/>
      <c r="J41" s="27"/>
      <c r="K41" s="27"/>
      <c r="L41" s="27"/>
      <c r="M41" s="27"/>
      <c r="N41" s="27"/>
      <c r="O41" s="27"/>
      <c r="P41" s="27"/>
      <c r="Q41" s="27"/>
      <c r="R41" s="27"/>
      <c r="S41" s="27"/>
      <c r="T41" s="27"/>
      <c r="U41" s="27"/>
      <c r="V41" s="27"/>
      <c r="W41" s="27"/>
      <c r="X41" s="27"/>
      <c r="Y41" s="27"/>
      <c r="Z41" s="27"/>
    </row>
    <row r="42" spans="1:26" ht="13.6">
      <c r="A42" s="27"/>
      <c r="B42" s="27"/>
      <c r="C42" s="27"/>
      <c r="D42" s="73"/>
      <c r="E42" s="27"/>
      <c r="F42" s="27"/>
      <c r="G42" s="27"/>
      <c r="H42" s="27"/>
      <c r="I42" s="27"/>
      <c r="J42" s="27"/>
      <c r="K42" s="27"/>
      <c r="L42" s="27"/>
      <c r="M42" s="27"/>
      <c r="N42" s="27"/>
      <c r="O42" s="27"/>
      <c r="P42" s="27"/>
      <c r="Q42" s="27"/>
      <c r="R42" s="27"/>
      <c r="S42" s="27"/>
      <c r="T42" s="27"/>
      <c r="U42" s="27"/>
      <c r="V42" s="27"/>
      <c r="W42" s="27"/>
      <c r="X42" s="27"/>
      <c r="Y42" s="27"/>
      <c r="Z42" s="27"/>
    </row>
    <row r="43" spans="1:26" ht="13.6">
      <c r="A43" s="27"/>
      <c r="B43" s="27"/>
      <c r="C43" s="27"/>
      <c r="D43" s="73"/>
      <c r="E43" s="27"/>
      <c r="F43" s="27"/>
      <c r="G43" s="27"/>
      <c r="H43" s="27"/>
      <c r="I43" s="27"/>
      <c r="J43" s="27"/>
      <c r="K43" s="27"/>
      <c r="L43" s="27"/>
      <c r="M43" s="27"/>
      <c r="N43" s="27"/>
      <c r="O43" s="27"/>
      <c r="P43" s="27"/>
      <c r="Q43" s="27"/>
      <c r="R43" s="27"/>
      <c r="S43" s="27"/>
      <c r="T43" s="27"/>
      <c r="U43" s="27"/>
      <c r="V43" s="27"/>
      <c r="W43" s="27"/>
      <c r="X43" s="27"/>
      <c r="Y43" s="27"/>
      <c r="Z43" s="27"/>
    </row>
    <row r="44" spans="1:26" ht="13.6">
      <c r="A44" s="27"/>
      <c r="B44" s="27"/>
      <c r="C44" s="27"/>
      <c r="D44" s="73"/>
      <c r="E44" s="27"/>
      <c r="F44" s="27"/>
      <c r="G44" s="27"/>
      <c r="H44" s="27"/>
      <c r="I44" s="27"/>
      <c r="J44" s="27"/>
      <c r="K44" s="27"/>
      <c r="L44" s="27"/>
      <c r="M44" s="27"/>
      <c r="N44" s="27"/>
      <c r="O44" s="27"/>
      <c r="P44" s="27"/>
      <c r="Q44" s="27"/>
      <c r="R44" s="27"/>
      <c r="S44" s="27"/>
      <c r="T44" s="27"/>
      <c r="U44" s="27"/>
      <c r="V44" s="27"/>
      <c r="W44" s="27"/>
      <c r="X44" s="27"/>
      <c r="Y44" s="27"/>
      <c r="Z44" s="27"/>
    </row>
    <row r="45" spans="1:26" ht="13.6">
      <c r="A45" s="27"/>
      <c r="B45" s="27"/>
      <c r="C45" s="27"/>
      <c r="D45" s="73"/>
      <c r="E45" s="27"/>
      <c r="F45" s="27"/>
      <c r="G45" s="27"/>
      <c r="H45" s="27"/>
      <c r="I45" s="27"/>
      <c r="J45" s="27"/>
      <c r="K45" s="27"/>
      <c r="L45" s="27"/>
      <c r="M45" s="27"/>
      <c r="N45" s="27"/>
      <c r="O45" s="27"/>
      <c r="P45" s="27"/>
      <c r="Q45" s="27"/>
      <c r="R45" s="27"/>
      <c r="S45" s="27"/>
      <c r="T45" s="27"/>
      <c r="U45" s="27"/>
      <c r="V45" s="27"/>
      <c r="W45" s="27"/>
      <c r="X45" s="27"/>
      <c r="Y45" s="27"/>
      <c r="Z45" s="27"/>
    </row>
    <row r="46" spans="1:26" ht="13.6">
      <c r="A46" s="27"/>
      <c r="B46" s="27"/>
      <c r="C46" s="27"/>
      <c r="D46" s="73"/>
      <c r="E46" s="27"/>
      <c r="F46" s="27"/>
      <c r="G46" s="27"/>
      <c r="H46" s="27"/>
      <c r="I46" s="27"/>
      <c r="J46" s="27"/>
      <c r="K46" s="27"/>
      <c r="L46" s="27"/>
      <c r="M46" s="27"/>
      <c r="N46" s="27"/>
      <c r="O46" s="27"/>
      <c r="P46" s="27"/>
      <c r="Q46" s="27"/>
      <c r="R46" s="27"/>
      <c r="S46" s="27"/>
      <c r="T46" s="27"/>
      <c r="U46" s="27"/>
      <c r="V46" s="27"/>
      <c r="W46" s="27"/>
      <c r="X46" s="27"/>
      <c r="Y46" s="27"/>
      <c r="Z46" s="27"/>
    </row>
    <row r="47" spans="1:26" ht="13.6">
      <c r="A47" s="27"/>
      <c r="B47" s="27"/>
      <c r="C47" s="27"/>
      <c r="D47" s="73"/>
      <c r="E47" s="27"/>
      <c r="F47" s="27"/>
      <c r="G47" s="27"/>
      <c r="H47" s="27"/>
      <c r="I47" s="27"/>
      <c r="J47" s="27"/>
      <c r="K47" s="27"/>
      <c r="L47" s="27"/>
      <c r="M47" s="27"/>
      <c r="N47" s="27"/>
      <c r="O47" s="27"/>
      <c r="P47" s="27"/>
      <c r="Q47" s="27"/>
      <c r="R47" s="27"/>
      <c r="S47" s="27"/>
      <c r="T47" s="27"/>
      <c r="U47" s="27"/>
      <c r="V47" s="27"/>
      <c r="W47" s="27"/>
      <c r="X47" s="27"/>
      <c r="Y47" s="27"/>
      <c r="Z47" s="27"/>
    </row>
    <row r="48" spans="1:26" ht="13.6">
      <c r="A48" s="27"/>
      <c r="B48" s="27"/>
      <c r="C48" s="27"/>
      <c r="D48" s="73"/>
      <c r="E48" s="27"/>
      <c r="F48" s="27"/>
      <c r="G48" s="27"/>
      <c r="H48" s="27"/>
      <c r="I48" s="27"/>
      <c r="J48" s="27"/>
      <c r="K48" s="27"/>
      <c r="L48" s="27"/>
      <c r="M48" s="27"/>
      <c r="N48" s="27"/>
      <c r="O48" s="27"/>
      <c r="P48" s="27"/>
      <c r="Q48" s="27"/>
      <c r="R48" s="27"/>
      <c r="S48" s="27"/>
      <c r="T48" s="27"/>
      <c r="U48" s="27"/>
      <c r="V48" s="27"/>
      <c r="W48" s="27"/>
      <c r="X48" s="27"/>
      <c r="Y48" s="27"/>
      <c r="Z48" s="27"/>
    </row>
    <row r="49" spans="1:26" ht="13.6">
      <c r="A49" s="27"/>
      <c r="B49" s="27"/>
      <c r="C49" s="27"/>
      <c r="D49" s="73"/>
      <c r="E49" s="27"/>
      <c r="F49" s="27"/>
      <c r="G49" s="27"/>
      <c r="H49" s="27"/>
      <c r="I49" s="27"/>
      <c r="J49" s="27"/>
      <c r="K49" s="27"/>
      <c r="L49" s="27"/>
      <c r="M49" s="27"/>
      <c r="N49" s="27"/>
      <c r="O49" s="27"/>
      <c r="P49" s="27"/>
      <c r="Q49" s="27"/>
      <c r="R49" s="27"/>
      <c r="S49" s="27"/>
      <c r="T49" s="27"/>
      <c r="U49" s="27"/>
      <c r="V49" s="27"/>
      <c r="W49" s="27"/>
      <c r="X49" s="27"/>
      <c r="Y49" s="27"/>
      <c r="Z49" s="27"/>
    </row>
    <row r="50" spans="1:26" ht="13.6">
      <c r="A50" s="27"/>
      <c r="B50" s="27"/>
      <c r="C50" s="27"/>
      <c r="D50" s="73"/>
      <c r="E50" s="27"/>
      <c r="F50" s="27"/>
      <c r="G50" s="27"/>
      <c r="H50" s="27"/>
      <c r="I50" s="27"/>
      <c r="J50" s="27"/>
      <c r="K50" s="27"/>
      <c r="L50" s="27"/>
      <c r="M50" s="27"/>
      <c r="N50" s="27"/>
      <c r="O50" s="27"/>
      <c r="P50" s="27"/>
      <c r="Q50" s="27"/>
      <c r="R50" s="27"/>
      <c r="S50" s="27"/>
      <c r="T50" s="27"/>
      <c r="U50" s="27"/>
      <c r="V50" s="27"/>
      <c r="W50" s="27"/>
      <c r="X50" s="27"/>
      <c r="Y50" s="27"/>
      <c r="Z50" s="27"/>
    </row>
    <row r="51" spans="1:26" ht="13.6">
      <c r="A51" s="27"/>
      <c r="B51" s="27"/>
      <c r="C51" s="27"/>
      <c r="D51" s="73"/>
      <c r="E51" s="27"/>
      <c r="F51" s="27"/>
      <c r="G51" s="27"/>
      <c r="H51" s="27"/>
      <c r="I51" s="27"/>
      <c r="J51" s="27"/>
      <c r="K51" s="27"/>
      <c r="L51" s="27"/>
      <c r="M51" s="27"/>
      <c r="N51" s="27"/>
      <c r="O51" s="27"/>
      <c r="P51" s="27"/>
      <c r="Q51" s="27"/>
      <c r="R51" s="27"/>
      <c r="S51" s="27"/>
      <c r="T51" s="27"/>
      <c r="U51" s="27"/>
      <c r="V51" s="27"/>
      <c r="W51" s="27"/>
      <c r="X51" s="27"/>
      <c r="Y51" s="27"/>
      <c r="Z51" s="27"/>
    </row>
    <row r="52" spans="1:26" ht="13.6">
      <c r="A52" s="27"/>
      <c r="B52" s="27"/>
      <c r="C52" s="27"/>
      <c r="D52" s="73"/>
      <c r="E52" s="27"/>
      <c r="F52" s="27"/>
      <c r="G52" s="27"/>
      <c r="H52" s="27"/>
      <c r="I52" s="27"/>
      <c r="J52" s="27"/>
      <c r="K52" s="27"/>
      <c r="L52" s="27"/>
      <c r="M52" s="27"/>
      <c r="N52" s="27"/>
      <c r="O52" s="27"/>
      <c r="P52" s="27"/>
      <c r="Q52" s="27"/>
      <c r="R52" s="27"/>
      <c r="S52" s="27"/>
      <c r="T52" s="27"/>
      <c r="U52" s="27"/>
      <c r="V52" s="27"/>
      <c r="W52" s="27"/>
      <c r="X52" s="27"/>
      <c r="Y52" s="27"/>
      <c r="Z52" s="27"/>
    </row>
    <row r="53" spans="1:26" ht="13.6">
      <c r="A53" s="27"/>
      <c r="B53" s="27"/>
      <c r="C53" s="27"/>
      <c r="D53" s="73"/>
      <c r="E53" s="27"/>
      <c r="F53" s="27"/>
      <c r="G53" s="27"/>
      <c r="H53" s="27"/>
      <c r="I53" s="27"/>
      <c r="J53" s="27"/>
      <c r="K53" s="27"/>
      <c r="L53" s="27"/>
      <c r="M53" s="27"/>
      <c r="N53" s="27"/>
      <c r="O53" s="27"/>
      <c r="P53" s="27"/>
      <c r="Q53" s="27"/>
      <c r="R53" s="27"/>
      <c r="S53" s="27"/>
      <c r="T53" s="27"/>
      <c r="U53" s="27"/>
      <c r="V53" s="27"/>
      <c r="W53" s="27"/>
      <c r="X53" s="27"/>
      <c r="Y53" s="27"/>
      <c r="Z53" s="27"/>
    </row>
    <row r="54" spans="1:26" ht="13.6">
      <c r="A54" s="27"/>
      <c r="B54" s="27"/>
      <c r="C54" s="27"/>
      <c r="D54" s="73"/>
      <c r="E54" s="27"/>
      <c r="F54" s="27"/>
      <c r="G54" s="27"/>
      <c r="H54" s="27"/>
      <c r="I54" s="27"/>
      <c r="J54" s="27"/>
      <c r="K54" s="27"/>
      <c r="L54" s="27"/>
      <c r="M54" s="27"/>
      <c r="N54" s="27"/>
      <c r="O54" s="27"/>
      <c r="P54" s="27"/>
      <c r="Q54" s="27"/>
      <c r="R54" s="27"/>
      <c r="S54" s="27"/>
      <c r="T54" s="27"/>
      <c r="U54" s="27"/>
      <c r="V54" s="27"/>
      <c r="W54" s="27"/>
      <c r="X54" s="27"/>
      <c r="Y54" s="27"/>
      <c r="Z54" s="27"/>
    </row>
    <row r="55" spans="1:26" ht="13.6">
      <c r="A55" s="27"/>
      <c r="B55" s="27"/>
      <c r="C55" s="27"/>
      <c r="D55" s="73"/>
      <c r="E55" s="27"/>
      <c r="F55" s="27"/>
      <c r="G55" s="27"/>
      <c r="H55" s="27"/>
      <c r="I55" s="27"/>
      <c r="J55" s="27"/>
      <c r="K55" s="27"/>
      <c r="L55" s="27"/>
      <c r="M55" s="27"/>
      <c r="N55" s="27"/>
      <c r="O55" s="27"/>
      <c r="P55" s="27"/>
      <c r="Q55" s="27"/>
      <c r="R55" s="27"/>
      <c r="S55" s="27"/>
      <c r="T55" s="27"/>
      <c r="U55" s="27"/>
      <c r="V55" s="27"/>
      <c r="W55" s="27"/>
      <c r="X55" s="27"/>
      <c r="Y55" s="27"/>
      <c r="Z55" s="27"/>
    </row>
    <row r="56" spans="1:26" ht="13.6">
      <c r="A56" s="27"/>
      <c r="B56" s="27"/>
      <c r="C56" s="27"/>
      <c r="D56" s="73"/>
      <c r="E56" s="27"/>
      <c r="F56" s="27"/>
      <c r="G56" s="27"/>
      <c r="H56" s="27"/>
      <c r="I56" s="27"/>
      <c r="J56" s="27"/>
      <c r="K56" s="27"/>
      <c r="L56" s="27"/>
      <c r="M56" s="27"/>
      <c r="N56" s="27"/>
      <c r="O56" s="27"/>
      <c r="P56" s="27"/>
      <c r="Q56" s="27"/>
      <c r="R56" s="27"/>
      <c r="S56" s="27"/>
      <c r="T56" s="27"/>
      <c r="U56" s="27"/>
      <c r="V56" s="27"/>
      <c r="W56" s="27"/>
      <c r="X56" s="27"/>
      <c r="Y56" s="27"/>
      <c r="Z56" s="27"/>
    </row>
    <row r="57" spans="1:26" ht="13.6">
      <c r="A57" s="27"/>
      <c r="B57" s="27"/>
      <c r="C57" s="27"/>
      <c r="D57" s="73"/>
      <c r="E57" s="27"/>
      <c r="F57" s="27"/>
      <c r="G57" s="27"/>
      <c r="H57" s="27"/>
      <c r="I57" s="27"/>
      <c r="J57" s="27"/>
      <c r="K57" s="27"/>
      <c r="L57" s="27"/>
      <c r="M57" s="27"/>
      <c r="N57" s="27"/>
      <c r="O57" s="27"/>
      <c r="P57" s="27"/>
      <c r="Q57" s="27"/>
      <c r="R57" s="27"/>
      <c r="S57" s="27"/>
      <c r="T57" s="27"/>
      <c r="U57" s="27"/>
      <c r="V57" s="27"/>
      <c r="W57" s="27"/>
      <c r="X57" s="27"/>
      <c r="Y57" s="27"/>
      <c r="Z57" s="27"/>
    </row>
    <row r="58" spans="1:26" ht="13.6">
      <c r="A58" s="27"/>
      <c r="B58" s="27"/>
      <c r="C58" s="27"/>
      <c r="D58" s="73"/>
      <c r="E58" s="27"/>
      <c r="F58" s="27"/>
      <c r="G58" s="27"/>
      <c r="H58" s="27"/>
      <c r="I58" s="27"/>
      <c r="J58" s="27"/>
      <c r="K58" s="27"/>
      <c r="L58" s="27"/>
      <c r="M58" s="27"/>
      <c r="N58" s="27"/>
      <c r="O58" s="27"/>
      <c r="P58" s="27"/>
      <c r="Q58" s="27"/>
      <c r="R58" s="27"/>
      <c r="S58" s="27"/>
      <c r="T58" s="27"/>
      <c r="U58" s="27"/>
      <c r="V58" s="27"/>
      <c r="W58" s="27"/>
      <c r="X58" s="27"/>
      <c r="Y58" s="27"/>
      <c r="Z58" s="27"/>
    </row>
    <row r="59" spans="1:26" ht="13.6">
      <c r="A59" s="27"/>
      <c r="B59" s="27"/>
      <c r="C59" s="27"/>
      <c r="D59" s="73"/>
      <c r="E59" s="27"/>
      <c r="F59" s="27"/>
      <c r="G59" s="27"/>
      <c r="H59" s="27"/>
      <c r="I59" s="27"/>
      <c r="J59" s="27"/>
      <c r="K59" s="27"/>
      <c r="L59" s="27"/>
      <c r="M59" s="27"/>
      <c r="N59" s="27"/>
      <c r="O59" s="27"/>
      <c r="P59" s="27"/>
      <c r="Q59" s="27"/>
      <c r="R59" s="27"/>
      <c r="S59" s="27"/>
      <c r="T59" s="27"/>
      <c r="U59" s="27"/>
      <c r="V59" s="27"/>
      <c r="W59" s="27"/>
      <c r="X59" s="27"/>
      <c r="Y59" s="27"/>
      <c r="Z59" s="27"/>
    </row>
    <row r="60" spans="1:26" ht="13.6">
      <c r="A60" s="27"/>
      <c r="B60" s="27"/>
      <c r="C60" s="27"/>
      <c r="D60" s="73"/>
      <c r="E60" s="27"/>
      <c r="F60" s="27"/>
      <c r="G60" s="27"/>
      <c r="H60" s="27"/>
      <c r="I60" s="27"/>
      <c r="J60" s="27"/>
      <c r="K60" s="27"/>
      <c r="L60" s="27"/>
      <c r="M60" s="27"/>
      <c r="N60" s="27"/>
      <c r="O60" s="27"/>
      <c r="P60" s="27"/>
      <c r="Q60" s="27"/>
      <c r="R60" s="27"/>
      <c r="S60" s="27"/>
      <c r="T60" s="27"/>
      <c r="U60" s="27"/>
      <c r="V60" s="27"/>
      <c r="W60" s="27"/>
      <c r="X60" s="27"/>
      <c r="Y60" s="27"/>
      <c r="Z60" s="27"/>
    </row>
    <row r="61" spans="1:26" ht="13.6">
      <c r="A61" s="27"/>
      <c r="B61" s="27"/>
      <c r="C61" s="27"/>
      <c r="D61" s="73"/>
      <c r="E61" s="27"/>
      <c r="F61" s="27"/>
      <c r="G61" s="27"/>
      <c r="H61" s="27"/>
      <c r="I61" s="27"/>
      <c r="J61" s="27"/>
      <c r="K61" s="27"/>
      <c r="L61" s="27"/>
      <c r="M61" s="27"/>
      <c r="N61" s="27"/>
      <c r="O61" s="27"/>
      <c r="P61" s="27"/>
      <c r="Q61" s="27"/>
      <c r="R61" s="27"/>
      <c r="S61" s="27"/>
      <c r="T61" s="27"/>
      <c r="U61" s="27"/>
      <c r="V61" s="27"/>
      <c r="W61" s="27"/>
      <c r="X61" s="27"/>
      <c r="Y61" s="27"/>
      <c r="Z61" s="27"/>
    </row>
    <row r="62" spans="1:26" ht="13.6">
      <c r="A62" s="27"/>
      <c r="B62" s="27"/>
      <c r="C62" s="27"/>
      <c r="D62" s="73"/>
      <c r="E62" s="27"/>
      <c r="F62" s="27"/>
      <c r="G62" s="27"/>
      <c r="H62" s="27"/>
      <c r="I62" s="27"/>
      <c r="J62" s="27"/>
      <c r="K62" s="27"/>
      <c r="L62" s="27"/>
      <c r="M62" s="27"/>
      <c r="N62" s="27"/>
      <c r="O62" s="27"/>
      <c r="P62" s="27"/>
      <c r="Q62" s="27"/>
      <c r="R62" s="27"/>
      <c r="S62" s="27"/>
      <c r="T62" s="27"/>
      <c r="U62" s="27"/>
      <c r="V62" s="27"/>
      <c r="W62" s="27"/>
      <c r="X62" s="27"/>
      <c r="Y62" s="27"/>
      <c r="Z62" s="27"/>
    </row>
    <row r="63" spans="1:26" ht="13.6">
      <c r="A63" s="27"/>
      <c r="B63" s="27"/>
      <c r="C63" s="27"/>
      <c r="D63" s="73"/>
      <c r="E63" s="27"/>
      <c r="F63" s="27"/>
      <c r="G63" s="27"/>
      <c r="H63" s="27"/>
      <c r="I63" s="27"/>
      <c r="J63" s="27"/>
      <c r="K63" s="27"/>
      <c r="L63" s="27"/>
      <c r="M63" s="27"/>
      <c r="N63" s="27"/>
      <c r="O63" s="27"/>
      <c r="P63" s="27"/>
      <c r="Q63" s="27"/>
      <c r="R63" s="27"/>
      <c r="S63" s="27"/>
      <c r="T63" s="27"/>
      <c r="U63" s="27"/>
      <c r="V63" s="27"/>
      <c r="W63" s="27"/>
      <c r="X63" s="27"/>
      <c r="Y63" s="27"/>
      <c r="Z63" s="27"/>
    </row>
    <row r="64" spans="1:26" ht="13.6">
      <c r="A64" s="27"/>
      <c r="B64" s="27"/>
      <c r="C64" s="27"/>
      <c r="D64" s="73"/>
      <c r="E64" s="27"/>
      <c r="F64" s="27"/>
      <c r="G64" s="27"/>
      <c r="H64" s="27"/>
      <c r="I64" s="27"/>
      <c r="J64" s="27"/>
      <c r="K64" s="27"/>
      <c r="L64" s="27"/>
      <c r="M64" s="27"/>
      <c r="N64" s="27"/>
      <c r="O64" s="27"/>
      <c r="P64" s="27"/>
      <c r="Q64" s="27"/>
      <c r="R64" s="27"/>
      <c r="S64" s="27"/>
      <c r="T64" s="27"/>
      <c r="U64" s="27"/>
      <c r="V64" s="27"/>
      <c r="W64" s="27"/>
      <c r="X64" s="27"/>
      <c r="Y64" s="27"/>
      <c r="Z64" s="27"/>
    </row>
    <row r="65" spans="1:26" ht="13.6">
      <c r="A65" s="27"/>
      <c r="B65" s="27"/>
      <c r="C65" s="27"/>
      <c r="D65" s="73"/>
      <c r="E65" s="27"/>
      <c r="F65" s="27"/>
      <c r="G65" s="27"/>
      <c r="H65" s="27"/>
      <c r="I65" s="27"/>
      <c r="J65" s="27"/>
      <c r="K65" s="27"/>
      <c r="L65" s="27"/>
      <c r="M65" s="27"/>
      <c r="N65" s="27"/>
      <c r="O65" s="27"/>
      <c r="P65" s="27"/>
      <c r="Q65" s="27"/>
      <c r="R65" s="27"/>
      <c r="S65" s="27"/>
      <c r="T65" s="27"/>
      <c r="U65" s="27"/>
      <c r="V65" s="27"/>
      <c r="W65" s="27"/>
      <c r="X65" s="27"/>
      <c r="Y65" s="27"/>
      <c r="Z65" s="27"/>
    </row>
    <row r="66" spans="1:26" ht="13.6">
      <c r="A66" s="27"/>
      <c r="B66" s="27"/>
      <c r="C66" s="27"/>
      <c r="D66" s="73"/>
      <c r="E66" s="27"/>
      <c r="F66" s="27"/>
      <c r="G66" s="27"/>
      <c r="H66" s="27"/>
      <c r="I66" s="27"/>
      <c r="J66" s="27"/>
      <c r="K66" s="27"/>
      <c r="L66" s="27"/>
      <c r="M66" s="27"/>
      <c r="N66" s="27"/>
      <c r="O66" s="27"/>
      <c r="P66" s="27"/>
      <c r="Q66" s="27"/>
      <c r="R66" s="27"/>
      <c r="S66" s="27"/>
      <c r="T66" s="27"/>
      <c r="U66" s="27"/>
      <c r="V66" s="27"/>
      <c r="W66" s="27"/>
      <c r="X66" s="27"/>
      <c r="Y66" s="27"/>
      <c r="Z66" s="27"/>
    </row>
    <row r="67" spans="1:26" ht="13.6">
      <c r="A67" s="27"/>
      <c r="B67" s="27"/>
      <c r="C67" s="27"/>
      <c r="D67" s="73"/>
      <c r="E67" s="27"/>
      <c r="F67" s="27"/>
      <c r="G67" s="27"/>
      <c r="H67" s="27"/>
      <c r="I67" s="27"/>
      <c r="J67" s="27"/>
      <c r="K67" s="27"/>
      <c r="L67" s="27"/>
      <c r="M67" s="27"/>
      <c r="N67" s="27"/>
      <c r="O67" s="27"/>
      <c r="P67" s="27"/>
      <c r="Q67" s="27"/>
      <c r="R67" s="27"/>
      <c r="S67" s="27"/>
      <c r="T67" s="27"/>
      <c r="U67" s="27"/>
      <c r="V67" s="27"/>
      <c r="W67" s="27"/>
      <c r="X67" s="27"/>
      <c r="Y67" s="27"/>
      <c r="Z67" s="27"/>
    </row>
    <row r="68" spans="1:26" ht="13.6">
      <c r="A68" s="27"/>
      <c r="B68" s="27"/>
      <c r="C68" s="27"/>
      <c r="D68" s="73"/>
      <c r="E68" s="27"/>
      <c r="F68" s="27"/>
      <c r="G68" s="27"/>
      <c r="H68" s="27"/>
      <c r="I68" s="27"/>
      <c r="J68" s="27"/>
      <c r="K68" s="27"/>
      <c r="L68" s="27"/>
      <c r="M68" s="27"/>
      <c r="N68" s="27"/>
      <c r="O68" s="27"/>
      <c r="P68" s="27"/>
      <c r="Q68" s="27"/>
      <c r="R68" s="27"/>
      <c r="S68" s="27"/>
      <c r="T68" s="27"/>
      <c r="U68" s="27"/>
      <c r="V68" s="27"/>
      <c r="W68" s="27"/>
      <c r="X68" s="27"/>
      <c r="Y68" s="27"/>
      <c r="Z68" s="27"/>
    </row>
    <row r="69" spans="1:26" ht="13.6">
      <c r="A69" s="27"/>
      <c r="B69" s="27"/>
      <c r="C69" s="27"/>
      <c r="D69" s="73"/>
      <c r="E69" s="27"/>
      <c r="F69" s="27"/>
      <c r="G69" s="27"/>
      <c r="H69" s="27"/>
      <c r="I69" s="27"/>
      <c r="J69" s="27"/>
      <c r="K69" s="27"/>
      <c r="L69" s="27"/>
      <c r="M69" s="27"/>
      <c r="N69" s="27"/>
      <c r="O69" s="27"/>
      <c r="P69" s="27"/>
      <c r="Q69" s="27"/>
      <c r="R69" s="27"/>
      <c r="S69" s="27"/>
      <c r="T69" s="27"/>
      <c r="U69" s="27"/>
      <c r="V69" s="27"/>
      <c r="W69" s="27"/>
      <c r="X69" s="27"/>
      <c r="Y69" s="27"/>
      <c r="Z69" s="27"/>
    </row>
    <row r="70" spans="1:26" ht="13.6">
      <c r="A70" s="27"/>
      <c r="B70" s="27"/>
      <c r="C70" s="27"/>
      <c r="D70" s="73"/>
      <c r="E70" s="27"/>
      <c r="F70" s="27"/>
      <c r="G70" s="27"/>
      <c r="H70" s="27"/>
      <c r="I70" s="27"/>
      <c r="J70" s="27"/>
      <c r="K70" s="27"/>
      <c r="L70" s="27"/>
      <c r="M70" s="27"/>
      <c r="N70" s="27"/>
      <c r="O70" s="27"/>
      <c r="P70" s="27"/>
      <c r="Q70" s="27"/>
      <c r="R70" s="27"/>
      <c r="S70" s="27"/>
      <c r="T70" s="27"/>
      <c r="U70" s="27"/>
      <c r="V70" s="27"/>
      <c r="W70" s="27"/>
      <c r="X70" s="27"/>
      <c r="Y70" s="27"/>
      <c r="Z70" s="27"/>
    </row>
    <row r="71" spans="1:26" ht="13.6">
      <c r="A71" s="27"/>
      <c r="B71" s="27"/>
      <c r="C71" s="27"/>
      <c r="D71" s="73"/>
      <c r="E71" s="27"/>
      <c r="F71" s="27"/>
      <c r="G71" s="27"/>
      <c r="H71" s="27"/>
      <c r="I71" s="27"/>
      <c r="J71" s="27"/>
      <c r="K71" s="27"/>
      <c r="L71" s="27"/>
      <c r="M71" s="27"/>
      <c r="N71" s="27"/>
      <c r="O71" s="27"/>
      <c r="P71" s="27"/>
      <c r="Q71" s="27"/>
      <c r="R71" s="27"/>
      <c r="S71" s="27"/>
      <c r="T71" s="27"/>
      <c r="U71" s="27"/>
      <c r="V71" s="27"/>
      <c r="W71" s="27"/>
      <c r="X71" s="27"/>
      <c r="Y71" s="27"/>
      <c r="Z71" s="27"/>
    </row>
    <row r="72" spans="1:26" ht="13.6">
      <c r="A72" s="27"/>
      <c r="B72" s="27"/>
      <c r="C72" s="27"/>
      <c r="D72" s="73"/>
      <c r="E72" s="27"/>
      <c r="F72" s="27"/>
      <c r="G72" s="27"/>
      <c r="H72" s="27"/>
      <c r="I72" s="27"/>
      <c r="J72" s="27"/>
      <c r="K72" s="27"/>
      <c r="L72" s="27"/>
      <c r="M72" s="27"/>
      <c r="N72" s="27"/>
      <c r="O72" s="27"/>
      <c r="P72" s="27"/>
      <c r="Q72" s="27"/>
      <c r="R72" s="27"/>
      <c r="S72" s="27"/>
      <c r="T72" s="27"/>
      <c r="U72" s="27"/>
      <c r="V72" s="27"/>
      <c r="W72" s="27"/>
      <c r="X72" s="27"/>
      <c r="Y72" s="27"/>
      <c r="Z72" s="27"/>
    </row>
    <row r="73" spans="1:26" ht="13.6">
      <c r="A73" s="27"/>
      <c r="B73" s="27"/>
      <c r="C73" s="27"/>
      <c r="D73" s="73"/>
      <c r="E73" s="27"/>
      <c r="F73" s="27"/>
      <c r="G73" s="27"/>
      <c r="H73" s="27"/>
      <c r="I73" s="27"/>
      <c r="J73" s="27"/>
      <c r="K73" s="27"/>
      <c r="L73" s="27"/>
      <c r="M73" s="27"/>
      <c r="N73" s="27"/>
      <c r="O73" s="27"/>
      <c r="P73" s="27"/>
      <c r="Q73" s="27"/>
      <c r="R73" s="27"/>
      <c r="S73" s="27"/>
      <c r="T73" s="27"/>
      <c r="U73" s="27"/>
      <c r="V73" s="27"/>
      <c r="W73" s="27"/>
      <c r="X73" s="27"/>
      <c r="Y73" s="27"/>
      <c r="Z73" s="27"/>
    </row>
    <row r="74" spans="1:26" ht="13.6">
      <c r="A74" s="27"/>
      <c r="B74" s="27"/>
      <c r="C74" s="27"/>
      <c r="D74" s="73"/>
      <c r="E74" s="27"/>
      <c r="F74" s="27"/>
      <c r="G74" s="27"/>
      <c r="H74" s="27"/>
      <c r="I74" s="27"/>
      <c r="J74" s="27"/>
      <c r="K74" s="27"/>
      <c r="L74" s="27"/>
      <c r="M74" s="27"/>
      <c r="N74" s="27"/>
      <c r="O74" s="27"/>
      <c r="P74" s="27"/>
      <c r="Q74" s="27"/>
      <c r="R74" s="27"/>
      <c r="S74" s="27"/>
      <c r="T74" s="27"/>
      <c r="U74" s="27"/>
      <c r="V74" s="27"/>
      <c r="W74" s="27"/>
      <c r="X74" s="27"/>
      <c r="Y74" s="27"/>
      <c r="Z74" s="27"/>
    </row>
    <row r="75" spans="1:26" ht="13.6">
      <c r="A75" s="27"/>
      <c r="B75" s="27"/>
      <c r="C75" s="27"/>
      <c r="D75" s="73"/>
      <c r="E75" s="27"/>
      <c r="F75" s="27"/>
      <c r="G75" s="27"/>
      <c r="H75" s="27"/>
      <c r="I75" s="27"/>
      <c r="J75" s="27"/>
      <c r="K75" s="27"/>
      <c r="L75" s="27"/>
      <c r="M75" s="27"/>
      <c r="N75" s="27"/>
      <c r="O75" s="27"/>
      <c r="P75" s="27"/>
      <c r="Q75" s="27"/>
      <c r="R75" s="27"/>
      <c r="S75" s="27"/>
      <c r="T75" s="27"/>
      <c r="U75" s="27"/>
      <c r="V75" s="27"/>
      <c r="W75" s="27"/>
      <c r="X75" s="27"/>
      <c r="Y75" s="27"/>
      <c r="Z75" s="27"/>
    </row>
    <row r="76" spans="1:26" ht="13.6">
      <c r="A76" s="27"/>
      <c r="B76" s="27"/>
      <c r="C76" s="27"/>
      <c r="D76" s="73"/>
      <c r="E76" s="27"/>
      <c r="F76" s="27"/>
      <c r="G76" s="27"/>
      <c r="H76" s="27"/>
      <c r="I76" s="27"/>
      <c r="J76" s="27"/>
      <c r="K76" s="27"/>
      <c r="L76" s="27"/>
      <c r="M76" s="27"/>
      <c r="N76" s="27"/>
      <c r="O76" s="27"/>
      <c r="P76" s="27"/>
      <c r="Q76" s="27"/>
      <c r="R76" s="27"/>
      <c r="S76" s="27"/>
      <c r="T76" s="27"/>
      <c r="U76" s="27"/>
      <c r="V76" s="27"/>
      <c r="W76" s="27"/>
      <c r="X76" s="27"/>
      <c r="Y76" s="27"/>
      <c r="Z76" s="27"/>
    </row>
    <row r="77" spans="1:26" ht="13.6">
      <c r="A77" s="27"/>
      <c r="B77" s="27"/>
      <c r="C77" s="27"/>
      <c r="D77" s="73"/>
      <c r="E77" s="27"/>
      <c r="F77" s="27"/>
      <c r="G77" s="27"/>
      <c r="H77" s="27"/>
      <c r="I77" s="27"/>
      <c r="J77" s="27"/>
      <c r="K77" s="27"/>
      <c r="L77" s="27"/>
      <c r="M77" s="27"/>
      <c r="N77" s="27"/>
      <c r="O77" s="27"/>
      <c r="P77" s="27"/>
      <c r="Q77" s="27"/>
      <c r="R77" s="27"/>
      <c r="S77" s="27"/>
      <c r="T77" s="27"/>
      <c r="U77" s="27"/>
      <c r="V77" s="27"/>
      <c r="W77" s="27"/>
      <c r="X77" s="27"/>
      <c r="Y77" s="27"/>
      <c r="Z77" s="27"/>
    </row>
    <row r="78" spans="1:26" ht="13.6">
      <c r="A78" s="27"/>
      <c r="B78" s="27"/>
      <c r="C78" s="27"/>
      <c r="D78" s="73"/>
      <c r="E78" s="27"/>
      <c r="F78" s="27"/>
      <c r="G78" s="27"/>
      <c r="H78" s="27"/>
      <c r="I78" s="27"/>
      <c r="J78" s="27"/>
      <c r="K78" s="27"/>
      <c r="L78" s="27"/>
      <c r="M78" s="27"/>
      <c r="N78" s="27"/>
      <c r="O78" s="27"/>
      <c r="P78" s="27"/>
      <c r="Q78" s="27"/>
      <c r="R78" s="27"/>
      <c r="S78" s="27"/>
      <c r="T78" s="27"/>
      <c r="U78" s="27"/>
      <c r="V78" s="27"/>
      <c r="W78" s="27"/>
      <c r="X78" s="27"/>
      <c r="Y78" s="27"/>
      <c r="Z78" s="27"/>
    </row>
    <row r="79" spans="1:26" ht="13.6">
      <c r="A79" s="27"/>
      <c r="B79" s="27"/>
      <c r="C79" s="27"/>
      <c r="D79" s="73"/>
      <c r="E79" s="27"/>
      <c r="F79" s="27"/>
      <c r="G79" s="27"/>
      <c r="H79" s="27"/>
      <c r="I79" s="27"/>
      <c r="J79" s="27"/>
      <c r="K79" s="27"/>
      <c r="L79" s="27"/>
      <c r="M79" s="27"/>
      <c r="N79" s="27"/>
      <c r="O79" s="27"/>
      <c r="P79" s="27"/>
      <c r="Q79" s="27"/>
      <c r="R79" s="27"/>
      <c r="S79" s="27"/>
      <c r="T79" s="27"/>
      <c r="U79" s="27"/>
      <c r="V79" s="27"/>
      <c r="W79" s="27"/>
      <c r="X79" s="27"/>
      <c r="Y79" s="27"/>
      <c r="Z79" s="27"/>
    </row>
    <row r="80" spans="1:26" ht="13.6">
      <c r="A80" s="27"/>
      <c r="B80" s="27"/>
      <c r="C80" s="27"/>
      <c r="D80" s="73"/>
      <c r="E80" s="27"/>
      <c r="F80" s="27"/>
      <c r="G80" s="27"/>
      <c r="H80" s="27"/>
      <c r="I80" s="27"/>
      <c r="J80" s="27"/>
      <c r="K80" s="27"/>
      <c r="L80" s="27"/>
      <c r="M80" s="27"/>
      <c r="N80" s="27"/>
      <c r="O80" s="27"/>
      <c r="P80" s="27"/>
      <c r="Q80" s="27"/>
      <c r="R80" s="27"/>
      <c r="S80" s="27"/>
      <c r="T80" s="27"/>
      <c r="U80" s="27"/>
      <c r="V80" s="27"/>
      <c r="W80" s="27"/>
      <c r="X80" s="27"/>
      <c r="Y80" s="27"/>
      <c r="Z80" s="27"/>
    </row>
    <row r="81" spans="1:26" ht="13.6">
      <c r="A81" s="27"/>
      <c r="B81" s="27"/>
      <c r="C81" s="27"/>
      <c r="D81" s="73"/>
      <c r="E81" s="27"/>
      <c r="F81" s="27"/>
      <c r="G81" s="27"/>
      <c r="H81" s="27"/>
      <c r="I81" s="27"/>
      <c r="J81" s="27"/>
      <c r="K81" s="27"/>
      <c r="L81" s="27"/>
      <c r="M81" s="27"/>
      <c r="N81" s="27"/>
      <c r="O81" s="27"/>
      <c r="P81" s="27"/>
      <c r="Q81" s="27"/>
      <c r="R81" s="27"/>
      <c r="S81" s="27"/>
      <c r="T81" s="27"/>
      <c r="U81" s="27"/>
      <c r="V81" s="27"/>
      <c r="W81" s="27"/>
      <c r="X81" s="27"/>
      <c r="Y81" s="27"/>
      <c r="Z81" s="27"/>
    </row>
    <row r="82" spans="1:26" ht="13.6">
      <c r="A82" s="27"/>
      <c r="B82" s="27"/>
      <c r="C82" s="27"/>
      <c r="D82" s="73"/>
      <c r="E82" s="27"/>
      <c r="F82" s="27"/>
      <c r="G82" s="27"/>
      <c r="H82" s="27"/>
      <c r="I82" s="27"/>
      <c r="J82" s="27"/>
      <c r="K82" s="27"/>
      <c r="L82" s="27"/>
      <c r="M82" s="27"/>
      <c r="N82" s="27"/>
      <c r="O82" s="27"/>
      <c r="P82" s="27"/>
      <c r="Q82" s="27"/>
      <c r="R82" s="27"/>
      <c r="S82" s="27"/>
      <c r="T82" s="27"/>
      <c r="U82" s="27"/>
      <c r="V82" s="27"/>
      <c r="W82" s="27"/>
      <c r="X82" s="27"/>
      <c r="Y82" s="27"/>
      <c r="Z82" s="27"/>
    </row>
    <row r="83" spans="1:26" ht="13.6">
      <c r="A83" s="27"/>
      <c r="B83" s="27"/>
      <c r="C83" s="27"/>
      <c r="D83" s="73"/>
      <c r="E83" s="27"/>
      <c r="F83" s="27"/>
      <c r="G83" s="27"/>
      <c r="H83" s="27"/>
      <c r="I83" s="27"/>
      <c r="J83" s="27"/>
      <c r="K83" s="27"/>
      <c r="L83" s="27"/>
      <c r="M83" s="27"/>
      <c r="N83" s="27"/>
      <c r="O83" s="27"/>
      <c r="P83" s="27"/>
      <c r="Q83" s="27"/>
      <c r="R83" s="27"/>
      <c r="S83" s="27"/>
      <c r="T83" s="27"/>
      <c r="U83" s="27"/>
      <c r="V83" s="27"/>
      <c r="W83" s="27"/>
      <c r="X83" s="27"/>
      <c r="Y83" s="27"/>
      <c r="Z83" s="27"/>
    </row>
    <row r="84" spans="1:26" ht="13.6">
      <c r="A84" s="27"/>
      <c r="B84" s="27"/>
      <c r="C84" s="27"/>
      <c r="D84" s="73"/>
      <c r="E84" s="27"/>
      <c r="F84" s="27"/>
      <c r="G84" s="27"/>
      <c r="H84" s="27"/>
      <c r="I84" s="27"/>
      <c r="J84" s="27"/>
      <c r="K84" s="27"/>
      <c r="L84" s="27"/>
      <c r="M84" s="27"/>
      <c r="N84" s="27"/>
      <c r="O84" s="27"/>
      <c r="P84" s="27"/>
      <c r="Q84" s="27"/>
      <c r="R84" s="27"/>
      <c r="S84" s="27"/>
      <c r="T84" s="27"/>
      <c r="U84" s="27"/>
      <c r="V84" s="27"/>
      <c r="W84" s="27"/>
      <c r="X84" s="27"/>
      <c r="Y84" s="27"/>
      <c r="Z84" s="27"/>
    </row>
    <row r="85" spans="1:26" ht="13.6">
      <c r="A85" s="27"/>
      <c r="B85" s="27"/>
      <c r="C85" s="27"/>
      <c r="D85" s="73"/>
      <c r="E85" s="27"/>
      <c r="F85" s="27"/>
      <c r="G85" s="27"/>
      <c r="H85" s="27"/>
      <c r="I85" s="27"/>
      <c r="J85" s="27"/>
      <c r="K85" s="27"/>
      <c r="L85" s="27"/>
      <c r="M85" s="27"/>
      <c r="N85" s="27"/>
      <c r="O85" s="27"/>
      <c r="P85" s="27"/>
      <c r="Q85" s="27"/>
      <c r="R85" s="27"/>
      <c r="S85" s="27"/>
      <c r="T85" s="27"/>
      <c r="U85" s="27"/>
      <c r="V85" s="27"/>
      <c r="W85" s="27"/>
      <c r="X85" s="27"/>
      <c r="Y85" s="27"/>
      <c r="Z85" s="27"/>
    </row>
    <row r="86" spans="1:26" ht="13.6">
      <c r="A86" s="27"/>
      <c r="B86" s="27"/>
      <c r="C86" s="27"/>
      <c r="D86" s="73"/>
      <c r="E86" s="27"/>
      <c r="F86" s="27"/>
      <c r="G86" s="27"/>
      <c r="H86" s="27"/>
      <c r="I86" s="27"/>
      <c r="J86" s="27"/>
      <c r="K86" s="27"/>
      <c r="L86" s="27"/>
      <c r="M86" s="27"/>
      <c r="N86" s="27"/>
      <c r="O86" s="27"/>
      <c r="P86" s="27"/>
      <c r="Q86" s="27"/>
      <c r="R86" s="27"/>
      <c r="S86" s="27"/>
      <c r="T86" s="27"/>
      <c r="U86" s="27"/>
      <c r="V86" s="27"/>
      <c r="W86" s="27"/>
      <c r="X86" s="27"/>
      <c r="Y86" s="27"/>
      <c r="Z86" s="27"/>
    </row>
    <row r="87" spans="1:26" ht="13.6">
      <c r="A87" s="27"/>
      <c r="B87" s="27"/>
      <c r="C87" s="27"/>
      <c r="D87" s="73"/>
      <c r="E87" s="27"/>
      <c r="F87" s="27"/>
      <c r="G87" s="27"/>
      <c r="H87" s="27"/>
      <c r="I87" s="27"/>
      <c r="J87" s="27"/>
      <c r="K87" s="27"/>
      <c r="L87" s="27"/>
      <c r="M87" s="27"/>
      <c r="N87" s="27"/>
      <c r="O87" s="27"/>
      <c r="P87" s="27"/>
      <c r="Q87" s="27"/>
      <c r="R87" s="27"/>
      <c r="S87" s="27"/>
      <c r="T87" s="27"/>
      <c r="U87" s="27"/>
      <c r="V87" s="27"/>
      <c r="W87" s="27"/>
      <c r="X87" s="27"/>
      <c r="Y87" s="27"/>
      <c r="Z87" s="27"/>
    </row>
    <row r="88" spans="1:26" ht="13.6">
      <c r="A88" s="27"/>
      <c r="B88" s="27"/>
      <c r="C88" s="27"/>
      <c r="D88" s="73"/>
      <c r="E88" s="27"/>
      <c r="F88" s="27"/>
      <c r="G88" s="27"/>
      <c r="H88" s="27"/>
      <c r="I88" s="27"/>
      <c r="J88" s="27"/>
      <c r="K88" s="27"/>
      <c r="L88" s="27"/>
      <c r="M88" s="27"/>
      <c r="N88" s="27"/>
      <c r="O88" s="27"/>
      <c r="P88" s="27"/>
      <c r="Q88" s="27"/>
      <c r="R88" s="27"/>
      <c r="S88" s="27"/>
      <c r="T88" s="27"/>
      <c r="U88" s="27"/>
      <c r="V88" s="27"/>
      <c r="W88" s="27"/>
      <c r="X88" s="27"/>
      <c r="Y88" s="27"/>
      <c r="Z88" s="27"/>
    </row>
    <row r="89" spans="1:26" ht="13.6">
      <c r="A89" s="27"/>
      <c r="B89" s="27"/>
      <c r="C89" s="27"/>
      <c r="D89" s="73"/>
      <c r="E89" s="27"/>
      <c r="F89" s="27"/>
      <c r="G89" s="27"/>
      <c r="H89" s="27"/>
      <c r="I89" s="27"/>
      <c r="J89" s="27"/>
      <c r="K89" s="27"/>
      <c r="L89" s="27"/>
      <c r="M89" s="27"/>
      <c r="N89" s="27"/>
      <c r="O89" s="27"/>
      <c r="P89" s="27"/>
      <c r="Q89" s="27"/>
      <c r="R89" s="27"/>
      <c r="S89" s="27"/>
      <c r="T89" s="27"/>
      <c r="U89" s="27"/>
      <c r="V89" s="27"/>
      <c r="W89" s="27"/>
      <c r="X89" s="27"/>
      <c r="Y89" s="27"/>
      <c r="Z89" s="27"/>
    </row>
    <row r="90" spans="1:26" ht="13.6">
      <c r="A90" s="27"/>
      <c r="B90" s="27"/>
      <c r="C90" s="27"/>
      <c r="D90" s="73"/>
      <c r="E90" s="27"/>
      <c r="F90" s="27"/>
      <c r="G90" s="27"/>
      <c r="H90" s="27"/>
      <c r="I90" s="27"/>
      <c r="J90" s="27"/>
      <c r="K90" s="27"/>
      <c r="L90" s="27"/>
      <c r="M90" s="27"/>
      <c r="N90" s="27"/>
      <c r="O90" s="27"/>
      <c r="P90" s="27"/>
      <c r="Q90" s="27"/>
      <c r="R90" s="27"/>
      <c r="S90" s="27"/>
      <c r="T90" s="27"/>
      <c r="U90" s="27"/>
      <c r="V90" s="27"/>
      <c r="W90" s="27"/>
      <c r="X90" s="27"/>
      <c r="Y90" s="27"/>
      <c r="Z90" s="27"/>
    </row>
    <row r="91" spans="1:26" ht="13.6">
      <c r="A91" s="27"/>
      <c r="B91" s="27"/>
      <c r="C91" s="27"/>
      <c r="D91" s="73"/>
      <c r="E91" s="27"/>
      <c r="F91" s="27"/>
      <c r="G91" s="27"/>
      <c r="H91" s="27"/>
      <c r="I91" s="27"/>
      <c r="J91" s="27"/>
      <c r="K91" s="27"/>
      <c r="L91" s="27"/>
      <c r="M91" s="27"/>
      <c r="N91" s="27"/>
      <c r="O91" s="27"/>
      <c r="P91" s="27"/>
      <c r="Q91" s="27"/>
      <c r="R91" s="27"/>
      <c r="S91" s="27"/>
      <c r="T91" s="27"/>
      <c r="U91" s="27"/>
      <c r="V91" s="27"/>
      <c r="W91" s="27"/>
      <c r="X91" s="27"/>
      <c r="Y91" s="27"/>
      <c r="Z91" s="27"/>
    </row>
    <row r="92" spans="1:26" ht="13.6">
      <c r="A92" s="27"/>
      <c r="B92" s="27"/>
      <c r="C92" s="27"/>
      <c r="D92" s="73"/>
      <c r="E92" s="27"/>
      <c r="F92" s="27"/>
      <c r="G92" s="27"/>
      <c r="H92" s="27"/>
      <c r="I92" s="27"/>
      <c r="J92" s="27"/>
      <c r="K92" s="27"/>
      <c r="L92" s="27"/>
      <c r="M92" s="27"/>
      <c r="N92" s="27"/>
      <c r="O92" s="27"/>
      <c r="P92" s="27"/>
      <c r="Q92" s="27"/>
      <c r="R92" s="27"/>
      <c r="S92" s="27"/>
      <c r="T92" s="27"/>
      <c r="U92" s="27"/>
      <c r="V92" s="27"/>
      <c r="W92" s="27"/>
      <c r="X92" s="27"/>
      <c r="Y92" s="27"/>
      <c r="Z92" s="27"/>
    </row>
    <row r="93" spans="1:26" ht="13.6">
      <c r="A93" s="27"/>
      <c r="B93" s="27"/>
      <c r="C93" s="27"/>
      <c r="D93" s="73"/>
      <c r="E93" s="27"/>
      <c r="F93" s="27"/>
      <c r="G93" s="27"/>
      <c r="H93" s="27"/>
      <c r="I93" s="27"/>
      <c r="J93" s="27"/>
      <c r="K93" s="27"/>
      <c r="L93" s="27"/>
      <c r="M93" s="27"/>
      <c r="N93" s="27"/>
      <c r="O93" s="27"/>
      <c r="P93" s="27"/>
      <c r="Q93" s="27"/>
      <c r="R93" s="27"/>
      <c r="S93" s="27"/>
      <c r="T93" s="27"/>
      <c r="U93" s="27"/>
      <c r="V93" s="27"/>
      <c r="W93" s="27"/>
      <c r="X93" s="27"/>
      <c r="Y93" s="27"/>
      <c r="Z93" s="27"/>
    </row>
    <row r="94" spans="1:26" ht="13.6">
      <c r="A94" s="27"/>
      <c r="B94" s="27"/>
      <c r="C94" s="27"/>
      <c r="D94" s="73"/>
      <c r="E94" s="27"/>
      <c r="F94" s="27"/>
      <c r="G94" s="27"/>
      <c r="H94" s="27"/>
      <c r="I94" s="27"/>
      <c r="J94" s="27"/>
      <c r="K94" s="27"/>
      <c r="L94" s="27"/>
      <c r="M94" s="27"/>
      <c r="N94" s="27"/>
      <c r="O94" s="27"/>
      <c r="P94" s="27"/>
      <c r="Q94" s="27"/>
      <c r="R94" s="27"/>
      <c r="S94" s="27"/>
      <c r="T94" s="27"/>
      <c r="U94" s="27"/>
      <c r="V94" s="27"/>
      <c r="W94" s="27"/>
      <c r="X94" s="27"/>
      <c r="Y94" s="27"/>
      <c r="Z94" s="27"/>
    </row>
    <row r="95" spans="1:26" ht="13.6">
      <c r="A95" s="27"/>
      <c r="B95" s="27"/>
      <c r="C95" s="27"/>
      <c r="D95" s="73"/>
      <c r="E95" s="27"/>
      <c r="F95" s="27"/>
      <c r="G95" s="27"/>
      <c r="H95" s="27"/>
      <c r="I95" s="27"/>
      <c r="J95" s="27"/>
      <c r="K95" s="27"/>
      <c r="L95" s="27"/>
      <c r="M95" s="27"/>
      <c r="N95" s="27"/>
      <c r="O95" s="27"/>
      <c r="P95" s="27"/>
      <c r="Q95" s="27"/>
      <c r="R95" s="27"/>
      <c r="S95" s="27"/>
      <c r="T95" s="27"/>
      <c r="U95" s="27"/>
      <c r="V95" s="27"/>
      <c r="W95" s="27"/>
      <c r="X95" s="27"/>
      <c r="Y95" s="27"/>
      <c r="Z95" s="27"/>
    </row>
    <row r="96" spans="1:26" ht="13.6">
      <c r="A96" s="27"/>
      <c r="B96" s="27"/>
      <c r="C96" s="27"/>
      <c r="D96" s="73"/>
      <c r="E96" s="27"/>
      <c r="F96" s="27"/>
      <c r="G96" s="27"/>
      <c r="H96" s="27"/>
      <c r="I96" s="27"/>
      <c r="J96" s="27"/>
      <c r="K96" s="27"/>
      <c r="L96" s="27"/>
      <c r="M96" s="27"/>
      <c r="N96" s="27"/>
      <c r="O96" s="27"/>
      <c r="P96" s="27"/>
      <c r="Q96" s="27"/>
      <c r="R96" s="27"/>
      <c r="S96" s="27"/>
      <c r="T96" s="27"/>
      <c r="U96" s="27"/>
      <c r="V96" s="27"/>
      <c r="W96" s="27"/>
      <c r="X96" s="27"/>
      <c r="Y96" s="27"/>
      <c r="Z96" s="27"/>
    </row>
    <row r="97" spans="1:26" ht="13.6">
      <c r="A97" s="27"/>
      <c r="B97" s="27"/>
      <c r="C97" s="27"/>
      <c r="D97" s="73"/>
      <c r="E97" s="27"/>
      <c r="F97" s="27"/>
      <c r="G97" s="27"/>
      <c r="H97" s="27"/>
      <c r="I97" s="27"/>
      <c r="J97" s="27"/>
      <c r="K97" s="27"/>
      <c r="L97" s="27"/>
      <c r="M97" s="27"/>
      <c r="N97" s="27"/>
      <c r="O97" s="27"/>
      <c r="P97" s="27"/>
      <c r="Q97" s="27"/>
      <c r="R97" s="27"/>
      <c r="S97" s="27"/>
      <c r="T97" s="27"/>
      <c r="U97" s="27"/>
      <c r="V97" s="27"/>
      <c r="W97" s="27"/>
      <c r="X97" s="27"/>
      <c r="Y97" s="27"/>
      <c r="Z97" s="27"/>
    </row>
    <row r="98" spans="1:26" ht="13.6">
      <c r="A98" s="27"/>
      <c r="B98" s="27"/>
      <c r="C98" s="27"/>
      <c r="D98" s="73"/>
      <c r="E98" s="27"/>
      <c r="F98" s="27"/>
      <c r="G98" s="27"/>
      <c r="H98" s="27"/>
      <c r="I98" s="27"/>
      <c r="J98" s="27"/>
      <c r="K98" s="27"/>
      <c r="L98" s="27"/>
      <c r="M98" s="27"/>
      <c r="N98" s="27"/>
      <c r="O98" s="27"/>
      <c r="P98" s="27"/>
      <c r="Q98" s="27"/>
      <c r="R98" s="27"/>
      <c r="S98" s="27"/>
      <c r="T98" s="27"/>
      <c r="U98" s="27"/>
      <c r="V98" s="27"/>
      <c r="W98" s="27"/>
      <c r="X98" s="27"/>
      <c r="Y98" s="27"/>
      <c r="Z98" s="27"/>
    </row>
    <row r="99" spans="1:26" ht="13.6">
      <c r="A99" s="27"/>
      <c r="B99" s="27"/>
      <c r="C99" s="27"/>
      <c r="D99" s="73"/>
      <c r="E99" s="27"/>
      <c r="F99" s="27"/>
      <c r="G99" s="27"/>
      <c r="H99" s="27"/>
      <c r="I99" s="27"/>
      <c r="J99" s="27"/>
      <c r="K99" s="27"/>
      <c r="L99" s="27"/>
      <c r="M99" s="27"/>
      <c r="N99" s="27"/>
      <c r="O99" s="27"/>
      <c r="P99" s="27"/>
      <c r="Q99" s="27"/>
      <c r="R99" s="27"/>
      <c r="S99" s="27"/>
      <c r="T99" s="27"/>
      <c r="U99" s="27"/>
      <c r="V99" s="27"/>
      <c r="W99" s="27"/>
      <c r="X99" s="27"/>
      <c r="Y99" s="27"/>
      <c r="Z99" s="27"/>
    </row>
    <row r="100" spans="1:26" ht="13.6">
      <c r="A100" s="27"/>
      <c r="B100" s="27"/>
      <c r="C100" s="27"/>
      <c r="D100" s="73"/>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6">
      <c r="A101" s="27"/>
      <c r="B101" s="27"/>
      <c r="C101" s="27"/>
      <c r="D101" s="73"/>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6">
      <c r="A102" s="27"/>
      <c r="B102" s="27"/>
      <c r="C102" s="27"/>
      <c r="D102" s="73"/>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6">
      <c r="A103" s="27"/>
      <c r="B103" s="27"/>
      <c r="C103" s="27"/>
      <c r="D103" s="73"/>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6">
      <c r="A104" s="27"/>
      <c r="B104" s="27"/>
      <c r="C104" s="27"/>
      <c r="D104" s="73"/>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6">
      <c r="A105" s="27"/>
      <c r="B105" s="27"/>
      <c r="C105" s="27"/>
      <c r="D105" s="73"/>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6">
      <c r="A106" s="27"/>
      <c r="B106" s="27"/>
      <c r="C106" s="27"/>
      <c r="D106" s="73"/>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6">
      <c r="A107" s="27"/>
      <c r="B107" s="27"/>
      <c r="C107" s="27"/>
      <c r="D107" s="73"/>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6">
      <c r="A108" s="27"/>
      <c r="B108" s="27"/>
      <c r="C108" s="27"/>
      <c r="D108" s="73"/>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6">
      <c r="A109" s="27"/>
      <c r="B109" s="27"/>
      <c r="C109" s="27"/>
      <c r="D109" s="73"/>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6">
      <c r="A110" s="27"/>
      <c r="B110" s="27"/>
      <c r="C110" s="27"/>
      <c r="D110" s="73"/>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6">
      <c r="A111" s="27"/>
      <c r="B111" s="27"/>
      <c r="C111" s="27"/>
      <c r="D111" s="73"/>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6">
      <c r="A112" s="27"/>
      <c r="B112" s="27"/>
      <c r="C112" s="27"/>
      <c r="D112" s="73"/>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6">
      <c r="A113" s="27"/>
      <c r="B113" s="27"/>
      <c r="C113" s="27"/>
      <c r="D113" s="73"/>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6">
      <c r="A114" s="27"/>
      <c r="B114" s="27"/>
      <c r="C114" s="27"/>
      <c r="D114" s="73"/>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6">
      <c r="A115" s="27"/>
      <c r="B115" s="27"/>
      <c r="C115" s="27"/>
      <c r="D115" s="73"/>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6">
      <c r="A116" s="27"/>
      <c r="B116" s="27"/>
      <c r="C116" s="27"/>
      <c r="D116" s="73"/>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6">
      <c r="A117" s="27"/>
      <c r="B117" s="27"/>
      <c r="C117" s="27"/>
      <c r="D117" s="73"/>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6">
      <c r="A118" s="27"/>
      <c r="B118" s="27"/>
      <c r="C118" s="27"/>
      <c r="D118" s="73"/>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6">
      <c r="A119" s="27"/>
      <c r="B119" s="27"/>
      <c r="C119" s="27"/>
      <c r="D119" s="73"/>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6">
      <c r="A120" s="27"/>
      <c r="B120" s="27"/>
      <c r="C120" s="27"/>
      <c r="D120" s="73"/>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6">
      <c r="A121" s="27"/>
      <c r="B121" s="27"/>
      <c r="C121" s="27"/>
      <c r="D121" s="73"/>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6">
      <c r="A122" s="27"/>
      <c r="B122" s="27"/>
      <c r="C122" s="27"/>
      <c r="D122" s="73"/>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6">
      <c r="A123" s="27"/>
      <c r="B123" s="27"/>
      <c r="C123" s="27"/>
      <c r="D123" s="73"/>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6">
      <c r="A124" s="27"/>
      <c r="B124" s="27"/>
      <c r="C124" s="27"/>
      <c r="D124" s="73"/>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6">
      <c r="A125" s="27"/>
      <c r="B125" s="27"/>
      <c r="C125" s="27"/>
      <c r="D125" s="73"/>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6">
      <c r="A126" s="27"/>
      <c r="B126" s="27"/>
      <c r="C126" s="27"/>
      <c r="D126" s="73"/>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6">
      <c r="A127" s="27"/>
      <c r="B127" s="27"/>
      <c r="C127" s="27"/>
      <c r="D127" s="73"/>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6">
      <c r="A128" s="27"/>
      <c r="B128" s="27"/>
      <c r="C128" s="27"/>
      <c r="D128" s="73"/>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6">
      <c r="A129" s="27"/>
      <c r="B129" s="27"/>
      <c r="C129" s="27"/>
      <c r="D129" s="73"/>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6">
      <c r="A130" s="27"/>
      <c r="B130" s="27"/>
      <c r="C130" s="27"/>
      <c r="D130" s="73"/>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6">
      <c r="A131" s="27"/>
      <c r="B131" s="27"/>
      <c r="C131" s="27"/>
      <c r="D131" s="73"/>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6">
      <c r="A132" s="27"/>
      <c r="B132" s="27"/>
      <c r="C132" s="27"/>
      <c r="D132" s="73"/>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6">
      <c r="A133" s="27"/>
      <c r="B133" s="27"/>
      <c r="C133" s="27"/>
      <c r="D133" s="73"/>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6">
      <c r="A134" s="27"/>
      <c r="B134" s="27"/>
      <c r="C134" s="27"/>
      <c r="D134" s="73"/>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6">
      <c r="A135" s="27"/>
      <c r="B135" s="27"/>
      <c r="C135" s="27"/>
      <c r="D135" s="73"/>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6">
      <c r="A136" s="27"/>
      <c r="B136" s="27"/>
      <c r="C136" s="27"/>
      <c r="D136" s="73"/>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6">
      <c r="A137" s="27"/>
      <c r="B137" s="27"/>
      <c r="C137" s="27"/>
      <c r="D137" s="73"/>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6">
      <c r="A138" s="27"/>
      <c r="B138" s="27"/>
      <c r="C138" s="27"/>
      <c r="D138" s="73"/>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6">
      <c r="A139" s="27"/>
      <c r="B139" s="27"/>
      <c r="C139" s="27"/>
      <c r="D139" s="73"/>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6">
      <c r="A140" s="27"/>
      <c r="B140" s="27"/>
      <c r="C140" s="27"/>
      <c r="D140" s="73"/>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6">
      <c r="A141" s="27"/>
      <c r="B141" s="27"/>
      <c r="C141" s="27"/>
      <c r="D141" s="73"/>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6">
      <c r="A142" s="27"/>
      <c r="B142" s="27"/>
      <c r="C142" s="27"/>
      <c r="D142" s="73"/>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6">
      <c r="A143" s="27"/>
      <c r="B143" s="27"/>
      <c r="C143" s="27"/>
      <c r="D143" s="73"/>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6">
      <c r="A144" s="27"/>
      <c r="B144" s="27"/>
      <c r="C144" s="27"/>
      <c r="D144" s="73"/>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6">
      <c r="A145" s="27"/>
      <c r="B145" s="27"/>
      <c r="C145" s="27"/>
      <c r="D145" s="73"/>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6">
      <c r="A146" s="27"/>
      <c r="B146" s="27"/>
      <c r="C146" s="27"/>
      <c r="D146" s="73"/>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6">
      <c r="A147" s="27"/>
      <c r="B147" s="27"/>
      <c r="C147" s="27"/>
      <c r="D147" s="73"/>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6">
      <c r="A148" s="27"/>
      <c r="B148" s="27"/>
      <c r="C148" s="27"/>
      <c r="D148" s="73"/>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6">
      <c r="A149" s="27"/>
      <c r="B149" s="27"/>
      <c r="C149" s="27"/>
      <c r="D149" s="73"/>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6">
      <c r="A150" s="27"/>
      <c r="B150" s="27"/>
      <c r="C150" s="27"/>
      <c r="D150" s="73"/>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6">
      <c r="A151" s="27"/>
      <c r="B151" s="27"/>
      <c r="C151" s="27"/>
      <c r="D151" s="73"/>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6">
      <c r="A152" s="27"/>
      <c r="B152" s="27"/>
      <c r="C152" s="27"/>
      <c r="D152" s="73"/>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6">
      <c r="A153" s="27"/>
      <c r="B153" s="27"/>
      <c r="C153" s="27"/>
      <c r="D153" s="73"/>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6">
      <c r="A154" s="27"/>
      <c r="B154" s="27"/>
      <c r="C154" s="27"/>
      <c r="D154" s="73"/>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6">
      <c r="A155" s="27"/>
      <c r="B155" s="27"/>
      <c r="C155" s="27"/>
      <c r="D155" s="73"/>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6">
      <c r="A156" s="27"/>
      <c r="B156" s="27"/>
      <c r="C156" s="27"/>
      <c r="D156" s="73"/>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6">
      <c r="A157" s="27"/>
      <c r="B157" s="27"/>
      <c r="C157" s="27"/>
      <c r="D157" s="73"/>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6">
      <c r="A158" s="27"/>
      <c r="B158" s="27"/>
      <c r="C158" s="27"/>
      <c r="D158" s="73"/>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6">
      <c r="A159" s="27"/>
      <c r="B159" s="27"/>
      <c r="C159" s="27"/>
      <c r="D159" s="73"/>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6">
      <c r="A160" s="27"/>
      <c r="B160" s="27"/>
      <c r="C160" s="27"/>
      <c r="D160" s="73"/>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6">
      <c r="A161" s="27"/>
      <c r="B161" s="27"/>
      <c r="C161" s="27"/>
      <c r="D161" s="73"/>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6">
      <c r="A162" s="27"/>
      <c r="B162" s="27"/>
      <c r="C162" s="27"/>
      <c r="D162" s="73"/>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6">
      <c r="A163" s="27"/>
      <c r="B163" s="27"/>
      <c r="C163" s="27"/>
      <c r="D163" s="73"/>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6">
      <c r="A164" s="27"/>
      <c r="B164" s="27"/>
      <c r="C164" s="27"/>
      <c r="D164" s="73"/>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6">
      <c r="A165" s="27"/>
      <c r="B165" s="27"/>
      <c r="C165" s="27"/>
      <c r="D165" s="73"/>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6">
      <c r="A166" s="27"/>
      <c r="B166" s="27"/>
      <c r="C166" s="27"/>
      <c r="D166" s="73"/>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6">
      <c r="A167" s="27"/>
      <c r="B167" s="27"/>
      <c r="C167" s="27"/>
      <c r="D167" s="73"/>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6">
      <c r="A168" s="27"/>
      <c r="B168" s="27"/>
      <c r="C168" s="27"/>
      <c r="D168" s="73"/>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6">
      <c r="A169" s="27"/>
      <c r="B169" s="27"/>
      <c r="C169" s="27"/>
      <c r="D169" s="73"/>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6">
      <c r="A170" s="27"/>
      <c r="B170" s="27"/>
      <c r="C170" s="27"/>
      <c r="D170" s="73"/>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6">
      <c r="A171" s="27"/>
      <c r="B171" s="27"/>
      <c r="C171" s="27"/>
      <c r="D171" s="73"/>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6">
      <c r="A172" s="27"/>
      <c r="B172" s="27"/>
      <c r="C172" s="27"/>
      <c r="D172" s="73"/>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6">
      <c r="A173" s="27"/>
      <c r="B173" s="27"/>
      <c r="C173" s="27"/>
      <c r="D173" s="73"/>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6">
      <c r="A174" s="27"/>
      <c r="B174" s="27"/>
      <c r="C174" s="27"/>
      <c r="D174" s="73"/>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6">
      <c r="A175" s="27"/>
      <c r="B175" s="27"/>
      <c r="C175" s="27"/>
      <c r="D175" s="73"/>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6">
      <c r="A176" s="27"/>
      <c r="B176" s="27"/>
      <c r="C176" s="27"/>
      <c r="D176" s="73"/>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6">
      <c r="A177" s="27"/>
      <c r="B177" s="27"/>
      <c r="C177" s="27"/>
      <c r="D177" s="73"/>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6">
      <c r="A178" s="27"/>
      <c r="B178" s="27"/>
      <c r="C178" s="27"/>
      <c r="D178" s="73"/>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6">
      <c r="A179" s="27"/>
      <c r="B179" s="27"/>
      <c r="C179" s="27"/>
      <c r="D179" s="73"/>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6">
      <c r="A180" s="27"/>
      <c r="B180" s="27"/>
      <c r="C180" s="27"/>
      <c r="D180" s="73"/>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6">
      <c r="A181" s="27"/>
      <c r="B181" s="27"/>
      <c r="C181" s="27"/>
      <c r="D181" s="73"/>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6">
      <c r="A182" s="27"/>
      <c r="B182" s="27"/>
      <c r="C182" s="27"/>
      <c r="D182" s="73"/>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6">
      <c r="A183" s="27"/>
      <c r="B183" s="27"/>
      <c r="C183" s="27"/>
      <c r="D183" s="73"/>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6">
      <c r="A184" s="27"/>
      <c r="B184" s="27"/>
      <c r="C184" s="27"/>
      <c r="D184" s="73"/>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6">
      <c r="A185" s="27"/>
      <c r="B185" s="27"/>
      <c r="C185" s="27"/>
      <c r="D185" s="73"/>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6">
      <c r="A186" s="27"/>
      <c r="B186" s="27"/>
      <c r="C186" s="27"/>
      <c r="D186" s="73"/>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6">
      <c r="A187" s="27"/>
      <c r="B187" s="27"/>
      <c r="C187" s="27"/>
      <c r="D187" s="73"/>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6">
      <c r="A188" s="27"/>
      <c r="B188" s="27"/>
      <c r="C188" s="27"/>
      <c r="D188" s="73"/>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6">
      <c r="A189" s="27"/>
      <c r="B189" s="27"/>
      <c r="C189" s="27"/>
      <c r="D189" s="73"/>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6">
      <c r="A190" s="27"/>
      <c r="B190" s="27"/>
      <c r="C190" s="27"/>
      <c r="D190" s="73"/>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6">
      <c r="A191" s="27"/>
      <c r="B191" s="27"/>
      <c r="C191" s="27"/>
      <c r="D191" s="73"/>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6">
      <c r="A192" s="27"/>
      <c r="B192" s="27"/>
      <c r="C192" s="27"/>
      <c r="D192" s="73"/>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6">
      <c r="A193" s="27"/>
      <c r="B193" s="27"/>
      <c r="C193" s="27"/>
      <c r="D193" s="73"/>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6">
      <c r="A194" s="27"/>
      <c r="B194" s="27"/>
      <c r="C194" s="27"/>
      <c r="D194" s="73"/>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6">
      <c r="A195" s="27"/>
      <c r="B195" s="27"/>
      <c r="C195" s="27"/>
      <c r="D195" s="73"/>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6">
      <c r="A196" s="27"/>
      <c r="B196" s="27"/>
      <c r="C196" s="27"/>
      <c r="D196" s="73"/>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6">
      <c r="A197" s="27"/>
      <c r="B197" s="27"/>
      <c r="C197" s="27"/>
      <c r="D197" s="73"/>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6">
      <c r="A198" s="27"/>
      <c r="B198" s="27"/>
      <c r="C198" s="27"/>
      <c r="D198" s="73"/>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6">
      <c r="A199" s="27"/>
      <c r="B199" s="27"/>
      <c r="C199" s="27"/>
      <c r="D199" s="73"/>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6">
      <c r="A200" s="27"/>
      <c r="B200" s="27"/>
      <c r="C200" s="27"/>
      <c r="D200" s="73"/>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6">
      <c r="A201" s="27"/>
      <c r="B201" s="27"/>
      <c r="C201" s="27"/>
      <c r="D201" s="73"/>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6">
      <c r="A202" s="27"/>
      <c r="B202" s="27"/>
      <c r="C202" s="27"/>
      <c r="D202" s="73"/>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6">
      <c r="A203" s="27"/>
      <c r="B203" s="27"/>
      <c r="C203" s="27"/>
      <c r="D203" s="73"/>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6">
      <c r="A204" s="27"/>
      <c r="B204" s="27"/>
      <c r="C204" s="27"/>
      <c r="D204" s="73"/>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6">
      <c r="A205" s="27"/>
      <c r="B205" s="27"/>
      <c r="C205" s="27"/>
      <c r="D205" s="73"/>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6">
      <c r="A206" s="27"/>
      <c r="B206" s="27"/>
      <c r="C206" s="27"/>
      <c r="D206" s="73"/>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6">
      <c r="A207" s="27"/>
      <c r="B207" s="27"/>
      <c r="C207" s="27"/>
      <c r="D207" s="73"/>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6">
      <c r="A208" s="27"/>
      <c r="B208" s="27"/>
      <c r="C208" s="27"/>
      <c r="D208" s="73"/>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6">
      <c r="A209" s="27"/>
      <c r="B209" s="27"/>
      <c r="C209" s="27"/>
      <c r="D209" s="73"/>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6">
      <c r="A210" s="27"/>
      <c r="B210" s="27"/>
      <c r="C210" s="27"/>
      <c r="D210" s="73"/>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6">
      <c r="A211" s="27"/>
      <c r="B211" s="27"/>
      <c r="C211" s="27"/>
      <c r="D211" s="73"/>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6">
      <c r="A212" s="27"/>
      <c r="B212" s="27"/>
      <c r="C212" s="27"/>
      <c r="D212" s="73"/>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6">
      <c r="A213" s="27"/>
      <c r="B213" s="27"/>
      <c r="C213" s="27"/>
      <c r="D213" s="73"/>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6">
      <c r="A214" s="27"/>
      <c r="B214" s="27"/>
      <c r="C214" s="27"/>
      <c r="D214" s="73"/>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6">
      <c r="A215" s="27"/>
      <c r="B215" s="27"/>
      <c r="C215" s="27"/>
      <c r="D215" s="73"/>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6">
      <c r="A216" s="27"/>
      <c r="B216" s="27"/>
      <c r="C216" s="27"/>
      <c r="D216" s="73"/>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6">
      <c r="A217" s="27"/>
      <c r="B217" s="27"/>
      <c r="C217" s="27"/>
      <c r="D217" s="73"/>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6">
      <c r="A218" s="27"/>
      <c r="B218" s="27"/>
      <c r="C218" s="27"/>
      <c r="D218" s="73"/>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6">
      <c r="A219" s="27"/>
      <c r="B219" s="27"/>
      <c r="C219" s="27"/>
      <c r="D219" s="73"/>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6">
      <c r="A220" s="27"/>
      <c r="B220" s="27"/>
      <c r="C220" s="27"/>
      <c r="D220" s="73"/>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6">
      <c r="A221" s="27"/>
      <c r="B221" s="27"/>
      <c r="C221" s="27"/>
      <c r="D221" s="73"/>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6">
      <c r="A222" s="27"/>
      <c r="B222" s="27"/>
      <c r="C222" s="27"/>
      <c r="D222" s="73"/>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6">
      <c r="A223" s="27"/>
      <c r="B223" s="27"/>
      <c r="C223" s="27"/>
      <c r="D223" s="73"/>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6">
      <c r="A224" s="27"/>
      <c r="B224" s="27"/>
      <c r="C224" s="27"/>
      <c r="D224" s="73"/>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6">
      <c r="A225" s="27"/>
      <c r="B225" s="27"/>
      <c r="C225" s="27"/>
      <c r="D225" s="73"/>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6">
      <c r="A226" s="27"/>
      <c r="B226" s="27"/>
      <c r="C226" s="27"/>
      <c r="D226" s="73"/>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6">
      <c r="A227" s="27"/>
      <c r="B227" s="27"/>
      <c r="C227" s="27"/>
      <c r="D227" s="73"/>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6">
      <c r="A228" s="27"/>
      <c r="B228" s="27"/>
      <c r="C228" s="27"/>
      <c r="D228" s="73"/>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6">
      <c r="A229" s="27"/>
      <c r="B229" s="27"/>
      <c r="C229" s="27"/>
      <c r="D229" s="73"/>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6">
      <c r="A230" s="27"/>
      <c r="B230" s="27"/>
      <c r="C230" s="27"/>
      <c r="D230" s="73"/>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6">
      <c r="A231" s="27"/>
      <c r="B231" s="27"/>
      <c r="C231" s="27"/>
      <c r="D231" s="73"/>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6">
      <c r="A232" s="27"/>
      <c r="B232" s="27"/>
      <c r="C232" s="27"/>
      <c r="D232" s="73"/>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6">
      <c r="A233" s="27"/>
      <c r="B233" s="27"/>
      <c r="C233" s="27"/>
      <c r="D233" s="73"/>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6">
      <c r="A234" s="27"/>
      <c r="B234" s="27"/>
      <c r="C234" s="27"/>
      <c r="D234" s="73"/>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6">
      <c r="A235" s="27"/>
      <c r="B235" s="27"/>
      <c r="C235" s="27"/>
      <c r="D235" s="73"/>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6">
      <c r="A236" s="27"/>
      <c r="B236" s="27"/>
      <c r="C236" s="27"/>
      <c r="D236" s="73"/>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6">
      <c r="A237" s="27"/>
      <c r="B237" s="27"/>
      <c r="C237" s="27"/>
      <c r="D237" s="73"/>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6">
      <c r="A238" s="27"/>
      <c r="B238" s="27"/>
      <c r="C238" s="27"/>
      <c r="D238" s="73"/>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6">
      <c r="A239" s="27"/>
      <c r="B239" s="27"/>
      <c r="C239" s="27"/>
      <c r="D239" s="73"/>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6">
      <c r="A240" s="27"/>
      <c r="B240" s="27"/>
      <c r="C240" s="27"/>
      <c r="D240" s="73"/>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6">
      <c r="A241" s="27"/>
      <c r="B241" s="27"/>
      <c r="C241" s="27"/>
      <c r="D241" s="73"/>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6">
      <c r="A242" s="27"/>
      <c r="B242" s="27"/>
      <c r="C242" s="27"/>
      <c r="D242" s="73"/>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6">
      <c r="A243" s="27"/>
      <c r="B243" s="27"/>
      <c r="C243" s="27"/>
      <c r="D243" s="73"/>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6">
      <c r="A244" s="27"/>
      <c r="B244" s="27"/>
      <c r="C244" s="27"/>
      <c r="D244" s="73"/>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6">
      <c r="A245" s="27"/>
      <c r="B245" s="27"/>
      <c r="C245" s="27"/>
      <c r="D245" s="73"/>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6">
      <c r="A246" s="27"/>
      <c r="B246" s="27"/>
      <c r="C246" s="27"/>
      <c r="D246" s="73"/>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6">
      <c r="A247" s="27"/>
      <c r="B247" s="27"/>
      <c r="C247" s="27"/>
      <c r="D247" s="73"/>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6">
      <c r="A248" s="27"/>
      <c r="B248" s="27"/>
      <c r="C248" s="27"/>
      <c r="D248" s="73"/>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6">
      <c r="A249" s="27"/>
      <c r="B249" s="27"/>
      <c r="C249" s="27"/>
      <c r="D249" s="73"/>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6">
      <c r="A250" s="27"/>
      <c r="B250" s="27"/>
      <c r="C250" s="27"/>
      <c r="D250" s="73"/>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6">
      <c r="A251" s="27"/>
      <c r="B251" s="27"/>
      <c r="C251" s="27"/>
      <c r="D251" s="73"/>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6">
      <c r="A252" s="27"/>
      <c r="B252" s="27"/>
      <c r="C252" s="27"/>
      <c r="D252" s="73"/>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6">
      <c r="A253" s="27"/>
      <c r="B253" s="27"/>
      <c r="C253" s="27"/>
      <c r="D253" s="73"/>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6">
      <c r="A254" s="27"/>
      <c r="B254" s="27"/>
      <c r="C254" s="27"/>
      <c r="D254" s="73"/>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6">
      <c r="A255" s="27"/>
      <c r="B255" s="27"/>
      <c r="C255" s="27"/>
      <c r="D255" s="73"/>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6">
      <c r="A256" s="27"/>
      <c r="B256" s="27"/>
      <c r="C256" s="27"/>
      <c r="D256" s="73"/>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6">
      <c r="A257" s="27"/>
      <c r="B257" s="27"/>
      <c r="C257" s="27"/>
      <c r="D257" s="73"/>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6">
      <c r="A258" s="27"/>
      <c r="B258" s="27"/>
      <c r="C258" s="27"/>
      <c r="D258" s="73"/>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6">
      <c r="A259" s="27"/>
      <c r="B259" s="27"/>
      <c r="C259" s="27"/>
      <c r="D259" s="73"/>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6">
      <c r="A260" s="27"/>
      <c r="B260" s="27"/>
      <c r="C260" s="27"/>
      <c r="D260" s="73"/>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6">
      <c r="A261" s="27"/>
      <c r="B261" s="27"/>
      <c r="C261" s="27"/>
      <c r="D261" s="73"/>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6">
      <c r="A262" s="27"/>
      <c r="B262" s="27"/>
      <c r="C262" s="27"/>
      <c r="D262" s="73"/>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6">
      <c r="A263" s="27"/>
      <c r="B263" s="27"/>
      <c r="C263" s="27"/>
      <c r="D263" s="73"/>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6">
      <c r="A264" s="27"/>
      <c r="B264" s="27"/>
      <c r="C264" s="27"/>
      <c r="D264" s="73"/>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6">
      <c r="A265" s="27"/>
      <c r="B265" s="27"/>
      <c r="C265" s="27"/>
      <c r="D265" s="73"/>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6">
      <c r="A266" s="27"/>
      <c r="B266" s="27"/>
      <c r="C266" s="27"/>
      <c r="D266" s="73"/>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6">
      <c r="A267" s="27"/>
      <c r="B267" s="27"/>
      <c r="C267" s="27"/>
      <c r="D267" s="73"/>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6">
      <c r="A268" s="27"/>
      <c r="B268" s="27"/>
      <c r="C268" s="27"/>
      <c r="D268" s="73"/>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6">
      <c r="A269" s="27"/>
      <c r="B269" s="27"/>
      <c r="C269" s="27"/>
      <c r="D269" s="73"/>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6">
      <c r="A270" s="27"/>
      <c r="B270" s="27"/>
      <c r="C270" s="27"/>
      <c r="D270" s="73"/>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6">
      <c r="A271" s="27"/>
      <c r="B271" s="27"/>
      <c r="C271" s="27"/>
      <c r="D271" s="73"/>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6">
      <c r="A272" s="27"/>
      <c r="B272" s="27"/>
      <c r="C272" s="27"/>
      <c r="D272" s="73"/>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6">
      <c r="A273" s="27"/>
      <c r="B273" s="27"/>
      <c r="C273" s="27"/>
      <c r="D273" s="73"/>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6">
      <c r="A274" s="27"/>
      <c r="B274" s="27"/>
      <c r="C274" s="27"/>
      <c r="D274" s="73"/>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6">
      <c r="A275" s="27"/>
      <c r="B275" s="27"/>
      <c r="C275" s="27"/>
      <c r="D275" s="73"/>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6">
      <c r="A276" s="27"/>
      <c r="B276" s="27"/>
      <c r="C276" s="27"/>
      <c r="D276" s="73"/>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6">
      <c r="A277" s="27"/>
      <c r="B277" s="27"/>
      <c r="C277" s="27"/>
      <c r="D277" s="73"/>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6">
      <c r="A278" s="27"/>
      <c r="B278" s="27"/>
      <c r="C278" s="27"/>
      <c r="D278" s="73"/>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6">
      <c r="A279" s="27"/>
      <c r="B279" s="27"/>
      <c r="C279" s="27"/>
      <c r="D279" s="73"/>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6">
      <c r="A280" s="27"/>
      <c r="B280" s="27"/>
      <c r="C280" s="27"/>
      <c r="D280" s="73"/>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6">
      <c r="A281" s="27"/>
      <c r="B281" s="27"/>
      <c r="C281" s="27"/>
      <c r="D281" s="73"/>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6">
      <c r="A282" s="27"/>
      <c r="B282" s="27"/>
      <c r="C282" s="27"/>
      <c r="D282" s="73"/>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6">
      <c r="A283" s="27"/>
      <c r="B283" s="27"/>
      <c r="C283" s="27"/>
      <c r="D283" s="73"/>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6">
      <c r="A284" s="27"/>
      <c r="B284" s="27"/>
      <c r="C284" s="27"/>
      <c r="D284" s="73"/>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6">
      <c r="A285" s="27"/>
      <c r="B285" s="27"/>
      <c r="C285" s="27"/>
      <c r="D285" s="73"/>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6">
      <c r="A286" s="27"/>
      <c r="B286" s="27"/>
      <c r="C286" s="27"/>
      <c r="D286" s="73"/>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6">
      <c r="A287" s="27"/>
      <c r="B287" s="27"/>
      <c r="C287" s="27"/>
      <c r="D287" s="73"/>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6">
      <c r="A288" s="27"/>
      <c r="B288" s="27"/>
      <c r="C288" s="27"/>
      <c r="D288" s="73"/>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6">
      <c r="A289" s="27"/>
      <c r="B289" s="27"/>
      <c r="C289" s="27"/>
      <c r="D289" s="73"/>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6">
      <c r="A290" s="27"/>
      <c r="B290" s="27"/>
      <c r="C290" s="27"/>
      <c r="D290" s="73"/>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6">
      <c r="A291" s="27"/>
      <c r="B291" s="27"/>
      <c r="C291" s="27"/>
      <c r="D291" s="73"/>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6">
      <c r="A292" s="27"/>
      <c r="B292" s="27"/>
      <c r="C292" s="27"/>
      <c r="D292" s="73"/>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6">
      <c r="A293" s="27"/>
      <c r="B293" s="27"/>
      <c r="C293" s="27"/>
      <c r="D293" s="73"/>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6">
      <c r="A294" s="27"/>
      <c r="B294" s="27"/>
      <c r="C294" s="27"/>
      <c r="D294" s="73"/>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6">
      <c r="A295" s="27"/>
      <c r="B295" s="27"/>
      <c r="C295" s="27"/>
      <c r="D295" s="73"/>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6">
      <c r="A296" s="27"/>
      <c r="B296" s="27"/>
      <c r="C296" s="27"/>
      <c r="D296" s="73"/>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6">
      <c r="A297" s="27"/>
      <c r="B297" s="27"/>
      <c r="C297" s="27"/>
      <c r="D297" s="73"/>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6">
      <c r="A298" s="27"/>
      <c r="B298" s="27"/>
      <c r="C298" s="27"/>
      <c r="D298" s="73"/>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6">
      <c r="A299" s="27"/>
      <c r="B299" s="27"/>
      <c r="C299" s="27"/>
      <c r="D299" s="73"/>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6">
      <c r="A300" s="27"/>
      <c r="B300" s="27"/>
      <c r="C300" s="27"/>
      <c r="D300" s="73"/>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6">
      <c r="A301" s="27"/>
      <c r="B301" s="27"/>
      <c r="C301" s="27"/>
      <c r="D301" s="73"/>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6">
      <c r="A302" s="27"/>
      <c r="B302" s="27"/>
      <c r="C302" s="27"/>
      <c r="D302" s="73"/>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6">
      <c r="A303" s="27"/>
      <c r="B303" s="27"/>
      <c r="C303" s="27"/>
      <c r="D303" s="73"/>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6">
      <c r="A304" s="27"/>
      <c r="B304" s="27"/>
      <c r="C304" s="27"/>
      <c r="D304" s="73"/>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6">
      <c r="A305" s="27"/>
      <c r="B305" s="27"/>
      <c r="C305" s="27"/>
      <c r="D305" s="73"/>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6">
      <c r="A306" s="27"/>
      <c r="B306" s="27"/>
      <c r="C306" s="27"/>
      <c r="D306" s="73"/>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6">
      <c r="A307" s="27"/>
      <c r="B307" s="27"/>
      <c r="C307" s="27"/>
      <c r="D307" s="73"/>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6">
      <c r="A308" s="27"/>
      <c r="B308" s="27"/>
      <c r="C308" s="27"/>
      <c r="D308" s="73"/>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6">
      <c r="A309" s="27"/>
      <c r="B309" s="27"/>
      <c r="C309" s="27"/>
      <c r="D309" s="73"/>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6">
      <c r="A310" s="27"/>
      <c r="B310" s="27"/>
      <c r="C310" s="27"/>
      <c r="D310" s="73"/>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6">
      <c r="A311" s="27"/>
      <c r="B311" s="27"/>
      <c r="C311" s="27"/>
      <c r="D311" s="73"/>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6">
      <c r="A312" s="27"/>
      <c r="B312" s="27"/>
      <c r="C312" s="27"/>
      <c r="D312" s="73"/>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6">
      <c r="A313" s="27"/>
      <c r="B313" s="27"/>
      <c r="C313" s="27"/>
      <c r="D313" s="73"/>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6">
      <c r="A314" s="27"/>
      <c r="B314" s="27"/>
      <c r="C314" s="27"/>
      <c r="D314" s="73"/>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6">
      <c r="A315" s="27"/>
      <c r="B315" s="27"/>
      <c r="C315" s="27"/>
      <c r="D315" s="73"/>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6">
      <c r="A316" s="27"/>
      <c r="B316" s="27"/>
      <c r="C316" s="27"/>
      <c r="D316" s="73"/>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6">
      <c r="A317" s="27"/>
      <c r="B317" s="27"/>
      <c r="C317" s="27"/>
      <c r="D317" s="73"/>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6">
      <c r="A318" s="27"/>
      <c r="B318" s="27"/>
      <c r="C318" s="27"/>
      <c r="D318" s="73"/>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6">
      <c r="A319" s="27"/>
      <c r="B319" s="27"/>
      <c r="C319" s="27"/>
      <c r="D319" s="73"/>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6">
      <c r="A320" s="27"/>
      <c r="B320" s="27"/>
      <c r="C320" s="27"/>
      <c r="D320" s="73"/>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6">
      <c r="A321" s="27"/>
      <c r="B321" s="27"/>
      <c r="C321" s="27"/>
      <c r="D321" s="73"/>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6">
      <c r="A322" s="27"/>
      <c r="B322" s="27"/>
      <c r="C322" s="27"/>
      <c r="D322" s="73"/>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6">
      <c r="A323" s="27"/>
      <c r="B323" s="27"/>
      <c r="C323" s="27"/>
      <c r="D323" s="73"/>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6">
      <c r="A324" s="27"/>
      <c r="B324" s="27"/>
      <c r="C324" s="27"/>
      <c r="D324" s="73"/>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6">
      <c r="A325" s="27"/>
      <c r="B325" s="27"/>
      <c r="C325" s="27"/>
      <c r="D325" s="73"/>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6">
      <c r="A326" s="27"/>
      <c r="B326" s="27"/>
      <c r="C326" s="27"/>
      <c r="D326" s="73"/>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6">
      <c r="A327" s="27"/>
      <c r="B327" s="27"/>
      <c r="C327" s="27"/>
      <c r="D327" s="73"/>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6">
      <c r="A328" s="27"/>
      <c r="B328" s="27"/>
      <c r="C328" s="27"/>
      <c r="D328" s="73"/>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6">
      <c r="A329" s="27"/>
      <c r="B329" s="27"/>
      <c r="C329" s="27"/>
      <c r="D329" s="73"/>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6">
      <c r="A330" s="27"/>
      <c r="B330" s="27"/>
      <c r="C330" s="27"/>
      <c r="D330" s="73"/>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6">
      <c r="A331" s="27"/>
      <c r="B331" s="27"/>
      <c r="C331" s="27"/>
      <c r="D331" s="73"/>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6">
      <c r="A332" s="27"/>
      <c r="B332" s="27"/>
      <c r="C332" s="27"/>
      <c r="D332" s="73"/>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6">
      <c r="A333" s="27"/>
      <c r="B333" s="27"/>
      <c r="C333" s="27"/>
      <c r="D333" s="73"/>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6">
      <c r="A334" s="27"/>
      <c r="B334" s="27"/>
      <c r="C334" s="27"/>
      <c r="D334" s="73"/>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6">
      <c r="A335" s="27"/>
      <c r="B335" s="27"/>
      <c r="C335" s="27"/>
      <c r="D335" s="73"/>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6">
      <c r="A336" s="27"/>
      <c r="B336" s="27"/>
      <c r="C336" s="27"/>
      <c r="D336" s="73"/>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6">
      <c r="A337" s="27"/>
      <c r="B337" s="27"/>
      <c r="C337" s="27"/>
      <c r="D337" s="73"/>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6">
      <c r="A338" s="27"/>
      <c r="B338" s="27"/>
      <c r="C338" s="27"/>
      <c r="D338" s="73"/>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6">
      <c r="A339" s="27"/>
      <c r="B339" s="27"/>
      <c r="C339" s="27"/>
      <c r="D339" s="73"/>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6">
      <c r="A340" s="27"/>
      <c r="B340" s="27"/>
      <c r="C340" s="27"/>
      <c r="D340" s="73"/>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6">
      <c r="A341" s="27"/>
      <c r="B341" s="27"/>
      <c r="C341" s="27"/>
      <c r="D341" s="73"/>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6">
      <c r="A342" s="27"/>
      <c r="B342" s="27"/>
      <c r="C342" s="27"/>
      <c r="D342" s="73"/>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6">
      <c r="A343" s="27"/>
      <c r="B343" s="27"/>
      <c r="C343" s="27"/>
      <c r="D343" s="73"/>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6">
      <c r="A344" s="27"/>
      <c r="B344" s="27"/>
      <c r="C344" s="27"/>
      <c r="D344" s="73"/>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6">
      <c r="A345" s="27"/>
      <c r="B345" s="27"/>
      <c r="C345" s="27"/>
      <c r="D345" s="73"/>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6">
      <c r="A346" s="27"/>
      <c r="B346" s="27"/>
      <c r="C346" s="27"/>
      <c r="D346" s="73"/>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6">
      <c r="A347" s="27"/>
      <c r="B347" s="27"/>
      <c r="C347" s="27"/>
      <c r="D347" s="73"/>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6">
      <c r="A348" s="27"/>
      <c r="B348" s="27"/>
      <c r="C348" s="27"/>
      <c r="D348" s="73"/>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6">
      <c r="A349" s="27"/>
      <c r="B349" s="27"/>
      <c r="C349" s="27"/>
      <c r="D349" s="73"/>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6">
      <c r="A350" s="27"/>
      <c r="B350" s="27"/>
      <c r="C350" s="27"/>
      <c r="D350" s="73"/>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6">
      <c r="A351" s="27"/>
      <c r="B351" s="27"/>
      <c r="C351" s="27"/>
      <c r="D351" s="73"/>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6">
      <c r="A352" s="27"/>
      <c r="B352" s="27"/>
      <c r="C352" s="27"/>
      <c r="D352" s="73"/>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6">
      <c r="A353" s="27"/>
      <c r="B353" s="27"/>
      <c r="C353" s="27"/>
      <c r="D353" s="73"/>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6">
      <c r="A354" s="27"/>
      <c r="B354" s="27"/>
      <c r="C354" s="27"/>
      <c r="D354" s="73"/>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6">
      <c r="A355" s="27"/>
      <c r="B355" s="27"/>
      <c r="C355" s="27"/>
      <c r="D355" s="73"/>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6">
      <c r="A356" s="27"/>
      <c r="B356" s="27"/>
      <c r="C356" s="27"/>
      <c r="D356" s="73"/>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6">
      <c r="A357" s="27"/>
      <c r="B357" s="27"/>
      <c r="C357" s="27"/>
      <c r="D357" s="73"/>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6">
      <c r="A358" s="27"/>
      <c r="B358" s="27"/>
      <c r="C358" s="27"/>
      <c r="D358" s="73"/>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6">
      <c r="A359" s="27"/>
      <c r="B359" s="27"/>
      <c r="C359" s="27"/>
      <c r="D359" s="73"/>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6">
      <c r="A360" s="27"/>
      <c r="B360" s="27"/>
      <c r="C360" s="27"/>
      <c r="D360" s="73"/>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6">
      <c r="A361" s="27"/>
      <c r="B361" s="27"/>
      <c r="C361" s="27"/>
      <c r="D361" s="73"/>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6">
      <c r="A362" s="27"/>
      <c r="B362" s="27"/>
      <c r="C362" s="27"/>
      <c r="D362" s="73"/>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6">
      <c r="A363" s="27"/>
      <c r="B363" s="27"/>
      <c r="C363" s="27"/>
      <c r="D363" s="73"/>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6">
      <c r="A364" s="27"/>
      <c r="B364" s="27"/>
      <c r="C364" s="27"/>
      <c r="D364" s="73"/>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6">
      <c r="A365" s="27"/>
      <c r="B365" s="27"/>
      <c r="C365" s="27"/>
      <c r="D365" s="73"/>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6">
      <c r="A366" s="27"/>
      <c r="B366" s="27"/>
      <c r="C366" s="27"/>
      <c r="D366" s="73"/>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6">
      <c r="A367" s="27"/>
      <c r="B367" s="27"/>
      <c r="C367" s="27"/>
      <c r="D367" s="73"/>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6">
      <c r="A368" s="27"/>
      <c r="B368" s="27"/>
      <c r="C368" s="27"/>
      <c r="D368" s="73"/>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6">
      <c r="A369" s="27"/>
      <c r="B369" s="27"/>
      <c r="C369" s="27"/>
      <c r="D369" s="73"/>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6">
      <c r="A370" s="27"/>
      <c r="B370" s="27"/>
      <c r="C370" s="27"/>
      <c r="D370" s="73"/>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6">
      <c r="A371" s="27"/>
      <c r="B371" s="27"/>
      <c r="C371" s="27"/>
      <c r="D371" s="73"/>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6">
      <c r="A372" s="27"/>
      <c r="B372" s="27"/>
      <c r="C372" s="27"/>
      <c r="D372" s="73"/>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6">
      <c r="A373" s="27"/>
      <c r="B373" s="27"/>
      <c r="C373" s="27"/>
      <c r="D373" s="73"/>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6">
      <c r="A374" s="27"/>
      <c r="B374" s="27"/>
      <c r="C374" s="27"/>
      <c r="D374" s="73"/>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6">
      <c r="A375" s="27"/>
      <c r="B375" s="27"/>
      <c r="C375" s="27"/>
      <c r="D375" s="73"/>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6">
      <c r="A376" s="27"/>
      <c r="B376" s="27"/>
      <c r="C376" s="27"/>
      <c r="D376" s="73"/>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6">
      <c r="A377" s="27"/>
      <c r="B377" s="27"/>
      <c r="C377" s="27"/>
      <c r="D377" s="73"/>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6">
      <c r="A378" s="27"/>
      <c r="B378" s="27"/>
      <c r="C378" s="27"/>
      <c r="D378" s="73"/>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6">
      <c r="A379" s="27"/>
      <c r="B379" s="27"/>
      <c r="C379" s="27"/>
      <c r="D379" s="73"/>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6">
      <c r="A380" s="27"/>
      <c r="B380" s="27"/>
      <c r="C380" s="27"/>
      <c r="D380" s="73"/>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6">
      <c r="A381" s="27"/>
      <c r="B381" s="27"/>
      <c r="C381" s="27"/>
      <c r="D381" s="73"/>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6">
      <c r="A382" s="27"/>
      <c r="B382" s="27"/>
      <c r="C382" s="27"/>
      <c r="D382" s="73"/>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6">
      <c r="A383" s="27"/>
      <c r="B383" s="27"/>
      <c r="C383" s="27"/>
      <c r="D383" s="73"/>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6">
      <c r="A384" s="27"/>
      <c r="B384" s="27"/>
      <c r="C384" s="27"/>
      <c r="D384" s="73"/>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6">
      <c r="A385" s="27"/>
      <c r="B385" s="27"/>
      <c r="C385" s="27"/>
      <c r="D385" s="73"/>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6">
      <c r="A386" s="27"/>
      <c r="B386" s="27"/>
      <c r="C386" s="27"/>
      <c r="D386" s="73"/>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6">
      <c r="A387" s="27"/>
      <c r="B387" s="27"/>
      <c r="C387" s="27"/>
      <c r="D387" s="73"/>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6">
      <c r="A388" s="27"/>
      <c r="B388" s="27"/>
      <c r="C388" s="27"/>
      <c r="D388" s="73"/>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6">
      <c r="A389" s="27"/>
      <c r="B389" s="27"/>
      <c r="C389" s="27"/>
      <c r="D389" s="73"/>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6">
      <c r="A390" s="27"/>
      <c r="B390" s="27"/>
      <c r="C390" s="27"/>
      <c r="D390" s="73"/>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6">
      <c r="A391" s="27"/>
      <c r="B391" s="27"/>
      <c r="C391" s="27"/>
      <c r="D391" s="73"/>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6">
      <c r="A392" s="27"/>
      <c r="B392" s="27"/>
      <c r="C392" s="27"/>
      <c r="D392" s="73"/>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6">
      <c r="A393" s="27"/>
      <c r="B393" s="27"/>
      <c r="C393" s="27"/>
      <c r="D393" s="73"/>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6">
      <c r="A394" s="27"/>
      <c r="B394" s="27"/>
      <c r="C394" s="27"/>
      <c r="D394" s="73"/>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6">
      <c r="A395" s="27"/>
      <c r="B395" s="27"/>
      <c r="C395" s="27"/>
      <c r="D395" s="73"/>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6">
      <c r="A396" s="27"/>
      <c r="B396" s="27"/>
      <c r="C396" s="27"/>
      <c r="D396" s="73"/>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6">
      <c r="A397" s="27"/>
      <c r="B397" s="27"/>
      <c r="C397" s="27"/>
      <c r="D397" s="73"/>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6">
      <c r="A398" s="27"/>
      <c r="B398" s="27"/>
      <c r="C398" s="27"/>
      <c r="D398" s="73"/>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6">
      <c r="A399" s="27"/>
      <c r="B399" s="27"/>
      <c r="C399" s="27"/>
      <c r="D399" s="73"/>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6">
      <c r="A400" s="27"/>
      <c r="B400" s="27"/>
      <c r="C400" s="27"/>
      <c r="D400" s="73"/>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6">
      <c r="A401" s="27"/>
      <c r="B401" s="27"/>
      <c r="C401" s="27"/>
      <c r="D401" s="73"/>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6">
      <c r="A402" s="27"/>
      <c r="B402" s="27"/>
      <c r="C402" s="27"/>
      <c r="D402" s="73"/>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6">
      <c r="A403" s="27"/>
      <c r="B403" s="27"/>
      <c r="C403" s="27"/>
      <c r="D403" s="73"/>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6">
      <c r="A404" s="27"/>
      <c r="B404" s="27"/>
      <c r="C404" s="27"/>
      <c r="D404" s="73"/>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6">
      <c r="A405" s="27"/>
      <c r="B405" s="27"/>
      <c r="C405" s="27"/>
      <c r="D405" s="73"/>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6">
      <c r="A406" s="27"/>
      <c r="B406" s="27"/>
      <c r="C406" s="27"/>
      <c r="D406" s="73"/>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6">
      <c r="A407" s="27"/>
      <c r="B407" s="27"/>
      <c r="C407" s="27"/>
      <c r="D407" s="73"/>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6">
      <c r="A408" s="27"/>
      <c r="B408" s="27"/>
      <c r="C408" s="27"/>
      <c r="D408" s="73"/>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6">
      <c r="A409" s="27"/>
      <c r="B409" s="27"/>
      <c r="C409" s="27"/>
      <c r="D409" s="73"/>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6">
      <c r="A410" s="27"/>
      <c r="B410" s="27"/>
      <c r="C410" s="27"/>
      <c r="D410" s="73"/>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6">
      <c r="A411" s="27"/>
      <c r="B411" s="27"/>
      <c r="C411" s="27"/>
      <c r="D411" s="73"/>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6">
      <c r="A412" s="27"/>
      <c r="B412" s="27"/>
      <c r="C412" s="27"/>
      <c r="D412" s="73"/>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6">
      <c r="A413" s="27"/>
      <c r="B413" s="27"/>
      <c r="C413" s="27"/>
      <c r="D413" s="73"/>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6">
      <c r="A414" s="27"/>
      <c r="B414" s="27"/>
      <c r="C414" s="27"/>
      <c r="D414" s="73"/>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6">
      <c r="A415" s="27"/>
      <c r="B415" s="27"/>
      <c r="C415" s="27"/>
      <c r="D415" s="73"/>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6">
      <c r="A416" s="27"/>
      <c r="B416" s="27"/>
      <c r="C416" s="27"/>
      <c r="D416" s="73"/>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6">
      <c r="A417" s="27"/>
      <c r="B417" s="27"/>
      <c r="C417" s="27"/>
      <c r="D417" s="73"/>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6">
      <c r="A418" s="27"/>
      <c r="B418" s="27"/>
      <c r="C418" s="27"/>
      <c r="D418" s="73"/>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6">
      <c r="A419" s="27"/>
      <c r="B419" s="27"/>
      <c r="C419" s="27"/>
      <c r="D419" s="73"/>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6">
      <c r="A420" s="27"/>
      <c r="B420" s="27"/>
      <c r="C420" s="27"/>
      <c r="D420" s="73"/>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6">
      <c r="A421" s="27"/>
      <c r="B421" s="27"/>
      <c r="C421" s="27"/>
      <c r="D421" s="73"/>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6">
      <c r="A422" s="27"/>
      <c r="B422" s="27"/>
      <c r="C422" s="27"/>
      <c r="D422" s="73"/>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6">
      <c r="A423" s="27"/>
      <c r="B423" s="27"/>
      <c r="C423" s="27"/>
      <c r="D423" s="73"/>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6">
      <c r="A424" s="27"/>
      <c r="B424" s="27"/>
      <c r="C424" s="27"/>
      <c r="D424" s="73"/>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6">
      <c r="A425" s="27"/>
      <c r="B425" s="27"/>
      <c r="C425" s="27"/>
      <c r="D425" s="73"/>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6">
      <c r="A426" s="27"/>
      <c r="B426" s="27"/>
      <c r="C426" s="27"/>
      <c r="D426" s="73"/>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6">
      <c r="A427" s="27"/>
      <c r="B427" s="27"/>
      <c r="C427" s="27"/>
      <c r="D427" s="73"/>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6">
      <c r="A428" s="27"/>
      <c r="B428" s="27"/>
      <c r="C428" s="27"/>
      <c r="D428" s="73"/>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6">
      <c r="A429" s="27"/>
      <c r="B429" s="27"/>
      <c r="C429" s="27"/>
      <c r="D429" s="73"/>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6">
      <c r="A430" s="27"/>
      <c r="B430" s="27"/>
      <c r="C430" s="27"/>
      <c r="D430" s="73"/>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6">
      <c r="A431" s="27"/>
      <c r="B431" s="27"/>
      <c r="C431" s="27"/>
      <c r="D431" s="73"/>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6">
      <c r="A432" s="27"/>
      <c r="B432" s="27"/>
      <c r="C432" s="27"/>
      <c r="D432" s="73"/>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6">
      <c r="A433" s="27"/>
      <c r="B433" s="27"/>
      <c r="C433" s="27"/>
      <c r="D433" s="73"/>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6">
      <c r="A434" s="27"/>
      <c r="B434" s="27"/>
      <c r="C434" s="27"/>
      <c r="D434" s="73"/>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6">
      <c r="A435" s="27"/>
      <c r="B435" s="27"/>
      <c r="C435" s="27"/>
      <c r="D435" s="73"/>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6">
      <c r="A436" s="27"/>
      <c r="B436" s="27"/>
      <c r="C436" s="27"/>
      <c r="D436" s="73"/>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6">
      <c r="A437" s="27"/>
      <c r="B437" s="27"/>
      <c r="C437" s="27"/>
      <c r="D437" s="73"/>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6">
      <c r="A438" s="27"/>
      <c r="B438" s="27"/>
      <c r="C438" s="27"/>
      <c r="D438" s="73"/>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6">
      <c r="A439" s="27"/>
      <c r="B439" s="27"/>
      <c r="C439" s="27"/>
      <c r="D439" s="73"/>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6">
      <c r="A440" s="27"/>
      <c r="B440" s="27"/>
      <c r="C440" s="27"/>
      <c r="D440" s="73"/>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6">
      <c r="A441" s="27"/>
      <c r="B441" s="27"/>
      <c r="C441" s="27"/>
      <c r="D441" s="73"/>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6">
      <c r="A442" s="27"/>
      <c r="B442" s="27"/>
      <c r="C442" s="27"/>
      <c r="D442" s="73"/>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6">
      <c r="A443" s="27"/>
      <c r="B443" s="27"/>
      <c r="C443" s="27"/>
      <c r="D443" s="73"/>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6">
      <c r="A444" s="27"/>
      <c r="B444" s="27"/>
      <c r="C444" s="27"/>
      <c r="D444" s="73"/>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6">
      <c r="A445" s="27"/>
      <c r="B445" s="27"/>
      <c r="C445" s="27"/>
      <c r="D445" s="73"/>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6">
      <c r="A446" s="27"/>
      <c r="B446" s="27"/>
      <c r="C446" s="27"/>
      <c r="D446" s="73"/>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6">
      <c r="A447" s="27"/>
      <c r="B447" s="27"/>
      <c r="C447" s="27"/>
      <c r="D447" s="73"/>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6">
      <c r="A448" s="27"/>
      <c r="B448" s="27"/>
      <c r="C448" s="27"/>
      <c r="D448" s="73"/>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6">
      <c r="A449" s="27"/>
      <c r="B449" s="27"/>
      <c r="C449" s="27"/>
      <c r="D449" s="73"/>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6">
      <c r="A450" s="27"/>
      <c r="B450" s="27"/>
      <c r="C450" s="27"/>
      <c r="D450" s="73"/>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6">
      <c r="A451" s="27"/>
      <c r="B451" s="27"/>
      <c r="C451" s="27"/>
      <c r="D451" s="73"/>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6">
      <c r="A452" s="27"/>
      <c r="B452" s="27"/>
      <c r="C452" s="27"/>
      <c r="D452" s="73"/>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6">
      <c r="A453" s="27"/>
      <c r="B453" s="27"/>
      <c r="C453" s="27"/>
      <c r="D453" s="73"/>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6">
      <c r="A454" s="27"/>
      <c r="B454" s="27"/>
      <c r="C454" s="27"/>
      <c r="D454" s="73"/>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6">
      <c r="A455" s="27"/>
      <c r="B455" s="27"/>
      <c r="C455" s="27"/>
      <c r="D455" s="73"/>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6">
      <c r="A456" s="27"/>
      <c r="B456" s="27"/>
      <c r="C456" s="27"/>
      <c r="D456" s="73"/>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6">
      <c r="A457" s="27"/>
      <c r="B457" s="27"/>
      <c r="C457" s="27"/>
      <c r="D457" s="73"/>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6">
      <c r="A458" s="27"/>
      <c r="B458" s="27"/>
      <c r="C458" s="27"/>
      <c r="D458" s="73"/>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6">
      <c r="A459" s="27"/>
      <c r="B459" s="27"/>
      <c r="C459" s="27"/>
      <c r="D459" s="73"/>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6">
      <c r="A460" s="27"/>
      <c r="B460" s="27"/>
      <c r="C460" s="27"/>
      <c r="D460" s="73"/>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6">
      <c r="A461" s="27"/>
      <c r="B461" s="27"/>
      <c r="C461" s="27"/>
      <c r="D461" s="73"/>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6">
      <c r="A462" s="27"/>
      <c r="B462" s="27"/>
      <c r="C462" s="27"/>
      <c r="D462" s="73"/>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6">
      <c r="A463" s="27"/>
      <c r="B463" s="27"/>
      <c r="C463" s="27"/>
      <c r="D463" s="73"/>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6">
      <c r="A464" s="27"/>
      <c r="B464" s="27"/>
      <c r="C464" s="27"/>
      <c r="D464" s="73"/>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6">
      <c r="A465" s="27"/>
      <c r="B465" s="27"/>
      <c r="C465" s="27"/>
      <c r="D465" s="73"/>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6">
      <c r="A466" s="27"/>
      <c r="B466" s="27"/>
      <c r="C466" s="27"/>
      <c r="D466" s="73"/>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6">
      <c r="A467" s="27"/>
      <c r="B467" s="27"/>
      <c r="C467" s="27"/>
      <c r="D467" s="73"/>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6">
      <c r="A468" s="27"/>
      <c r="B468" s="27"/>
      <c r="C468" s="27"/>
      <c r="D468" s="73"/>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6">
      <c r="A469" s="27"/>
      <c r="B469" s="27"/>
      <c r="C469" s="27"/>
      <c r="D469" s="73"/>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6">
      <c r="A470" s="27"/>
      <c r="B470" s="27"/>
      <c r="C470" s="27"/>
      <c r="D470" s="73"/>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6">
      <c r="A471" s="27"/>
      <c r="B471" s="27"/>
      <c r="C471" s="27"/>
      <c r="D471" s="73"/>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6">
      <c r="A472" s="27"/>
      <c r="B472" s="27"/>
      <c r="C472" s="27"/>
      <c r="D472" s="73"/>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6">
      <c r="A473" s="27"/>
      <c r="B473" s="27"/>
      <c r="C473" s="27"/>
      <c r="D473" s="73"/>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6">
      <c r="A474" s="27"/>
      <c r="B474" s="27"/>
      <c r="C474" s="27"/>
      <c r="D474" s="73"/>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6">
      <c r="A475" s="27"/>
      <c r="B475" s="27"/>
      <c r="C475" s="27"/>
      <c r="D475" s="73"/>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6">
      <c r="A476" s="27"/>
      <c r="B476" s="27"/>
      <c r="C476" s="27"/>
      <c r="D476" s="73"/>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6">
      <c r="A477" s="27"/>
      <c r="B477" s="27"/>
      <c r="C477" s="27"/>
      <c r="D477" s="73"/>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6">
      <c r="A478" s="27"/>
      <c r="B478" s="27"/>
      <c r="C478" s="27"/>
      <c r="D478" s="73"/>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6">
      <c r="A479" s="27"/>
      <c r="B479" s="27"/>
      <c r="C479" s="27"/>
      <c r="D479" s="73"/>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6">
      <c r="A480" s="27"/>
      <c r="B480" s="27"/>
      <c r="C480" s="27"/>
      <c r="D480" s="73"/>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6">
      <c r="A481" s="27"/>
      <c r="B481" s="27"/>
      <c r="C481" s="27"/>
      <c r="D481" s="73"/>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6">
      <c r="A482" s="27"/>
      <c r="B482" s="27"/>
      <c r="C482" s="27"/>
      <c r="D482" s="73"/>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6">
      <c r="A483" s="27"/>
      <c r="B483" s="27"/>
      <c r="C483" s="27"/>
      <c r="D483" s="73"/>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6">
      <c r="A484" s="27"/>
      <c r="B484" s="27"/>
      <c r="C484" s="27"/>
      <c r="D484" s="73"/>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6">
      <c r="A485" s="27"/>
      <c r="B485" s="27"/>
      <c r="C485" s="27"/>
      <c r="D485" s="73"/>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6">
      <c r="A486" s="27"/>
      <c r="B486" s="27"/>
      <c r="C486" s="27"/>
      <c r="D486" s="73"/>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6">
      <c r="A487" s="27"/>
      <c r="B487" s="27"/>
      <c r="C487" s="27"/>
      <c r="D487" s="73"/>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6">
      <c r="A488" s="27"/>
      <c r="B488" s="27"/>
      <c r="C488" s="27"/>
      <c r="D488" s="73"/>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6">
      <c r="A489" s="27"/>
      <c r="B489" s="27"/>
      <c r="C489" s="27"/>
      <c r="D489" s="73"/>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6">
      <c r="A490" s="27"/>
      <c r="B490" s="27"/>
      <c r="C490" s="27"/>
      <c r="D490" s="73"/>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6">
      <c r="A491" s="27"/>
      <c r="B491" s="27"/>
      <c r="C491" s="27"/>
      <c r="D491" s="73"/>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6">
      <c r="A492" s="27"/>
      <c r="B492" s="27"/>
      <c r="C492" s="27"/>
      <c r="D492" s="73"/>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6">
      <c r="A493" s="27"/>
      <c r="B493" s="27"/>
      <c r="C493" s="27"/>
      <c r="D493" s="73"/>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6">
      <c r="A494" s="27"/>
      <c r="B494" s="27"/>
      <c r="C494" s="27"/>
      <c r="D494" s="73"/>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6">
      <c r="A495" s="27"/>
      <c r="B495" s="27"/>
      <c r="C495" s="27"/>
      <c r="D495" s="73"/>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6">
      <c r="A496" s="27"/>
      <c r="B496" s="27"/>
      <c r="C496" s="27"/>
      <c r="D496" s="73"/>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6">
      <c r="A497" s="27"/>
      <c r="B497" s="27"/>
      <c r="C497" s="27"/>
      <c r="D497" s="73"/>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6">
      <c r="A498" s="27"/>
      <c r="B498" s="27"/>
      <c r="C498" s="27"/>
      <c r="D498" s="73"/>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6">
      <c r="A499" s="27"/>
      <c r="B499" s="27"/>
      <c r="C499" s="27"/>
      <c r="D499" s="73"/>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6">
      <c r="A500" s="27"/>
      <c r="B500" s="27"/>
      <c r="C500" s="27"/>
      <c r="D500" s="73"/>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6">
      <c r="A501" s="27"/>
      <c r="B501" s="27"/>
      <c r="C501" s="27"/>
      <c r="D501" s="73"/>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6">
      <c r="A502" s="27"/>
      <c r="B502" s="27"/>
      <c r="C502" s="27"/>
      <c r="D502" s="73"/>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6">
      <c r="A503" s="27"/>
      <c r="B503" s="27"/>
      <c r="C503" s="27"/>
      <c r="D503" s="73"/>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6">
      <c r="A504" s="27"/>
      <c r="B504" s="27"/>
      <c r="C504" s="27"/>
      <c r="D504" s="73"/>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6">
      <c r="A505" s="27"/>
      <c r="B505" s="27"/>
      <c r="C505" s="27"/>
      <c r="D505" s="73"/>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6">
      <c r="A506" s="27"/>
      <c r="B506" s="27"/>
      <c r="C506" s="27"/>
      <c r="D506" s="73"/>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6">
      <c r="A507" s="27"/>
      <c r="B507" s="27"/>
      <c r="C507" s="27"/>
      <c r="D507" s="73"/>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6">
      <c r="A508" s="27"/>
      <c r="B508" s="27"/>
      <c r="C508" s="27"/>
      <c r="D508" s="73"/>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6">
      <c r="A509" s="27"/>
      <c r="B509" s="27"/>
      <c r="C509" s="27"/>
      <c r="D509" s="73"/>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6">
      <c r="A510" s="27"/>
      <c r="B510" s="27"/>
      <c r="C510" s="27"/>
      <c r="D510" s="73"/>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6">
      <c r="A511" s="27"/>
      <c r="B511" s="27"/>
      <c r="C511" s="27"/>
      <c r="D511" s="73"/>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6">
      <c r="A512" s="27"/>
      <c r="B512" s="27"/>
      <c r="C512" s="27"/>
      <c r="D512" s="73"/>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6">
      <c r="A513" s="27"/>
      <c r="B513" s="27"/>
      <c r="C513" s="27"/>
      <c r="D513" s="73"/>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6">
      <c r="A514" s="27"/>
      <c r="B514" s="27"/>
      <c r="C514" s="27"/>
      <c r="D514" s="73"/>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6">
      <c r="A515" s="27"/>
      <c r="B515" s="27"/>
      <c r="C515" s="27"/>
      <c r="D515" s="73"/>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6">
      <c r="A516" s="27"/>
      <c r="B516" s="27"/>
      <c r="C516" s="27"/>
      <c r="D516" s="73"/>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6">
      <c r="A517" s="27"/>
      <c r="B517" s="27"/>
      <c r="C517" s="27"/>
      <c r="D517" s="73"/>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6">
      <c r="A518" s="27"/>
      <c r="B518" s="27"/>
      <c r="C518" s="27"/>
      <c r="D518" s="73"/>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6">
      <c r="A519" s="27"/>
      <c r="B519" s="27"/>
      <c r="C519" s="27"/>
      <c r="D519" s="73"/>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6">
      <c r="A520" s="27"/>
      <c r="B520" s="27"/>
      <c r="C520" s="27"/>
      <c r="D520" s="73"/>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6">
      <c r="A521" s="27"/>
      <c r="B521" s="27"/>
      <c r="C521" s="27"/>
      <c r="D521" s="73"/>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6">
      <c r="A522" s="27"/>
      <c r="B522" s="27"/>
      <c r="C522" s="27"/>
      <c r="D522" s="73"/>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6">
      <c r="A523" s="27"/>
      <c r="B523" s="27"/>
      <c r="C523" s="27"/>
      <c r="D523" s="73"/>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6">
      <c r="A524" s="27"/>
      <c r="B524" s="27"/>
      <c r="C524" s="27"/>
      <c r="D524" s="73"/>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6">
      <c r="A525" s="27"/>
      <c r="B525" s="27"/>
      <c r="C525" s="27"/>
      <c r="D525" s="73"/>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6">
      <c r="A526" s="27"/>
      <c r="B526" s="27"/>
      <c r="C526" s="27"/>
      <c r="D526" s="73"/>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6">
      <c r="A527" s="27"/>
      <c r="B527" s="27"/>
      <c r="C527" s="27"/>
      <c r="D527" s="73"/>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6">
      <c r="A528" s="27"/>
      <c r="B528" s="27"/>
      <c r="C528" s="27"/>
      <c r="D528" s="73"/>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6">
      <c r="A529" s="27"/>
      <c r="B529" s="27"/>
      <c r="C529" s="27"/>
      <c r="D529" s="73"/>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6">
      <c r="A530" s="27"/>
      <c r="B530" s="27"/>
      <c r="C530" s="27"/>
      <c r="D530" s="73"/>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6">
      <c r="A531" s="27"/>
      <c r="B531" s="27"/>
      <c r="C531" s="27"/>
      <c r="D531" s="73"/>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6">
      <c r="A532" s="27"/>
      <c r="B532" s="27"/>
      <c r="C532" s="27"/>
      <c r="D532" s="73"/>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6">
      <c r="A533" s="27"/>
      <c r="B533" s="27"/>
      <c r="C533" s="27"/>
      <c r="D533" s="73"/>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6">
      <c r="A534" s="27"/>
      <c r="B534" s="27"/>
      <c r="C534" s="27"/>
      <c r="D534" s="73"/>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6">
      <c r="A535" s="27"/>
      <c r="B535" s="27"/>
      <c r="C535" s="27"/>
      <c r="D535" s="73"/>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6">
      <c r="A536" s="27"/>
      <c r="B536" s="27"/>
      <c r="C536" s="27"/>
      <c r="D536" s="73"/>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6">
      <c r="A537" s="27"/>
      <c r="B537" s="27"/>
      <c r="C537" s="27"/>
      <c r="D537" s="73"/>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6">
      <c r="A538" s="27"/>
      <c r="B538" s="27"/>
      <c r="C538" s="27"/>
      <c r="D538" s="73"/>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6">
      <c r="A539" s="27"/>
      <c r="B539" s="27"/>
      <c r="C539" s="27"/>
      <c r="D539" s="73"/>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6">
      <c r="A540" s="27"/>
      <c r="B540" s="27"/>
      <c r="C540" s="27"/>
      <c r="D540" s="73"/>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6">
      <c r="A541" s="27"/>
      <c r="B541" s="27"/>
      <c r="C541" s="27"/>
      <c r="D541" s="73"/>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6">
      <c r="A542" s="27"/>
      <c r="B542" s="27"/>
      <c r="C542" s="27"/>
      <c r="D542" s="73"/>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6">
      <c r="A543" s="27"/>
      <c r="B543" s="27"/>
      <c r="C543" s="27"/>
      <c r="D543" s="73"/>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6">
      <c r="A544" s="27"/>
      <c r="B544" s="27"/>
      <c r="C544" s="27"/>
      <c r="D544" s="73"/>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6">
      <c r="A545" s="27"/>
      <c r="B545" s="27"/>
      <c r="C545" s="27"/>
      <c r="D545" s="73"/>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6">
      <c r="A546" s="27"/>
      <c r="B546" s="27"/>
      <c r="C546" s="27"/>
      <c r="D546" s="73"/>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6">
      <c r="A547" s="27"/>
      <c r="B547" s="27"/>
      <c r="C547" s="27"/>
      <c r="D547" s="73"/>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6">
      <c r="A548" s="27"/>
      <c r="B548" s="27"/>
      <c r="C548" s="27"/>
      <c r="D548" s="73"/>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6">
      <c r="A549" s="27"/>
      <c r="B549" s="27"/>
      <c r="C549" s="27"/>
      <c r="D549" s="73"/>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6">
      <c r="A550" s="27"/>
      <c r="B550" s="27"/>
      <c r="C550" s="27"/>
      <c r="D550" s="73"/>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6">
      <c r="A551" s="27"/>
      <c r="B551" s="27"/>
      <c r="C551" s="27"/>
      <c r="D551" s="73"/>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6">
      <c r="A552" s="27"/>
      <c r="B552" s="27"/>
      <c r="C552" s="27"/>
      <c r="D552" s="73"/>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6">
      <c r="A553" s="27"/>
      <c r="B553" s="27"/>
      <c r="C553" s="27"/>
      <c r="D553" s="73"/>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6">
      <c r="A554" s="27"/>
      <c r="B554" s="27"/>
      <c r="C554" s="27"/>
      <c r="D554" s="73"/>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6">
      <c r="A555" s="27"/>
      <c r="B555" s="27"/>
      <c r="C555" s="27"/>
      <c r="D555" s="73"/>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6">
      <c r="A556" s="27"/>
      <c r="B556" s="27"/>
      <c r="C556" s="27"/>
      <c r="D556" s="73"/>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6">
      <c r="A557" s="27"/>
      <c r="B557" s="27"/>
      <c r="C557" s="27"/>
      <c r="D557" s="73"/>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6">
      <c r="A558" s="27"/>
      <c r="B558" s="27"/>
      <c r="C558" s="27"/>
      <c r="D558" s="73"/>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6">
      <c r="A559" s="27"/>
      <c r="B559" s="27"/>
      <c r="C559" s="27"/>
      <c r="D559" s="73"/>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6">
      <c r="A560" s="27"/>
      <c r="B560" s="27"/>
      <c r="C560" s="27"/>
      <c r="D560" s="73"/>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6">
      <c r="A561" s="27"/>
      <c r="B561" s="27"/>
      <c r="C561" s="27"/>
      <c r="D561" s="73"/>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6">
      <c r="A562" s="27"/>
      <c r="B562" s="27"/>
      <c r="C562" s="27"/>
      <c r="D562" s="73"/>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6">
      <c r="A563" s="27"/>
      <c r="B563" s="27"/>
      <c r="C563" s="27"/>
      <c r="D563" s="73"/>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6">
      <c r="A564" s="27"/>
      <c r="B564" s="27"/>
      <c r="C564" s="27"/>
      <c r="D564" s="73"/>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6">
      <c r="A565" s="27"/>
      <c r="B565" s="27"/>
      <c r="C565" s="27"/>
      <c r="D565" s="73"/>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6">
      <c r="A566" s="27"/>
      <c r="B566" s="27"/>
      <c r="C566" s="27"/>
      <c r="D566" s="73"/>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6">
      <c r="A567" s="27"/>
      <c r="B567" s="27"/>
      <c r="C567" s="27"/>
      <c r="D567" s="73"/>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6">
      <c r="A568" s="27"/>
      <c r="B568" s="27"/>
      <c r="C568" s="27"/>
      <c r="D568" s="73"/>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6">
      <c r="A569" s="27"/>
      <c r="B569" s="27"/>
      <c r="C569" s="27"/>
      <c r="D569" s="73"/>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6">
      <c r="A570" s="27"/>
      <c r="B570" s="27"/>
      <c r="C570" s="27"/>
      <c r="D570" s="73"/>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6">
      <c r="A571" s="27"/>
      <c r="B571" s="27"/>
      <c r="C571" s="27"/>
      <c r="D571" s="73"/>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6">
      <c r="A572" s="27"/>
      <c r="B572" s="27"/>
      <c r="C572" s="27"/>
      <c r="D572" s="73"/>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6">
      <c r="A573" s="27"/>
      <c r="B573" s="27"/>
      <c r="C573" s="27"/>
      <c r="D573" s="73"/>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6">
      <c r="A574" s="27"/>
      <c r="B574" s="27"/>
      <c r="C574" s="27"/>
      <c r="D574" s="73"/>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6">
      <c r="A575" s="27"/>
      <c r="B575" s="27"/>
      <c r="C575" s="27"/>
      <c r="D575" s="73"/>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6">
      <c r="A576" s="27"/>
      <c r="B576" s="27"/>
      <c r="C576" s="27"/>
      <c r="D576" s="73"/>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6">
      <c r="A577" s="27"/>
      <c r="B577" s="27"/>
      <c r="C577" s="27"/>
      <c r="D577" s="73"/>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6">
      <c r="A578" s="27"/>
      <c r="B578" s="27"/>
      <c r="C578" s="27"/>
      <c r="D578" s="73"/>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6">
      <c r="A579" s="27"/>
      <c r="B579" s="27"/>
      <c r="C579" s="27"/>
      <c r="D579" s="73"/>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6">
      <c r="A580" s="27"/>
      <c r="B580" s="27"/>
      <c r="C580" s="27"/>
      <c r="D580" s="73"/>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6">
      <c r="A581" s="27"/>
      <c r="B581" s="27"/>
      <c r="C581" s="27"/>
      <c r="D581" s="73"/>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6">
      <c r="A582" s="27"/>
      <c r="B582" s="27"/>
      <c r="C582" s="27"/>
      <c r="D582" s="73"/>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6">
      <c r="A583" s="27"/>
      <c r="B583" s="27"/>
      <c r="C583" s="27"/>
      <c r="D583" s="73"/>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6">
      <c r="A584" s="27"/>
      <c r="B584" s="27"/>
      <c r="C584" s="27"/>
      <c r="D584" s="73"/>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6">
      <c r="A585" s="27"/>
      <c r="B585" s="27"/>
      <c r="C585" s="27"/>
      <c r="D585" s="73"/>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6">
      <c r="A586" s="27"/>
      <c r="B586" s="27"/>
      <c r="C586" s="27"/>
      <c r="D586" s="73"/>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6">
      <c r="A587" s="27"/>
      <c r="B587" s="27"/>
      <c r="C587" s="27"/>
      <c r="D587" s="73"/>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6">
      <c r="A588" s="27"/>
      <c r="B588" s="27"/>
      <c r="C588" s="27"/>
      <c r="D588" s="73"/>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6">
      <c r="A589" s="27"/>
      <c r="B589" s="27"/>
      <c r="C589" s="27"/>
      <c r="D589" s="73"/>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6">
      <c r="A590" s="27"/>
      <c r="B590" s="27"/>
      <c r="C590" s="27"/>
      <c r="D590" s="73"/>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6">
      <c r="A591" s="27"/>
      <c r="B591" s="27"/>
      <c r="C591" s="27"/>
      <c r="D591" s="73"/>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6">
      <c r="A592" s="27"/>
      <c r="B592" s="27"/>
      <c r="C592" s="27"/>
      <c r="D592" s="73"/>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6">
      <c r="A593" s="27"/>
      <c r="B593" s="27"/>
      <c r="C593" s="27"/>
      <c r="D593" s="73"/>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6">
      <c r="A594" s="27"/>
      <c r="B594" s="27"/>
      <c r="C594" s="27"/>
      <c r="D594" s="73"/>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6">
      <c r="A595" s="27"/>
      <c r="B595" s="27"/>
      <c r="C595" s="27"/>
      <c r="D595" s="73"/>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6">
      <c r="A596" s="27"/>
      <c r="B596" s="27"/>
      <c r="C596" s="27"/>
      <c r="D596" s="73"/>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6">
      <c r="A597" s="27"/>
      <c r="B597" s="27"/>
      <c r="C597" s="27"/>
      <c r="D597" s="73"/>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6">
      <c r="A598" s="27"/>
      <c r="B598" s="27"/>
      <c r="C598" s="27"/>
      <c r="D598" s="73"/>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6">
      <c r="A599" s="27"/>
      <c r="B599" s="27"/>
      <c r="C599" s="27"/>
      <c r="D599" s="73"/>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6">
      <c r="A600" s="27"/>
      <c r="B600" s="27"/>
      <c r="C600" s="27"/>
      <c r="D600" s="73"/>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6">
      <c r="A601" s="27"/>
      <c r="B601" s="27"/>
      <c r="C601" s="27"/>
      <c r="D601" s="73"/>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6">
      <c r="A602" s="27"/>
      <c r="B602" s="27"/>
      <c r="C602" s="27"/>
      <c r="D602" s="73"/>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6">
      <c r="A603" s="27"/>
      <c r="B603" s="27"/>
      <c r="C603" s="27"/>
      <c r="D603" s="73"/>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6">
      <c r="A604" s="27"/>
      <c r="B604" s="27"/>
      <c r="C604" s="27"/>
      <c r="D604" s="73"/>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6">
      <c r="A605" s="27"/>
      <c r="B605" s="27"/>
      <c r="C605" s="27"/>
      <c r="D605" s="73"/>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6">
      <c r="A606" s="27"/>
      <c r="B606" s="27"/>
      <c r="C606" s="27"/>
      <c r="D606" s="73"/>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6">
      <c r="A607" s="27"/>
      <c r="B607" s="27"/>
      <c r="C607" s="27"/>
      <c r="D607" s="73"/>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6">
      <c r="A608" s="27"/>
      <c r="B608" s="27"/>
      <c r="C608" s="27"/>
      <c r="D608" s="73"/>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6">
      <c r="A609" s="27"/>
      <c r="B609" s="27"/>
      <c r="C609" s="27"/>
      <c r="D609" s="73"/>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6">
      <c r="A610" s="27"/>
      <c r="B610" s="27"/>
      <c r="C610" s="27"/>
      <c r="D610" s="73"/>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6">
      <c r="A611" s="27"/>
      <c r="B611" s="27"/>
      <c r="C611" s="27"/>
      <c r="D611" s="73"/>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6">
      <c r="A612" s="27"/>
      <c r="B612" s="27"/>
      <c r="C612" s="27"/>
      <c r="D612" s="73"/>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6">
      <c r="A613" s="27"/>
      <c r="B613" s="27"/>
      <c r="C613" s="27"/>
      <c r="D613" s="73"/>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6">
      <c r="A614" s="27"/>
      <c r="B614" s="27"/>
      <c r="C614" s="27"/>
      <c r="D614" s="73"/>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6">
      <c r="A615" s="27"/>
      <c r="B615" s="27"/>
      <c r="C615" s="27"/>
      <c r="D615" s="73"/>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6">
      <c r="A616" s="27"/>
      <c r="B616" s="27"/>
      <c r="C616" s="27"/>
      <c r="D616" s="73"/>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6">
      <c r="A617" s="27"/>
      <c r="B617" s="27"/>
      <c r="C617" s="27"/>
      <c r="D617" s="73"/>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6">
      <c r="A618" s="27"/>
      <c r="B618" s="27"/>
      <c r="C618" s="27"/>
      <c r="D618" s="73"/>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6">
      <c r="A619" s="27"/>
      <c r="B619" s="27"/>
      <c r="C619" s="27"/>
      <c r="D619" s="73"/>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6">
      <c r="A620" s="27"/>
      <c r="B620" s="27"/>
      <c r="C620" s="27"/>
      <c r="D620" s="73"/>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6">
      <c r="A621" s="27"/>
      <c r="B621" s="27"/>
      <c r="C621" s="27"/>
      <c r="D621" s="73"/>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6">
      <c r="A622" s="27"/>
      <c r="B622" s="27"/>
      <c r="C622" s="27"/>
      <c r="D622" s="73"/>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6">
      <c r="A623" s="27"/>
      <c r="B623" s="27"/>
      <c r="C623" s="27"/>
      <c r="D623" s="73"/>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6">
      <c r="A624" s="27"/>
      <c r="B624" s="27"/>
      <c r="C624" s="27"/>
      <c r="D624" s="73"/>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6">
      <c r="A625" s="27"/>
      <c r="B625" s="27"/>
      <c r="C625" s="27"/>
      <c r="D625" s="73"/>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6">
      <c r="A626" s="27"/>
      <c r="B626" s="27"/>
      <c r="C626" s="27"/>
      <c r="D626" s="73"/>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6">
      <c r="A627" s="27"/>
      <c r="B627" s="27"/>
      <c r="C627" s="27"/>
      <c r="D627" s="73"/>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6">
      <c r="A628" s="27"/>
      <c r="B628" s="27"/>
      <c r="C628" s="27"/>
      <c r="D628" s="73"/>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6">
      <c r="A629" s="27"/>
      <c r="B629" s="27"/>
      <c r="C629" s="27"/>
      <c r="D629" s="73"/>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6">
      <c r="A630" s="27"/>
      <c r="B630" s="27"/>
      <c r="C630" s="27"/>
      <c r="D630" s="73"/>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6">
      <c r="A631" s="27"/>
      <c r="B631" s="27"/>
      <c r="C631" s="27"/>
      <c r="D631" s="73"/>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6">
      <c r="A632" s="27"/>
      <c r="B632" s="27"/>
      <c r="C632" s="27"/>
      <c r="D632" s="73"/>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6">
      <c r="A633" s="27"/>
      <c r="B633" s="27"/>
      <c r="C633" s="27"/>
      <c r="D633" s="73"/>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6">
      <c r="A634" s="27"/>
      <c r="B634" s="27"/>
      <c r="C634" s="27"/>
      <c r="D634" s="73"/>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6">
      <c r="A635" s="27"/>
      <c r="B635" s="27"/>
      <c r="C635" s="27"/>
      <c r="D635" s="73"/>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6">
      <c r="A636" s="27"/>
      <c r="B636" s="27"/>
      <c r="C636" s="27"/>
      <c r="D636" s="73"/>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6">
      <c r="A637" s="27"/>
      <c r="B637" s="27"/>
      <c r="C637" s="27"/>
      <c r="D637" s="73"/>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6">
      <c r="A638" s="27"/>
      <c r="B638" s="27"/>
      <c r="C638" s="27"/>
      <c r="D638" s="73"/>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6">
      <c r="A639" s="27"/>
      <c r="B639" s="27"/>
      <c r="C639" s="27"/>
      <c r="D639" s="73"/>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6">
      <c r="A640" s="27"/>
      <c r="B640" s="27"/>
      <c r="C640" s="27"/>
      <c r="D640" s="73"/>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6">
      <c r="A641" s="27"/>
      <c r="B641" s="27"/>
      <c r="C641" s="27"/>
      <c r="D641" s="73"/>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6">
      <c r="A642" s="27"/>
      <c r="B642" s="27"/>
      <c r="C642" s="27"/>
      <c r="D642" s="73"/>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6">
      <c r="A643" s="27"/>
      <c r="B643" s="27"/>
      <c r="C643" s="27"/>
      <c r="D643" s="73"/>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6">
      <c r="A644" s="27"/>
      <c r="B644" s="27"/>
      <c r="C644" s="27"/>
      <c r="D644" s="73"/>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6">
      <c r="A645" s="27"/>
      <c r="B645" s="27"/>
      <c r="C645" s="27"/>
      <c r="D645" s="73"/>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6">
      <c r="A646" s="27"/>
      <c r="B646" s="27"/>
      <c r="C646" s="27"/>
      <c r="D646" s="73"/>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6">
      <c r="A647" s="27"/>
      <c r="B647" s="27"/>
      <c r="C647" s="27"/>
      <c r="D647" s="73"/>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6">
      <c r="A648" s="27"/>
      <c r="B648" s="27"/>
      <c r="C648" s="27"/>
      <c r="D648" s="73"/>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6">
      <c r="A649" s="27"/>
      <c r="B649" s="27"/>
      <c r="C649" s="27"/>
      <c r="D649" s="73"/>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6">
      <c r="A650" s="27"/>
      <c r="B650" s="27"/>
      <c r="C650" s="27"/>
      <c r="D650" s="73"/>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6">
      <c r="A651" s="27"/>
      <c r="B651" s="27"/>
      <c r="C651" s="27"/>
      <c r="D651" s="73"/>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6">
      <c r="A652" s="27"/>
      <c r="B652" s="27"/>
      <c r="C652" s="27"/>
      <c r="D652" s="73"/>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6">
      <c r="A653" s="27"/>
      <c r="B653" s="27"/>
      <c r="C653" s="27"/>
      <c r="D653" s="73"/>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6">
      <c r="A654" s="27"/>
      <c r="B654" s="27"/>
      <c r="C654" s="27"/>
      <c r="D654" s="73"/>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6">
      <c r="A655" s="27"/>
      <c r="B655" s="27"/>
      <c r="C655" s="27"/>
      <c r="D655" s="73"/>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6">
      <c r="A656" s="27"/>
      <c r="B656" s="27"/>
      <c r="C656" s="27"/>
      <c r="D656" s="73"/>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6">
      <c r="A657" s="27"/>
      <c r="B657" s="27"/>
      <c r="C657" s="27"/>
      <c r="D657" s="73"/>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6">
      <c r="A658" s="27"/>
      <c r="B658" s="27"/>
      <c r="C658" s="27"/>
      <c r="D658" s="73"/>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6">
      <c r="A659" s="27"/>
      <c r="B659" s="27"/>
      <c r="C659" s="27"/>
      <c r="D659" s="73"/>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6">
      <c r="A660" s="27"/>
      <c r="B660" s="27"/>
      <c r="C660" s="27"/>
      <c r="D660" s="73"/>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6">
      <c r="A661" s="27"/>
      <c r="B661" s="27"/>
      <c r="C661" s="27"/>
      <c r="D661" s="73"/>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6">
      <c r="A662" s="27"/>
      <c r="B662" s="27"/>
      <c r="C662" s="27"/>
      <c r="D662" s="73"/>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6">
      <c r="A663" s="27"/>
      <c r="B663" s="27"/>
      <c r="C663" s="27"/>
      <c r="D663" s="73"/>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6">
      <c r="A664" s="27"/>
      <c r="B664" s="27"/>
      <c r="C664" s="27"/>
      <c r="D664" s="73"/>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6">
      <c r="A665" s="27"/>
      <c r="B665" s="27"/>
      <c r="C665" s="27"/>
      <c r="D665" s="73"/>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6">
      <c r="A666" s="27"/>
      <c r="B666" s="27"/>
      <c r="C666" s="27"/>
      <c r="D666" s="73"/>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6">
      <c r="A667" s="27"/>
      <c r="B667" s="27"/>
      <c r="C667" s="27"/>
      <c r="D667" s="73"/>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6">
      <c r="A668" s="27"/>
      <c r="B668" s="27"/>
      <c r="C668" s="27"/>
      <c r="D668" s="73"/>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6">
      <c r="A669" s="27"/>
      <c r="B669" s="27"/>
      <c r="C669" s="27"/>
      <c r="D669" s="73"/>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6">
      <c r="A670" s="27"/>
      <c r="B670" s="27"/>
      <c r="C670" s="27"/>
      <c r="D670" s="73"/>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6">
      <c r="A671" s="27"/>
      <c r="B671" s="27"/>
      <c r="C671" s="27"/>
      <c r="D671" s="73"/>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6">
      <c r="A672" s="27"/>
      <c r="B672" s="27"/>
      <c r="C672" s="27"/>
      <c r="D672" s="73"/>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6">
      <c r="A673" s="27"/>
      <c r="B673" s="27"/>
      <c r="C673" s="27"/>
      <c r="D673" s="73"/>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6">
      <c r="A674" s="27"/>
      <c r="B674" s="27"/>
      <c r="C674" s="27"/>
      <c r="D674" s="73"/>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6">
      <c r="A675" s="27"/>
      <c r="B675" s="27"/>
      <c r="C675" s="27"/>
      <c r="D675" s="73"/>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6">
      <c r="A676" s="27"/>
      <c r="B676" s="27"/>
      <c r="C676" s="27"/>
      <c r="D676" s="73"/>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6">
      <c r="A677" s="27"/>
      <c r="B677" s="27"/>
      <c r="C677" s="27"/>
      <c r="D677" s="73"/>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6">
      <c r="A678" s="27"/>
      <c r="B678" s="27"/>
      <c r="C678" s="27"/>
      <c r="D678" s="73"/>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6">
      <c r="A679" s="27"/>
      <c r="B679" s="27"/>
      <c r="C679" s="27"/>
      <c r="D679" s="73"/>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6">
      <c r="A680" s="27"/>
      <c r="B680" s="27"/>
      <c r="C680" s="27"/>
      <c r="D680" s="73"/>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6">
      <c r="A681" s="27"/>
      <c r="B681" s="27"/>
      <c r="C681" s="27"/>
      <c r="D681" s="73"/>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6">
      <c r="A682" s="27"/>
      <c r="B682" s="27"/>
      <c r="C682" s="27"/>
      <c r="D682" s="73"/>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6">
      <c r="A683" s="27"/>
      <c r="B683" s="27"/>
      <c r="C683" s="27"/>
      <c r="D683" s="73"/>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6">
      <c r="A684" s="27"/>
      <c r="B684" s="27"/>
      <c r="C684" s="27"/>
      <c r="D684" s="73"/>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6">
      <c r="A685" s="27"/>
      <c r="B685" s="27"/>
      <c r="C685" s="27"/>
      <c r="D685" s="73"/>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6">
      <c r="A686" s="27"/>
      <c r="B686" s="27"/>
      <c r="C686" s="27"/>
      <c r="D686" s="73"/>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6">
      <c r="A687" s="27"/>
      <c r="B687" s="27"/>
      <c r="C687" s="27"/>
      <c r="D687" s="73"/>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6">
      <c r="A688" s="27"/>
      <c r="B688" s="27"/>
      <c r="C688" s="27"/>
      <c r="D688" s="73"/>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6">
      <c r="A689" s="27"/>
      <c r="B689" s="27"/>
      <c r="C689" s="27"/>
      <c r="D689" s="73"/>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6">
      <c r="A690" s="27"/>
      <c r="B690" s="27"/>
      <c r="C690" s="27"/>
      <c r="D690" s="73"/>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6">
      <c r="A691" s="27"/>
      <c r="B691" s="27"/>
      <c r="C691" s="27"/>
      <c r="D691" s="73"/>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6">
      <c r="A692" s="27"/>
      <c r="B692" s="27"/>
      <c r="C692" s="27"/>
      <c r="D692" s="73"/>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6">
      <c r="A693" s="27"/>
      <c r="B693" s="27"/>
      <c r="C693" s="27"/>
      <c r="D693" s="73"/>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6">
      <c r="A694" s="27"/>
      <c r="B694" s="27"/>
      <c r="C694" s="27"/>
      <c r="D694" s="73"/>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6">
      <c r="A695" s="27"/>
      <c r="B695" s="27"/>
      <c r="C695" s="27"/>
      <c r="D695" s="73"/>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6">
      <c r="A696" s="27"/>
      <c r="B696" s="27"/>
      <c r="C696" s="27"/>
      <c r="D696" s="73"/>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6">
      <c r="A697" s="27"/>
      <c r="B697" s="27"/>
      <c r="C697" s="27"/>
      <c r="D697" s="73"/>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6">
      <c r="A698" s="27"/>
      <c r="B698" s="27"/>
      <c r="C698" s="27"/>
      <c r="D698" s="73"/>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6">
      <c r="A699" s="27"/>
      <c r="B699" s="27"/>
      <c r="C699" s="27"/>
      <c r="D699" s="73"/>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6">
      <c r="A700" s="27"/>
      <c r="B700" s="27"/>
      <c r="C700" s="27"/>
      <c r="D700" s="73"/>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6">
      <c r="A701" s="27"/>
      <c r="B701" s="27"/>
      <c r="C701" s="27"/>
      <c r="D701" s="73"/>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6">
      <c r="A702" s="27"/>
      <c r="B702" s="27"/>
      <c r="C702" s="27"/>
      <c r="D702" s="73"/>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6">
      <c r="A703" s="27"/>
      <c r="B703" s="27"/>
      <c r="C703" s="27"/>
      <c r="D703" s="73"/>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6">
      <c r="A704" s="27"/>
      <c r="B704" s="27"/>
      <c r="C704" s="27"/>
      <c r="D704" s="73"/>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6">
      <c r="A705" s="27"/>
      <c r="B705" s="27"/>
      <c r="C705" s="27"/>
      <c r="D705" s="73"/>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6">
      <c r="A706" s="27"/>
      <c r="B706" s="27"/>
      <c r="C706" s="27"/>
      <c r="D706" s="73"/>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6">
      <c r="A707" s="27"/>
      <c r="B707" s="27"/>
      <c r="C707" s="27"/>
      <c r="D707" s="73"/>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6">
      <c r="A708" s="27"/>
      <c r="B708" s="27"/>
      <c r="C708" s="27"/>
      <c r="D708" s="73"/>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6">
      <c r="A709" s="27"/>
      <c r="B709" s="27"/>
      <c r="C709" s="27"/>
      <c r="D709" s="73"/>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6">
      <c r="A710" s="27"/>
      <c r="B710" s="27"/>
      <c r="C710" s="27"/>
      <c r="D710" s="73"/>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6">
      <c r="A711" s="27"/>
      <c r="B711" s="27"/>
      <c r="C711" s="27"/>
      <c r="D711" s="73"/>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6">
      <c r="A712" s="27"/>
      <c r="B712" s="27"/>
      <c r="C712" s="27"/>
      <c r="D712" s="73"/>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6">
      <c r="A713" s="27"/>
      <c r="B713" s="27"/>
      <c r="C713" s="27"/>
      <c r="D713" s="73"/>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6">
      <c r="A714" s="27"/>
      <c r="B714" s="27"/>
      <c r="C714" s="27"/>
      <c r="D714" s="73"/>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6">
      <c r="A715" s="27"/>
      <c r="B715" s="27"/>
      <c r="C715" s="27"/>
      <c r="D715" s="73"/>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6">
      <c r="A716" s="27"/>
      <c r="B716" s="27"/>
      <c r="C716" s="27"/>
      <c r="D716" s="73"/>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6">
      <c r="A717" s="27"/>
      <c r="B717" s="27"/>
      <c r="C717" s="27"/>
      <c r="D717" s="73"/>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6">
      <c r="A718" s="27"/>
      <c r="B718" s="27"/>
      <c r="C718" s="27"/>
      <c r="D718" s="73"/>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6">
      <c r="A719" s="27"/>
      <c r="B719" s="27"/>
      <c r="C719" s="27"/>
      <c r="D719" s="73"/>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6">
      <c r="A720" s="27"/>
      <c r="B720" s="27"/>
      <c r="C720" s="27"/>
      <c r="D720" s="73"/>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6">
      <c r="A721" s="27"/>
      <c r="B721" s="27"/>
      <c r="C721" s="27"/>
      <c r="D721" s="73"/>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6">
      <c r="A722" s="27"/>
      <c r="B722" s="27"/>
      <c r="C722" s="27"/>
      <c r="D722" s="73"/>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6">
      <c r="A723" s="27"/>
      <c r="B723" s="27"/>
      <c r="C723" s="27"/>
      <c r="D723" s="73"/>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6">
      <c r="A724" s="27"/>
      <c r="B724" s="27"/>
      <c r="C724" s="27"/>
      <c r="D724" s="73"/>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6">
      <c r="A725" s="27"/>
      <c r="B725" s="27"/>
      <c r="C725" s="27"/>
      <c r="D725" s="73"/>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6">
      <c r="A726" s="27"/>
      <c r="B726" s="27"/>
      <c r="C726" s="27"/>
      <c r="D726" s="73"/>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6">
      <c r="A727" s="27"/>
      <c r="B727" s="27"/>
      <c r="C727" s="27"/>
      <c r="D727" s="73"/>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6">
      <c r="A728" s="27"/>
      <c r="B728" s="27"/>
      <c r="C728" s="27"/>
      <c r="D728" s="73"/>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6">
      <c r="A729" s="27"/>
      <c r="B729" s="27"/>
      <c r="C729" s="27"/>
      <c r="D729" s="73"/>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6">
      <c r="A730" s="27"/>
      <c r="B730" s="27"/>
      <c r="C730" s="27"/>
      <c r="D730" s="73"/>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6">
      <c r="A731" s="27"/>
      <c r="B731" s="27"/>
      <c r="C731" s="27"/>
      <c r="D731" s="73"/>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6">
      <c r="A732" s="27"/>
      <c r="B732" s="27"/>
      <c r="C732" s="27"/>
      <c r="D732" s="73"/>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6">
      <c r="A733" s="27"/>
      <c r="B733" s="27"/>
      <c r="C733" s="27"/>
      <c r="D733" s="73"/>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6">
      <c r="A734" s="27"/>
      <c r="B734" s="27"/>
      <c r="C734" s="27"/>
      <c r="D734" s="73"/>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6">
      <c r="A735" s="27"/>
      <c r="B735" s="27"/>
      <c r="C735" s="27"/>
      <c r="D735" s="73"/>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6">
      <c r="A736" s="27"/>
      <c r="B736" s="27"/>
      <c r="C736" s="27"/>
      <c r="D736" s="73"/>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6">
      <c r="A737" s="27"/>
      <c r="B737" s="27"/>
      <c r="C737" s="27"/>
      <c r="D737" s="73"/>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6">
      <c r="A738" s="27"/>
      <c r="B738" s="27"/>
      <c r="C738" s="27"/>
      <c r="D738" s="73"/>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6">
      <c r="A739" s="27"/>
      <c r="B739" s="27"/>
      <c r="C739" s="27"/>
      <c r="D739" s="73"/>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6">
      <c r="A740" s="27"/>
      <c r="B740" s="27"/>
      <c r="C740" s="27"/>
      <c r="D740" s="73"/>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6">
      <c r="A741" s="27"/>
      <c r="B741" s="27"/>
      <c r="C741" s="27"/>
      <c r="D741" s="73"/>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6">
      <c r="A742" s="27"/>
      <c r="B742" s="27"/>
      <c r="C742" s="27"/>
      <c r="D742" s="73"/>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6">
      <c r="A743" s="27"/>
      <c r="B743" s="27"/>
      <c r="C743" s="27"/>
      <c r="D743" s="73"/>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6">
      <c r="A744" s="27"/>
      <c r="B744" s="27"/>
      <c r="C744" s="27"/>
      <c r="D744" s="73"/>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6">
      <c r="A745" s="27"/>
      <c r="B745" s="27"/>
      <c r="C745" s="27"/>
      <c r="D745" s="73"/>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6">
      <c r="A746" s="27"/>
      <c r="B746" s="27"/>
      <c r="C746" s="27"/>
      <c r="D746" s="73"/>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6">
      <c r="A747" s="27"/>
      <c r="B747" s="27"/>
      <c r="C747" s="27"/>
      <c r="D747" s="73"/>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6">
      <c r="A748" s="27"/>
      <c r="B748" s="27"/>
      <c r="C748" s="27"/>
      <c r="D748" s="73"/>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6">
      <c r="A749" s="27"/>
      <c r="B749" s="27"/>
      <c r="C749" s="27"/>
      <c r="D749" s="73"/>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6">
      <c r="A750" s="27"/>
      <c r="B750" s="27"/>
      <c r="C750" s="27"/>
      <c r="D750" s="73"/>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6">
      <c r="A751" s="27"/>
      <c r="B751" s="27"/>
      <c r="C751" s="27"/>
      <c r="D751" s="73"/>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6">
      <c r="A752" s="27"/>
      <c r="B752" s="27"/>
      <c r="C752" s="27"/>
      <c r="D752" s="73"/>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6">
      <c r="A753" s="27"/>
      <c r="B753" s="27"/>
      <c r="C753" s="27"/>
      <c r="D753" s="73"/>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6">
      <c r="A754" s="27"/>
      <c r="B754" s="27"/>
      <c r="C754" s="27"/>
      <c r="D754" s="73"/>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6">
      <c r="A755" s="27"/>
      <c r="B755" s="27"/>
      <c r="C755" s="27"/>
      <c r="D755" s="73"/>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6">
      <c r="A756" s="27"/>
      <c r="B756" s="27"/>
      <c r="C756" s="27"/>
      <c r="D756" s="73"/>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6">
      <c r="A757" s="27"/>
      <c r="B757" s="27"/>
      <c r="C757" s="27"/>
      <c r="D757" s="73"/>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6">
      <c r="A758" s="27"/>
      <c r="B758" s="27"/>
      <c r="C758" s="27"/>
      <c r="D758" s="73"/>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6">
      <c r="A759" s="27"/>
      <c r="B759" s="27"/>
      <c r="C759" s="27"/>
      <c r="D759" s="73"/>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6">
      <c r="A760" s="27"/>
      <c r="B760" s="27"/>
      <c r="C760" s="27"/>
      <c r="D760" s="73"/>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6">
      <c r="A761" s="27"/>
      <c r="B761" s="27"/>
      <c r="C761" s="27"/>
      <c r="D761" s="73"/>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6">
      <c r="A762" s="27"/>
      <c r="B762" s="27"/>
      <c r="C762" s="27"/>
      <c r="D762" s="73"/>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6">
      <c r="A763" s="27"/>
      <c r="B763" s="27"/>
      <c r="C763" s="27"/>
      <c r="D763" s="73"/>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6">
      <c r="A764" s="27"/>
      <c r="B764" s="27"/>
      <c r="C764" s="27"/>
      <c r="D764" s="73"/>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6">
      <c r="A765" s="27"/>
      <c r="B765" s="27"/>
      <c r="C765" s="27"/>
      <c r="D765" s="73"/>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6">
      <c r="A766" s="27"/>
      <c r="B766" s="27"/>
      <c r="C766" s="27"/>
      <c r="D766" s="73"/>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6">
      <c r="A767" s="27"/>
      <c r="B767" s="27"/>
      <c r="C767" s="27"/>
      <c r="D767" s="73"/>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6">
      <c r="A768" s="27"/>
      <c r="B768" s="27"/>
      <c r="C768" s="27"/>
      <c r="D768" s="73"/>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6">
      <c r="A769" s="27"/>
      <c r="B769" s="27"/>
      <c r="C769" s="27"/>
      <c r="D769" s="73"/>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6">
      <c r="A770" s="27"/>
      <c r="B770" s="27"/>
      <c r="C770" s="27"/>
      <c r="D770" s="73"/>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6">
      <c r="A771" s="27"/>
      <c r="B771" s="27"/>
      <c r="C771" s="27"/>
      <c r="D771" s="73"/>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6">
      <c r="A772" s="27"/>
      <c r="B772" s="27"/>
      <c r="C772" s="27"/>
      <c r="D772" s="73"/>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6">
      <c r="A773" s="27"/>
      <c r="B773" s="27"/>
      <c r="C773" s="27"/>
      <c r="D773" s="73"/>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6">
      <c r="A774" s="27"/>
      <c r="B774" s="27"/>
      <c r="C774" s="27"/>
      <c r="D774" s="73"/>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6">
      <c r="A775" s="27"/>
      <c r="B775" s="27"/>
      <c r="C775" s="27"/>
      <c r="D775" s="73"/>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6">
      <c r="A776" s="27"/>
      <c r="B776" s="27"/>
      <c r="C776" s="27"/>
      <c r="D776" s="73"/>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6">
      <c r="A777" s="27"/>
      <c r="B777" s="27"/>
      <c r="C777" s="27"/>
      <c r="D777" s="73"/>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6">
      <c r="A778" s="27"/>
      <c r="B778" s="27"/>
      <c r="C778" s="27"/>
      <c r="D778" s="73"/>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6">
      <c r="A779" s="27"/>
      <c r="B779" s="27"/>
      <c r="C779" s="27"/>
      <c r="D779" s="73"/>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6">
      <c r="A780" s="27"/>
      <c r="B780" s="27"/>
      <c r="C780" s="27"/>
      <c r="D780" s="73"/>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6">
      <c r="A781" s="27"/>
      <c r="B781" s="27"/>
      <c r="C781" s="27"/>
      <c r="D781" s="73"/>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6">
      <c r="A782" s="27"/>
      <c r="B782" s="27"/>
      <c r="C782" s="27"/>
      <c r="D782" s="73"/>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6">
      <c r="A783" s="27"/>
      <c r="B783" s="27"/>
      <c r="C783" s="27"/>
      <c r="D783" s="73"/>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6">
      <c r="A784" s="27"/>
      <c r="B784" s="27"/>
      <c r="C784" s="27"/>
      <c r="D784" s="73"/>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6">
      <c r="A785" s="27"/>
      <c r="B785" s="27"/>
      <c r="C785" s="27"/>
      <c r="D785" s="73"/>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6">
      <c r="A786" s="27"/>
      <c r="B786" s="27"/>
      <c r="C786" s="27"/>
      <c r="D786" s="73"/>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6">
      <c r="A787" s="27"/>
      <c r="B787" s="27"/>
      <c r="C787" s="27"/>
      <c r="D787" s="73"/>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6">
      <c r="A788" s="27"/>
      <c r="B788" s="27"/>
      <c r="C788" s="27"/>
      <c r="D788" s="73"/>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6">
      <c r="A789" s="27"/>
      <c r="B789" s="27"/>
      <c r="C789" s="27"/>
      <c r="D789" s="73"/>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6">
      <c r="A790" s="27"/>
      <c r="B790" s="27"/>
      <c r="C790" s="27"/>
      <c r="D790" s="73"/>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6">
      <c r="A791" s="27"/>
      <c r="B791" s="27"/>
      <c r="C791" s="27"/>
      <c r="D791" s="73"/>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6">
      <c r="A792" s="27"/>
      <c r="B792" s="27"/>
      <c r="C792" s="27"/>
      <c r="D792" s="73"/>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6">
      <c r="A793" s="27"/>
      <c r="B793" s="27"/>
      <c r="C793" s="27"/>
      <c r="D793" s="73"/>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6">
      <c r="A794" s="27"/>
      <c r="B794" s="27"/>
      <c r="C794" s="27"/>
      <c r="D794" s="73"/>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6">
      <c r="A795" s="27"/>
      <c r="B795" s="27"/>
      <c r="C795" s="27"/>
      <c r="D795" s="73"/>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6">
      <c r="A796" s="27"/>
      <c r="B796" s="27"/>
      <c r="C796" s="27"/>
      <c r="D796" s="73"/>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6">
      <c r="A797" s="27"/>
      <c r="B797" s="27"/>
      <c r="C797" s="27"/>
      <c r="D797" s="73"/>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6">
      <c r="A798" s="27"/>
      <c r="B798" s="27"/>
      <c r="C798" s="27"/>
      <c r="D798" s="73"/>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6">
      <c r="A799" s="27"/>
      <c r="B799" s="27"/>
      <c r="C799" s="27"/>
      <c r="D799" s="73"/>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6">
      <c r="A800" s="27"/>
      <c r="B800" s="27"/>
      <c r="C800" s="27"/>
      <c r="D800" s="73"/>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6">
      <c r="A801" s="27"/>
      <c r="B801" s="27"/>
      <c r="C801" s="27"/>
      <c r="D801" s="73"/>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6">
      <c r="A802" s="27"/>
      <c r="B802" s="27"/>
      <c r="C802" s="27"/>
      <c r="D802" s="73"/>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6">
      <c r="A803" s="27"/>
      <c r="B803" s="27"/>
      <c r="C803" s="27"/>
      <c r="D803" s="73"/>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6">
      <c r="A804" s="27"/>
      <c r="B804" s="27"/>
      <c r="C804" s="27"/>
      <c r="D804" s="73"/>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6">
      <c r="A805" s="27"/>
      <c r="B805" s="27"/>
      <c r="C805" s="27"/>
      <c r="D805" s="73"/>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6">
      <c r="A806" s="27"/>
      <c r="B806" s="27"/>
      <c r="C806" s="27"/>
      <c r="D806" s="73"/>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6">
      <c r="A807" s="27"/>
      <c r="B807" s="27"/>
      <c r="C807" s="27"/>
      <c r="D807" s="73"/>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6">
      <c r="A808" s="27"/>
      <c r="B808" s="27"/>
      <c r="C808" s="27"/>
      <c r="D808" s="73"/>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6">
      <c r="A809" s="27"/>
      <c r="B809" s="27"/>
      <c r="C809" s="27"/>
      <c r="D809" s="73"/>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6">
      <c r="A810" s="27"/>
      <c r="B810" s="27"/>
      <c r="C810" s="27"/>
      <c r="D810" s="73"/>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6">
      <c r="A811" s="27"/>
      <c r="B811" s="27"/>
      <c r="C811" s="27"/>
      <c r="D811" s="73"/>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6">
      <c r="A812" s="27"/>
      <c r="B812" s="27"/>
      <c r="C812" s="27"/>
      <c r="D812" s="73"/>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6">
      <c r="A813" s="27"/>
      <c r="B813" s="27"/>
      <c r="C813" s="27"/>
      <c r="D813" s="73"/>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6">
      <c r="A814" s="27"/>
      <c r="B814" s="27"/>
      <c r="C814" s="27"/>
      <c r="D814" s="73"/>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6">
      <c r="A815" s="27"/>
      <c r="B815" s="27"/>
      <c r="C815" s="27"/>
      <c r="D815" s="73"/>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6">
      <c r="A816" s="27"/>
      <c r="B816" s="27"/>
      <c r="C816" s="27"/>
      <c r="D816" s="73"/>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6">
      <c r="A817" s="27"/>
      <c r="B817" s="27"/>
      <c r="C817" s="27"/>
      <c r="D817" s="73"/>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6">
      <c r="A818" s="27"/>
      <c r="B818" s="27"/>
      <c r="C818" s="27"/>
      <c r="D818" s="73"/>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6">
      <c r="A819" s="27"/>
      <c r="B819" s="27"/>
      <c r="C819" s="27"/>
      <c r="D819" s="73"/>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6">
      <c r="A820" s="27"/>
      <c r="B820" s="27"/>
      <c r="C820" s="27"/>
      <c r="D820" s="73"/>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6">
      <c r="A821" s="27"/>
      <c r="B821" s="27"/>
      <c r="C821" s="27"/>
      <c r="D821" s="73"/>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6">
      <c r="A822" s="27"/>
      <c r="B822" s="27"/>
      <c r="C822" s="27"/>
      <c r="D822" s="73"/>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6">
      <c r="A823" s="27"/>
      <c r="B823" s="27"/>
      <c r="C823" s="27"/>
      <c r="D823" s="73"/>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6">
      <c r="A824" s="27"/>
      <c r="B824" s="27"/>
      <c r="C824" s="27"/>
      <c r="D824" s="73"/>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6">
      <c r="A825" s="27"/>
      <c r="B825" s="27"/>
      <c r="C825" s="27"/>
      <c r="D825" s="73"/>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6">
      <c r="A826" s="27"/>
      <c r="B826" s="27"/>
      <c r="C826" s="27"/>
      <c r="D826" s="73"/>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6">
      <c r="A827" s="27"/>
      <c r="B827" s="27"/>
      <c r="C827" s="27"/>
      <c r="D827" s="73"/>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6">
      <c r="A828" s="27"/>
      <c r="B828" s="27"/>
      <c r="C828" s="27"/>
      <c r="D828" s="73"/>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6">
      <c r="A829" s="27"/>
      <c r="B829" s="27"/>
      <c r="C829" s="27"/>
      <c r="D829" s="73"/>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6">
      <c r="A830" s="27"/>
      <c r="B830" s="27"/>
      <c r="C830" s="27"/>
      <c r="D830" s="73"/>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6">
      <c r="A831" s="27"/>
      <c r="B831" s="27"/>
      <c r="C831" s="27"/>
      <c r="D831" s="73"/>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6">
      <c r="A832" s="27"/>
      <c r="B832" s="27"/>
      <c r="C832" s="27"/>
      <c r="D832" s="73"/>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6">
      <c r="A833" s="27"/>
      <c r="B833" s="27"/>
      <c r="C833" s="27"/>
      <c r="D833" s="73"/>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6">
      <c r="A834" s="27"/>
      <c r="B834" s="27"/>
      <c r="C834" s="27"/>
      <c r="D834" s="73"/>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6">
      <c r="A835" s="27"/>
      <c r="B835" s="27"/>
      <c r="C835" s="27"/>
      <c r="D835" s="73"/>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6">
      <c r="A836" s="27"/>
      <c r="B836" s="27"/>
      <c r="C836" s="27"/>
      <c r="D836" s="73"/>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6">
      <c r="A837" s="27"/>
      <c r="B837" s="27"/>
      <c r="C837" s="27"/>
      <c r="D837" s="73"/>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6">
      <c r="A838" s="27"/>
      <c r="B838" s="27"/>
      <c r="C838" s="27"/>
      <c r="D838" s="73"/>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6">
      <c r="A839" s="27"/>
      <c r="B839" s="27"/>
      <c r="C839" s="27"/>
      <c r="D839" s="73"/>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6">
      <c r="A840" s="27"/>
      <c r="B840" s="27"/>
      <c r="C840" s="27"/>
      <c r="D840" s="73"/>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6">
      <c r="A841" s="27"/>
      <c r="B841" s="27"/>
      <c r="C841" s="27"/>
      <c r="D841" s="73"/>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6">
      <c r="A842" s="27"/>
      <c r="B842" s="27"/>
      <c r="C842" s="27"/>
      <c r="D842" s="73"/>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6">
      <c r="A843" s="27"/>
      <c r="B843" s="27"/>
      <c r="C843" s="27"/>
      <c r="D843" s="73"/>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6">
      <c r="A844" s="27"/>
      <c r="B844" s="27"/>
      <c r="C844" s="27"/>
      <c r="D844" s="73"/>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6">
      <c r="A845" s="27"/>
      <c r="B845" s="27"/>
      <c r="C845" s="27"/>
      <c r="D845" s="73"/>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6">
      <c r="A846" s="27"/>
      <c r="B846" s="27"/>
      <c r="C846" s="27"/>
      <c r="D846" s="73"/>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6">
      <c r="A847" s="27"/>
      <c r="B847" s="27"/>
      <c r="C847" s="27"/>
      <c r="D847" s="73"/>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6">
      <c r="A848" s="27"/>
      <c r="B848" s="27"/>
      <c r="C848" s="27"/>
      <c r="D848" s="73"/>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6">
      <c r="A849" s="27"/>
      <c r="B849" s="27"/>
      <c r="C849" s="27"/>
      <c r="D849" s="73"/>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6">
      <c r="A850" s="27"/>
      <c r="B850" s="27"/>
      <c r="C850" s="27"/>
      <c r="D850" s="73"/>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6">
      <c r="A851" s="27"/>
      <c r="B851" s="27"/>
      <c r="C851" s="27"/>
      <c r="D851" s="73"/>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6">
      <c r="A852" s="27"/>
      <c r="B852" s="27"/>
      <c r="C852" s="27"/>
      <c r="D852" s="73"/>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6">
      <c r="A853" s="27"/>
      <c r="B853" s="27"/>
      <c r="C853" s="27"/>
      <c r="D853" s="73"/>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6">
      <c r="A854" s="27"/>
      <c r="B854" s="27"/>
      <c r="C854" s="27"/>
      <c r="D854" s="73"/>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6">
      <c r="A855" s="27"/>
      <c r="B855" s="27"/>
      <c r="C855" s="27"/>
      <c r="D855" s="73"/>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6">
      <c r="A856" s="27"/>
      <c r="B856" s="27"/>
      <c r="C856" s="27"/>
      <c r="D856" s="73"/>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6">
      <c r="A857" s="27"/>
      <c r="B857" s="27"/>
      <c r="C857" s="27"/>
      <c r="D857" s="73"/>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6">
      <c r="A858" s="27"/>
      <c r="B858" s="27"/>
      <c r="C858" s="27"/>
      <c r="D858" s="73"/>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6">
      <c r="A859" s="27"/>
      <c r="B859" s="27"/>
      <c r="C859" s="27"/>
      <c r="D859" s="73"/>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6">
      <c r="A860" s="27"/>
      <c r="B860" s="27"/>
      <c r="C860" s="27"/>
      <c r="D860" s="73"/>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6">
      <c r="A861" s="27"/>
      <c r="B861" s="27"/>
      <c r="C861" s="27"/>
      <c r="D861" s="73"/>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6">
      <c r="A862" s="27"/>
      <c r="B862" s="27"/>
      <c r="C862" s="27"/>
      <c r="D862" s="73"/>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6">
      <c r="A863" s="27"/>
      <c r="B863" s="27"/>
      <c r="C863" s="27"/>
      <c r="D863" s="73"/>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6">
      <c r="A864" s="27"/>
      <c r="B864" s="27"/>
      <c r="C864" s="27"/>
      <c r="D864" s="73"/>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6">
      <c r="A865" s="27"/>
      <c r="B865" s="27"/>
      <c r="C865" s="27"/>
      <c r="D865" s="73"/>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6">
      <c r="A866" s="27"/>
      <c r="B866" s="27"/>
      <c r="C866" s="27"/>
      <c r="D866" s="73"/>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6">
      <c r="A867" s="27"/>
      <c r="B867" s="27"/>
      <c r="C867" s="27"/>
      <c r="D867" s="73"/>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6">
      <c r="A868" s="27"/>
      <c r="B868" s="27"/>
      <c r="C868" s="27"/>
      <c r="D868" s="73"/>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6">
      <c r="A869" s="27"/>
      <c r="B869" s="27"/>
      <c r="C869" s="27"/>
      <c r="D869" s="73"/>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6">
      <c r="A870" s="27"/>
      <c r="B870" s="27"/>
      <c r="C870" s="27"/>
      <c r="D870" s="73"/>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6">
      <c r="A871" s="27"/>
      <c r="B871" s="27"/>
      <c r="C871" s="27"/>
      <c r="D871" s="73"/>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6">
      <c r="A872" s="27"/>
      <c r="B872" s="27"/>
      <c r="C872" s="27"/>
      <c r="D872" s="73"/>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6">
      <c r="A873" s="27"/>
      <c r="B873" s="27"/>
      <c r="C873" s="27"/>
      <c r="D873" s="73"/>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6">
      <c r="A874" s="27"/>
      <c r="B874" s="27"/>
      <c r="C874" s="27"/>
      <c r="D874" s="73"/>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6">
      <c r="A875" s="27"/>
      <c r="B875" s="27"/>
      <c r="C875" s="27"/>
      <c r="D875" s="73"/>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6">
      <c r="A876" s="27"/>
      <c r="B876" s="27"/>
      <c r="C876" s="27"/>
      <c r="D876" s="73"/>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6">
      <c r="A877" s="27"/>
      <c r="B877" s="27"/>
      <c r="C877" s="27"/>
      <c r="D877" s="73"/>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6">
      <c r="A878" s="27"/>
      <c r="B878" s="27"/>
      <c r="C878" s="27"/>
      <c r="D878" s="73"/>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6">
      <c r="A879" s="27"/>
      <c r="B879" s="27"/>
      <c r="C879" s="27"/>
      <c r="D879" s="73"/>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6">
      <c r="A880" s="27"/>
      <c r="B880" s="27"/>
      <c r="C880" s="27"/>
      <c r="D880" s="73"/>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6">
      <c r="A881" s="27"/>
      <c r="B881" s="27"/>
      <c r="C881" s="27"/>
      <c r="D881" s="73"/>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6">
      <c r="A882" s="27"/>
      <c r="B882" s="27"/>
      <c r="C882" s="27"/>
      <c r="D882" s="73"/>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6">
      <c r="A883" s="27"/>
      <c r="B883" s="27"/>
      <c r="C883" s="27"/>
      <c r="D883" s="73"/>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6">
      <c r="A884" s="27"/>
      <c r="B884" s="27"/>
      <c r="C884" s="27"/>
      <c r="D884" s="73"/>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6">
      <c r="A885" s="27"/>
      <c r="B885" s="27"/>
      <c r="C885" s="27"/>
      <c r="D885" s="73"/>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6">
      <c r="A886" s="27"/>
      <c r="B886" s="27"/>
      <c r="C886" s="27"/>
      <c r="D886" s="73"/>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6">
      <c r="A887" s="27"/>
      <c r="B887" s="27"/>
      <c r="C887" s="27"/>
      <c r="D887" s="73"/>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6">
      <c r="A888" s="27"/>
      <c r="B888" s="27"/>
      <c r="C888" s="27"/>
      <c r="D888" s="73"/>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6">
      <c r="A889" s="27"/>
      <c r="B889" s="27"/>
      <c r="C889" s="27"/>
      <c r="D889" s="73"/>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6">
      <c r="A890" s="27"/>
      <c r="B890" s="27"/>
      <c r="C890" s="27"/>
      <c r="D890" s="73"/>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6">
      <c r="A891" s="27"/>
      <c r="B891" s="27"/>
      <c r="C891" s="27"/>
      <c r="D891" s="73"/>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6">
      <c r="A892" s="27"/>
      <c r="B892" s="27"/>
      <c r="C892" s="27"/>
      <c r="D892" s="73"/>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6">
      <c r="A893" s="27"/>
      <c r="B893" s="27"/>
      <c r="C893" s="27"/>
      <c r="D893" s="73"/>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6">
      <c r="A894" s="27"/>
      <c r="B894" s="27"/>
      <c r="C894" s="27"/>
      <c r="D894" s="73"/>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6">
      <c r="A895" s="27"/>
      <c r="B895" s="27"/>
      <c r="C895" s="27"/>
      <c r="D895" s="73"/>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6">
      <c r="A896" s="27"/>
      <c r="B896" s="27"/>
      <c r="C896" s="27"/>
      <c r="D896" s="73"/>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6">
      <c r="A897" s="27"/>
      <c r="B897" s="27"/>
      <c r="C897" s="27"/>
      <c r="D897" s="73"/>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6">
      <c r="A898" s="27"/>
      <c r="B898" s="27"/>
      <c r="C898" s="27"/>
      <c r="D898" s="73"/>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6">
      <c r="A899" s="27"/>
      <c r="B899" s="27"/>
      <c r="C899" s="27"/>
      <c r="D899" s="73"/>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6">
      <c r="A900" s="27"/>
      <c r="B900" s="27"/>
      <c r="C900" s="27"/>
      <c r="D900" s="73"/>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6">
      <c r="A901" s="27"/>
      <c r="B901" s="27"/>
      <c r="C901" s="27"/>
      <c r="D901" s="73"/>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6">
      <c r="A902" s="27"/>
      <c r="B902" s="27"/>
      <c r="C902" s="27"/>
      <c r="D902" s="73"/>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6">
      <c r="A903" s="27"/>
      <c r="B903" s="27"/>
      <c r="C903" s="27"/>
      <c r="D903" s="73"/>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6">
      <c r="A904" s="27"/>
      <c r="B904" s="27"/>
      <c r="C904" s="27"/>
      <c r="D904" s="73"/>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6">
      <c r="A905" s="27"/>
      <c r="B905" s="27"/>
      <c r="C905" s="27"/>
      <c r="D905" s="73"/>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6">
      <c r="A906" s="27"/>
      <c r="B906" s="27"/>
      <c r="C906" s="27"/>
      <c r="D906" s="73"/>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6">
      <c r="A907" s="27"/>
      <c r="B907" s="27"/>
      <c r="C907" s="27"/>
      <c r="D907" s="73"/>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6">
      <c r="A908" s="27"/>
      <c r="B908" s="27"/>
      <c r="C908" s="27"/>
      <c r="D908" s="73"/>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6">
      <c r="A909" s="27"/>
      <c r="B909" s="27"/>
      <c r="C909" s="27"/>
      <c r="D909" s="73"/>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6">
      <c r="A910" s="27"/>
      <c r="B910" s="27"/>
      <c r="C910" s="27"/>
      <c r="D910" s="73"/>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6">
      <c r="A911" s="27"/>
      <c r="B911" s="27"/>
      <c r="C911" s="27"/>
      <c r="D911" s="73"/>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6">
      <c r="A912" s="27"/>
      <c r="B912" s="27"/>
      <c r="C912" s="27"/>
      <c r="D912" s="73"/>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6">
      <c r="A913" s="27"/>
      <c r="B913" s="27"/>
      <c r="C913" s="27"/>
      <c r="D913" s="73"/>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6">
      <c r="A914" s="27"/>
      <c r="B914" s="27"/>
      <c r="C914" s="27"/>
      <c r="D914" s="73"/>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6">
      <c r="A915" s="27"/>
      <c r="B915" s="27"/>
      <c r="C915" s="27"/>
      <c r="D915" s="73"/>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6">
      <c r="A916" s="27"/>
      <c r="B916" s="27"/>
      <c r="C916" s="27"/>
      <c r="D916" s="73"/>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6">
      <c r="A917" s="27"/>
      <c r="B917" s="27"/>
      <c r="C917" s="27"/>
      <c r="D917" s="73"/>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6">
      <c r="A918" s="27"/>
      <c r="B918" s="27"/>
      <c r="C918" s="27"/>
      <c r="D918" s="73"/>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6">
      <c r="A919" s="27"/>
      <c r="B919" s="27"/>
      <c r="C919" s="27"/>
      <c r="D919" s="73"/>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6">
      <c r="A920" s="27"/>
      <c r="B920" s="27"/>
      <c r="C920" s="27"/>
      <c r="D920" s="73"/>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6">
      <c r="A921" s="27"/>
      <c r="B921" s="27"/>
      <c r="C921" s="27"/>
      <c r="D921" s="73"/>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6">
      <c r="A922" s="27"/>
      <c r="B922" s="27"/>
      <c r="C922" s="27"/>
      <c r="D922" s="73"/>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6">
      <c r="A923" s="27"/>
      <c r="B923" s="27"/>
      <c r="C923" s="27"/>
      <c r="D923" s="73"/>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6">
      <c r="A924" s="27"/>
      <c r="B924" s="27"/>
      <c r="C924" s="27"/>
      <c r="D924" s="73"/>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6">
      <c r="A925" s="27"/>
      <c r="B925" s="27"/>
      <c r="C925" s="27"/>
      <c r="D925" s="73"/>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6">
      <c r="A926" s="27"/>
      <c r="B926" s="27"/>
      <c r="C926" s="27"/>
      <c r="D926" s="73"/>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6">
      <c r="A927" s="27"/>
      <c r="B927" s="27"/>
      <c r="C927" s="27"/>
      <c r="D927" s="73"/>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6">
      <c r="A928" s="27"/>
      <c r="B928" s="27"/>
      <c r="C928" s="27"/>
      <c r="D928" s="73"/>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6">
      <c r="A929" s="27"/>
      <c r="B929" s="27"/>
      <c r="C929" s="27"/>
      <c r="D929" s="73"/>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6">
      <c r="A930" s="27"/>
      <c r="B930" s="27"/>
      <c r="C930" s="27"/>
      <c r="D930" s="73"/>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6">
      <c r="A931" s="27"/>
      <c r="B931" s="27"/>
      <c r="C931" s="27"/>
      <c r="D931" s="73"/>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6">
      <c r="A932" s="27"/>
      <c r="B932" s="27"/>
      <c r="C932" s="27"/>
      <c r="D932" s="73"/>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6">
      <c r="A933" s="27"/>
      <c r="B933" s="27"/>
      <c r="C933" s="27"/>
      <c r="D933" s="73"/>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6">
      <c r="A934" s="27"/>
      <c r="B934" s="27"/>
      <c r="C934" s="27"/>
      <c r="D934" s="73"/>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6">
      <c r="A935" s="27"/>
      <c r="B935" s="27"/>
      <c r="C935" s="27"/>
      <c r="D935" s="73"/>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6">
      <c r="A936" s="27"/>
      <c r="B936" s="27"/>
      <c r="C936" s="27"/>
      <c r="D936" s="73"/>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6">
      <c r="A937" s="27"/>
      <c r="B937" s="27"/>
      <c r="C937" s="27"/>
      <c r="D937" s="73"/>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6">
      <c r="A938" s="27"/>
      <c r="B938" s="27"/>
      <c r="C938" s="27"/>
      <c r="D938" s="73"/>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6">
      <c r="A939" s="27"/>
      <c r="B939" s="27"/>
      <c r="C939" s="27"/>
      <c r="D939" s="73"/>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6">
      <c r="A940" s="27"/>
      <c r="B940" s="27"/>
      <c r="C940" s="27"/>
      <c r="D940" s="73"/>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6">
      <c r="A941" s="27"/>
      <c r="B941" s="27"/>
      <c r="C941" s="27"/>
      <c r="D941" s="73"/>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6">
      <c r="A942" s="27"/>
      <c r="B942" s="27"/>
      <c r="C942" s="27"/>
      <c r="D942" s="73"/>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6">
      <c r="A943" s="27"/>
      <c r="B943" s="27"/>
      <c r="C943" s="27"/>
      <c r="D943" s="73"/>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6">
      <c r="A944" s="27"/>
      <c r="B944" s="27"/>
      <c r="C944" s="27"/>
      <c r="D944" s="73"/>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6">
      <c r="A945" s="27"/>
      <c r="B945" s="27"/>
      <c r="C945" s="27"/>
      <c r="D945" s="73"/>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6">
      <c r="A946" s="27"/>
      <c r="B946" s="27"/>
      <c r="C946" s="27"/>
      <c r="D946" s="73"/>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6">
      <c r="A947" s="27"/>
      <c r="B947" s="27"/>
      <c r="C947" s="27"/>
      <c r="D947" s="73"/>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6">
      <c r="A948" s="27"/>
      <c r="B948" s="27"/>
      <c r="C948" s="27"/>
      <c r="D948" s="73"/>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6">
      <c r="A949" s="27"/>
      <c r="B949" s="27"/>
      <c r="C949" s="27"/>
      <c r="D949" s="73"/>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6">
      <c r="A950" s="27"/>
      <c r="B950" s="27"/>
      <c r="C950" s="27"/>
      <c r="D950" s="73"/>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6">
      <c r="A951" s="27"/>
      <c r="B951" s="27"/>
      <c r="C951" s="27"/>
      <c r="D951" s="73"/>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6">
      <c r="A952" s="27"/>
      <c r="B952" s="27"/>
      <c r="C952" s="27"/>
      <c r="D952" s="73"/>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6">
      <c r="A953" s="27"/>
      <c r="B953" s="27"/>
      <c r="C953" s="27"/>
      <c r="D953" s="73"/>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6">
      <c r="A954" s="27"/>
      <c r="B954" s="27"/>
      <c r="C954" s="27"/>
      <c r="D954" s="73"/>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6">
      <c r="A955" s="27"/>
      <c r="B955" s="27"/>
      <c r="C955" s="27"/>
      <c r="D955" s="73"/>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6">
      <c r="A956" s="27"/>
      <c r="B956" s="27"/>
      <c r="C956" s="27"/>
      <c r="D956" s="73"/>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6">
      <c r="A957" s="27"/>
      <c r="B957" s="27"/>
      <c r="C957" s="27"/>
      <c r="D957" s="73"/>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6">
      <c r="A958" s="27"/>
      <c r="B958" s="27"/>
      <c r="C958" s="27"/>
      <c r="D958" s="73"/>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6">
      <c r="A959" s="27"/>
      <c r="B959" s="27"/>
      <c r="C959" s="27"/>
      <c r="D959" s="73"/>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6">
      <c r="A960" s="27"/>
      <c r="B960" s="27"/>
      <c r="C960" s="27"/>
      <c r="D960" s="73"/>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6">
      <c r="A961" s="27"/>
      <c r="B961" s="27"/>
      <c r="C961" s="27"/>
      <c r="D961" s="73"/>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6">
      <c r="A962" s="27"/>
      <c r="B962" s="27"/>
      <c r="C962" s="27"/>
      <c r="D962" s="73"/>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6">
      <c r="A963" s="27"/>
      <c r="B963" s="27"/>
      <c r="C963" s="27"/>
      <c r="D963" s="73"/>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6">
      <c r="A964" s="27"/>
      <c r="B964" s="27"/>
      <c r="C964" s="27"/>
      <c r="D964" s="73"/>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6">
      <c r="A965" s="27"/>
      <c r="B965" s="27"/>
      <c r="C965" s="27"/>
      <c r="D965" s="73"/>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6">
      <c r="A966" s="27"/>
      <c r="B966" s="27"/>
      <c r="C966" s="27"/>
      <c r="D966" s="73"/>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6">
      <c r="A967" s="27"/>
      <c r="B967" s="27"/>
      <c r="C967" s="27"/>
      <c r="D967" s="73"/>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6">
      <c r="A968" s="27"/>
      <c r="B968" s="27"/>
      <c r="C968" s="27"/>
      <c r="D968" s="73"/>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6">
      <c r="A969" s="27"/>
      <c r="B969" s="27"/>
      <c r="C969" s="27"/>
      <c r="D969" s="73"/>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6">
      <c r="A970" s="27"/>
      <c r="B970" s="27"/>
      <c r="C970" s="27"/>
      <c r="D970" s="73"/>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6">
      <c r="A971" s="27"/>
      <c r="B971" s="27"/>
      <c r="C971" s="27"/>
      <c r="D971" s="73"/>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6">
      <c r="A972" s="27"/>
      <c r="B972" s="27"/>
      <c r="C972" s="27"/>
      <c r="D972" s="73"/>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6">
      <c r="A973" s="27"/>
      <c r="B973" s="27"/>
      <c r="C973" s="27"/>
      <c r="D973" s="73"/>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6">
      <c r="A974" s="27"/>
      <c r="B974" s="27"/>
      <c r="C974" s="27"/>
      <c r="D974" s="73"/>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6">
      <c r="A975" s="27"/>
      <c r="B975" s="27"/>
      <c r="C975" s="27"/>
      <c r="D975" s="73"/>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6">
      <c r="A976" s="27"/>
      <c r="B976" s="27"/>
      <c r="C976" s="27"/>
      <c r="D976" s="73"/>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6">
      <c r="A977" s="27"/>
      <c r="B977" s="27"/>
      <c r="C977" s="27"/>
      <c r="D977" s="73"/>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6">
      <c r="A978" s="27"/>
      <c r="B978" s="27"/>
      <c r="C978" s="27"/>
      <c r="D978" s="73"/>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6">
      <c r="A979" s="27"/>
      <c r="B979" s="27"/>
      <c r="C979" s="27"/>
      <c r="D979" s="73"/>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6">
      <c r="A980" s="27"/>
      <c r="B980" s="27"/>
      <c r="C980" s="27"/>
      <c r="D980" s="73"/>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6">
      <c r="A981" s="27"/>
      <c r="B981" s="27"/>
      <c r="C981" s="27"/>
      <c r="D981" s="73"/>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6">
      <c r="A982" s="27"/>
      <c r="B982" s="27"/>
      <c r="C982" s="27"/>
      <c r="D982" s="73"/>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6">
      <c r="A983" s="27"/>
      <c r="B983" s="27"/>
      <c r="C983" s="27"/>
      <c r="D983" s="73"/>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6">
      <c r="A984" s="27"/>
      <c r="B984" s="27"/>
      <c r="C984" s="27"/>
      <c r="D984" s="73"/>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6">
      <c r="A985" s="27"/>
      <c r="B985" s="27"/>
      <c r="C985" s="27"/>
      <c r="D985" s="73"/>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6">
      <c r="A986" s="27"/>
      <c r="B986" s="27"/>
      <c r="C986" s="27"/>
      <c r="D986" s="73"/>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6">
      <c r="A987" s="27"/>
      <c r="B987" s="27"/>
      <c r="C987" s="27"/>
      <c r="D987" s="73"/>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6">
      <c r="A988" s="27"/>
      <c r="B988" s="27"/>
      <c r="C988" s="27"/>
      <c r="D988" s="73"/>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6">
      <c r="A989" s="27"/>
      <c r="B989" s="27"/>
      <c r="C989" s="27"/>
      <c r="D989" s="73"/>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6">
      <c r="A990" s="27"/>
      <c r="B990" s="27"/>
      <c r="C990" s="27"/>
      <c r="D990" s="73"/>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6">
      <c r="A991" s="27"/>
      <c r="B991" s="27"/>
      <c r="C991" s="27"/>
      <c r="D991" s="73"/>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6">
      <c r="A992" s="27"/>
      <c r="B992" s="27"/>
      <c r="C992" s="27"/>
      <c r="D992" s="73"/>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6">
      <c r="A993" s="27"/>
      <c r="B993" s="27"/>
      <c r="C993" s="27"/>
      <c r="D993" s="73"/>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6">
      <c r="A994" s="27"/>
      <c r="B994" s="27"/>
      <c r="C994" s="27"/>
      <c r="D994" s="73"/>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6">
      <c r="A995" s="27"/>
      <c r="B995" s="27"/>
      <c r="C995" s="27"/>
      <c r="D995" s="73"/>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6">
      <c r="A996" s="27"/>
      <c r="B996" s="27"/>
      <c r="C996" s="27"/>
      <c r="D996" s="73"/>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6">
      <c r="A997" s="27"/>
      <c r="B997" s="27"/>
      <c r="C997" s="27"/>
      <c r="D997" s="73"/>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6">
      <c r="A998" s="27"/>
      <c r="B998" s="27"/>
      <c r="C998" s="27"/>
      <c r="D998" s="73"/>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6">
      <c r="A999" s="27"/>
      <c r="B999" s="27"/>
      <c r="C999" s="27"/>
      <c r="D999" s="73"/>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6">
      <c r="A1000" s="27"/>
      <c r="B1000" s="27"/>
      <c r="C1000" s="27"/>
      <c r="D1000" s="73"/>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ht="13.6">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sheetData>
  <mergeCells count="2">
    <mergeCell ref="B3:C3"/>
    <mergeCell ref="B2:C2"/>
  </mergeCells>
  <hyperlinks>
    <hyperlink ref="A1" location="'Modelo de dominio'!A1" display="&lt;&lt;&lt;Modelo de Dominio" xr:uid="{00000000-0004-0000-1000-000000000000}"/>
    <hyperlink ref="B1" location="'Objetos de dominio'!A1" display="&lt;&lt;&lt;Objetos de Dominio" xr:uid="{00000000-0004-0000-1000-000001000000}"/>
    <hyperlink ref="B3" location="'Objetos de dominio'!B12" display="Objeto de dominio que representa cada uno de los productos internos (ingredientes o bebidas almacenadas) adquiridos en una compra" xr:uid="{00000000-0004-0000-1000-000002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80">
    <outlinePr summaryBelow="0" summaryRight="0"/>
  </sheetPr>
  <dimension ref="A1:K19"/>
  <sheetViews>
    <sheetView topLeftCell="B1" zoomScale="85" zoomScaleNormal="85" workbookViewId="0">
      <selection activeCell="G7" sqref="G7"/>
    </sheetView>
  </sheetViews>
  <sheetFormatPr baseColWidth="10" defaultColWidth="12.625" defaultRowHeight="15.8" customHeight="1"/>
  <cols>
    <col min="1" max="1" width="26.375" customWidth="1"/>
    <col min="2" max="6" width="31.375" style="614" customWidth="1"/>
    <col min="7" max="7" width="20" customWidth="1"/>
    <col min="8" max="8" width="20" style="614" customWidth="1"/>
    <col min="9" max="9" width="38.625" customWidth="1"/>
    <col min="11" max="11" width="35.375" customWidth="1"/>
  </cols>
  <sheetData>
    <row r="1" spans="1:11" ht="12.75" customHeight="1">
      <c r="A1" s="76" t="s">
        <v>0</v>
      </c>
      <c r="B1" s="132" t="s">
        <v>1</v>
      </c>
      <c r="C1" s="225"/>
      <c r="D1" s="225"/>
      <c r="E1" s="225"/>
      <c r="F1" s="225"/>
      <c r="G1" s="140"/>
      <c r="H1" s="679"/>
      <c r="I1" s="140"/>
      <c r="J1" s="140" t="s">
        <v>744</v>
      </c>
      <c r="K1" s="201"/>
    </row>
    <row r="2" spans="1:11" ht="53.5" customHeight="1">
      <c r="A2" s="232" t="s">
        <v>1179</v>
      </c>
      <c r="B2" s="232" t="s">
        <v>745</v>
      </c>
      <c r="C2" s="233" t="s">
        <v>746</v>
      </c>
      <c r="D2" s="232" t="s">
        <v>747</v>
      </c>
      <c r="E2" s="232" t="s">
        <v>1163</v>
      </c>
      <c r="F2" s="232" t="s">
        <v>1164</v>
      </c>
      <c r="G2" s="232" t="s">
        <v>748</v>
      </c>
      <c r="H2" s="232" t="s">
        <v>1165</v>
      </c>
      <c r="I2" s="232" t="s">
        <v>749</v>
      </c>
      <c r="J2" s="201"/>
      <c r="K2" s="201"/>
    </row>
    <row r="3" spans="1:11" ht="12.75" customHeight="1">
      <c r="A3" s="1146" t="s">
        <v>8</v>
      </c>
      <c r="B3" s="1145" t="s">
        <v>750</v>
      </c>
      <c r="C3" s="1145" t="s">
        <v>30</v>
      </c>
      <c r="D3" s="1145" t="s">
        <v>751</v>
      </c>
      <c r="E3" s="1145" t="s">
        <v>643</v>
      </c>
      <c r="F3" s="1377" t="s">
        <v>38</v>
      </c>
      <c r="G3" s="1376" t="s">
        <v>261</v>
      </c>
      <c r="H3" s="1380" t="s">
        <v>643</v>
      </c>
      <c r="I3" s="1145" t="s">
        <v>752</v>
      </c>
      <c r="J3" s="4"/>
      <c r="K3" s="201"/>
    </row>
    <row r="4" spans="1:11" ht="12.75" customHeight="1">
      <c r="A4" s="1090"/>
      <c r="B4" s="1090"/>
      <c r="C4" s="1090"/>
      <c r="D4" s="1090"/>
      <c r="E4" s="1090"/>
      <c r="F4" s="1378"/>
      <c r="G4" s="1090"/>
      <c r="H4" s="1381"/>
      <c r="I4" s="1090"/>
      <c r="J4" s="4"/>
      <c r="K4" s="201"/>
    </row>
    <row r="5" spans="1:11" ht="12.75" customHeight="1">
      <c r="A5" s="1089"/>
      <c r="B5" s="1089"/>
      <c r="C5" s="1089"/>
      <c r="D5" s="1089"/>
      <c r="E5" s="1089"/>
      <c r="F5" s="1379"/>
      <c r="G5" s="1089"/>
      <c r="H5" s="1382"/>
      <c r="I5" s="1089"/>
      <c r="J5" s="4"/>
      <c r="K5" s="201"/>
    </row>
    <row r="6" spans="1:11" ht="50.95" customHeight="1">
      <c r="A6" s="211" t="s">
        <v>14</v>
      </c>
      <c r="B6" s="211" t="s">
        <v>15</v>
      </c>
      <c r="C6" s="211" t="s">
        <v>15</v>
      </c>
      <c r="D6" s="211" t="s">
        <v>15</v>
      </c>
      <c r="E6" s="211" t="s">
        <v>15</v>
      </c>
      <c r="F6" s="211" t="s">
        <v>15</v>
      </c>
      <c r="G6" s="211" t="s">
        <v>15</v>
      </c>
      <c r="H6" s="211" t="s">
        <v>15</v>
      </c>
      <c r="I6" s="211" t="s">
        <v>15</v>
      </c>
      <c r="J6" s="4"/>
      <c r="K6" s="201"/>
    </row>
    <row r="7" spans="1:11" ht="12.75" customHeight="1">
      <c r="A7" s="234" t="s">
        <v>16</v>
      </c>
      <c r="B7" s="214" t="s">
        <v>20</v>
      </c>
      <c r="C7" s="228" t="s">
        <v>30</v>
      </c>
      <c r="D7" s="228" t="s">
        <v>751</v>
      </c>
      <c r="E7" s="680" t="s">
        <v>38</v>
      </c>
      <c r="F7" s="228" t="s">
        <v>1166</v>
      </c>
      <c r="G7" s="235" t="s">
        <v>536</v>
      </c>
      <c r="H7" s="224" t="s">
        <v>1128</v>
      </c>
      <c r="I7" s="236" t="s">
        <v>1129</v>
      </c>
    </row>
    <row r="8" spans="1:11" ht="12.75" customHeight="1">
      <c r="A8" s="237">
        <v>1</v>
      </c>
      <c r="B8" s="212" t="s">
        <v>753</v>
      </c>
      <c r="C8" s="229" t="str">
        <f>HYPERLINK("#'M-TipoProducto'!B8", 'M-TipoProducto'!B8)</f>
        <v>Pizza</v>
      </c>
      <c r="D8" s="229" t="str">
        <f>HYPERLINK("#'M-Tamaño'!B8", 'M-Tamaño'!B8)</f>
        <v>Grande</v>
      </c>
      <c r="E8" s="212" t="str">
        <f t="shared" ref="E8:E19" si="0">IF(F8="Sin insumo","No","Si")</f>
        <v>No</v>
      </c>
      <c r="F8" s="302" t="str">
        <f>HYPERLINK("#'M-ProductoInterno'!B22", 'M-ProductoInterno'!B22)</f>
        <v>Sin insumo</v>
      </c>
      <c r="G8" s="237">
        <f t="array" ref="G8">_xlfn.XLOOKUP(1,('M-HistoricoPrecio'!$B:$B=I8)*('M-HistoricoPrecio'!$E:$E="01/01/1000"),'M-HistoricoPrecio'!$C:$C,"")</f>
        <v>25000</v>
      </c>
      <c r="H8" s="237" t="s">
        <v>15</v>
      </c>
      <c r="I8" s="287" t="str">
        <f t="shared" ref="I8:I19" si="1">IF(TRIM(D8)="No aplica",B8,CONCATENATE(B8," ",D8))</f>
        <v>Margarita Grande</v>
      </c>
    </row>
    <row r="9" spans="1:11" ht="12.75" customHeight="1">
      <c r="A9" s="237">
        <v>2</v>
      </c>
      <c r="B9" s="212" t="s">
        <v>754</v>
      </c>
      <c r="C9" s="229" t="str">
        <f>HYPERLINK("#'M-TipoProducto'!B8", 'M-TipoProducto'!B8)</f>
        <v>Pizza</v>
      </c>
      <c r="D9" s="229" t="str">
        <f>HYPERLINK("#'M-Tamaño'!B9", 'M-Tamaño'!B9)</f>
        <v>Mediana</v>
      </c>
      <c r="E9" s="212" t="str">
        <f t="shared" si="0"/>
        <v>No</v>
      </c>
      <c r="F9" s="302" t="str">
        <f>HYPERLINK("#'M-ProductoInterno'!B22", 'M-ProductoInterno'!B22)</f>
        <v>Sin insumo</v>
      </c>
      <c r="G9" s="237">
        <f t="array" ref="G9">_xlfn.XLOOKUP(1,('M-HistoricoPrecio'!$B:$B=I9)*('M-HistoricoPrecio'!$E:$E="01/01/1000"),'M-HistoricoPrecio'!$C:$C,"")</f>
        <v>23000</v>
      </c>
      <c r="H9" s="237" t="s">
        <v>15</v>
      </c>
      <c r="I9" s="287" t="str">
        <f t="shared" si="1"/>
        <v>Peperoni Mediana</v>
      </c>
    </row>
    <row r="10" spans="1:11" ht="12.75" customHeight="1">
      <c r="A10" s="237">
        <v>3</v>
      </c>
      <c r="B10" s="212" t="s">
        <v>1167</v>
      </c>
      <c r="C10" s="229" t="str">
        <f>HYPERLINK("#'M-TipoProducto'!B8", 'M-TipoProducto'!B8)</f>
        <v>Pizza</v>
      </c>
      <c r="D10" s="229" t="str">
        <f>HYPERLINK("#'M-Tamaño'!B10", 'M-Tamaño'!B10)</f>
        <v>Pequeña</v>
      </c>
      <c r="E10" s="212" t="str">
        <f t="shared" si="0"/>
        <v>No</v>
      </c>
      <c r="F10" s="302" t="str">
        <f>HYPERLINK("#'M-ProductoInterno'!B22", 'M-ProductoInterno'!B22)</f>
        <v>Sin insumo</v>
      </c>
      <c r="G10" s="237">
        <f t="array" ref="G10">_xlfn.XLOOKUP(1,('M-HistoricoPrecio'!$B:$B=I10)*('M-HistoricoPrecio'!$E:$E="01/01/1000"),'M-HistoricoPrecio'!$C:$C,"")</f>
        <v>30000</v>
      </c>
      <c r="H10" s="237" t="s">
        <v>15</v>
      </c>
      <c r="I10" s="287" t="str">
        <f t="shared" si="1"/>
        <v>Margarita y Hawaiana Pequeña</v>
      </c>
    </row>
    <row r="11" spans="1:11" ht="12.75" customHeight="1">
      <c r="A11" s="237">
        <v>4</v>
      </c>
      <c r="B11" s="213" t="s">
        <v>755</v>
      </c>
      <c r="C11" s="230" t="str">
        <f>HYPERLINK("#'M-TipoProducto'!B10", 'M-TipoProducto'!B10)</f>
        <v>Adicion</v>
      </c>
      <c r="D11" s="230" t="str">
        <f>HYPERLINK("#'M-Tamaño'!B11", 'M-Tamaño'!B11)</f>
        <v>No aplica</v>
      </c>
      <c r="E11" s="212" t="str">
        <f t="shared" si="0"/>
        <v>No</v>
      </c>
      <c r="F11" s="302" t="str">
        <f>HYPERLINK("#'M-ProductoInterno'!B22", 'M-ProductoInterno'!B22)</f>
        <v>Sin insumo</v>
      </c>
      <c r="G11" s="237">
        <f t="array" ref="G11">_xlfn.XLOOKUP(1,('M-HistoricoPrecio'!$B:$B=I11)*('M-HistoricoPrecio'!$E:$E="01/01/1000"),'M-HistoricoPrecio'!$C:$C,"")</f>
        <v>5000</v>
      </c>
      <c r="H11" s="237" t="s">
        <v>15</v>
      </c>
      <c r="I11" s="287" t="str">
        <f t="shared" si="1"/>
        <v>Extra Queso</v>
      </c>
    </row>
    <row r="12" spans="1:11" ht="12.75" customHeight="1">
      <c r="A12" s="237">
        <v>5</v>
      </c>
      <c r="B12" s="213" t="s">
        <v>756</v>
      </c>
      <c r="C12" s="230" t="str">
        <f>HYPERLINK("#'M-TipoProducto'!B10", 'M-TipoProducto'!B10)</f>
        <v>Adicion</v>
      </c>
      <c r="D12" s="230" t="str">
        <f>HYPERLINK("#'M-Tamaño'!B11", 'M-Tamaño'!B11)</f>
        <v>No aplica</v>
      </c>
      <c r="E12" s="212" t="str">
        <f t="shared" si="0"/>
        <v>No</v>
      </c>
      <c r="F12" s="302" t="str">
        <f>HYPERLINK("#'M-ProductoInterno'!B22", 'M-ProductoInterno'!B22)</f>
        <v>Sin insumo</v>
      </c>
      <c r="G12" s="237">
        <f t="array" ref="G12">_xlfn.XLOOKUP(1,('M-HistoricoPrecio'!$B:$B=I12)*('M-HistoricoPrecio'!$E:$E="01/01/1000"),'M-HistoricoPrecio'!$C:$C,"")</f>
        <v>6000</v>
      </c>
      <c r="H12" s="237" t="s">
        <v>15</v>
      </c>
      <c r="I12" s="287" t="str">
        <f t="shared" si="1"/>
        <v>Extra Piña</v>
      </c>
    </row>
    <row r="13" spans="1:11" ht="12.75" customHeight="1">
      <c r="A13" s="237">
        <v>6</v>
      </c>
      <c r="B13" s="287" t="s">
        <v>757</v>
      </c>
      <c r="C13" s="231" t="str">
        <f>HYPERLINK("#'M-TipoProducto'!B10", 'M-TipoProducto'!B10)</f>
        <v>Adicion</v>
      </c>
      <c r="D13" s="230" t="str">
        <f>HYPERLINK("#'M-Tamaño'!B11", 'M-Tamaño'!B11)</f>
        <v>No aplica</v>
      </c>
      <c r="E13" s="212" t="str">
        <f t="shared" si="0"/>
        <v>No</v>
      </c>
      <c r="F13" s="302" t="str">
        <f>HYPERLINK("#'M-ProductoInterno'!B22", 'M-ProductoInterno'!B22)</f>
        <v>Sin insumo</v>
      </c>
      <c r="G13" s="237">
        <f t="array" ref="G13">_xlfn.XLOOKUP(1,('M-HistoricoPrecio'!$B:$B=I13)*('M-HistoricoPrecio'!$E:$E="01/01/1000"),'M-HistoricoPrecio'!$C:$C,"")</f>
        <v>9000</v>
      </c>
      <c r="H13" s="237" t="s">
        <v>15</v>
      </c>
      <c r="I13" s="287" t="str">
        <f t="shared" si="1"/>
        <v>Extra Peperoni</v>
      </c>
    </row>
    <row r="14" spans="1:11" ht="12.75" customHeight="1">
      <c r="A14" s="237">
        <v>7</v>
      </c>
      <c r="B14" s="562" t="s">
        <v>758</v>
      </c>
      <c r="C14" s="230" t="str">
        <f>HYPERLINK("#'M-TipoProducto'!B9", 'M-TipoProducto'!B9)</f>
        <v>Bebida</v>
      </c>
      <c r="D14" s="230" t="str">
        <f>HYPERLINK("#'M-Tamaño'!B11", 'M-Tamaño'!B11)</f>
        <v>No aplica</v>
      </c>
      <c r="E14" s="213" t="str">
        <f t="shared" si="0"/>
        <v>Si</v>
      </c>
      <c r="F14" s="302" t="str">
        <f>HYPERLINK("#'M-ProductoInterno'!B16", 'M-ProductoInterno'!B16)</f>
        <v>Jugo Hit Mora 200 ml</v>
      </c>
      <c r="G14" s="237">
        <f t="array" ref="G14">_xlfn.XLOOKUP(1,('M-HistoricoPrecio'!$B:$B=I14)*('M-HistoricoPrecio'!$E:$E="01/01/1000"),'M-HistoricoPrecio'!$C:$C,"")</f>
        <v>4000</v>
      </c>
      <c r="H14" s="237" t="s">
        <v>15</v>
      </c>
      <c r="I14" s="287" t="str">
        <f t="shared" si="1"/>
        <v>Jugo Hit Mora 200 ml</v>
      </c>
    </row>
    <row r="15" spans="1:11" ht="12.75" customHeight="1">
      <c r="A15" s="237">
        <v>8</v>
      </c>
      <c r="B15" s="213" t="s">
        <v>174</v>
      </c>
      <c r="C15" s="230" t="str">
        <f>HYPERLINK("#'M-TipoProducto'!B9", 'M-TipoProducto'!B9)</f>
        <v>Bebida</v>
      </c>
      <c r="D15" s="230" t="str">
        <f>HYPERLINK("#'M-Tamaño'!B11", 'M-Tamaño'!B11)</f>
        <v>No aplica</v>
      </c>
      <c r="E15" s="213" t="str">
        <f t="shared" si="0"/>
        <v>Si</v>
      </c>
      <c r="F15" s="302" t="str">
        <f>HYPERLINK("#'M-ProductoInterno'!B17", 'M-ProductoInterno'!B17)</f>
        <v>Pepsi 400 ml</v>
      </c>
      <c r="G15" s="237">
        <f t="array" ref="G15">_xlfn.XLOOKUP(1,('M-HistoricoPrecio'!$B:$B=I15)*('M-HistoricoPrecio'!$E:$E="01/01/1000"),'M-HistoricoPrecio'!$C:$C,"")</f>
        <v>6000</v>
      </c>
      <c r="H15" s="237" t="s">
        <v>15</v>
      </c>
      <c r="I15" s="287" t="str">
        <f t="shared" si="1"/>
        <v>Pepsi 400 ml</v>
      </c>
    </row>
    <row r="16" spans="1:11" ht="12.75" customHeight="1">
      <c r="A16" s="237">
        <v>9</v>
      </c>
      <c r="B16" s="562" t="s">
        <v>759</v>
      </c>
      <c r="C16" s="230" t="str">
        <f>HYPERLINK("#'M-TipoProducto'!B9", 'M-TipoProducto'!B9)</f>
        <v>Bebida</v>
      </c>
      <c r="D16" s="230" t="str">
        <f>HYPERLINK("#'M-Tamaño'!B11", 'M-Tamaño'!B11)</f>
        <v>No aplica</v>
      </c>
      <c r="E16" s="213" t="str">
        <f t="shared" si="0"/>
        <v>Si</v>
      </c>
      <c r="F16" s="302" t="str">
        <f>HYPERLINK("#'M-ProductoInterno'!B18", 'M-ProductoInterno'!B18)</f>
        <v>Monster 473 ml</v>
      </c>
      <c r="G16" s="237">
        <f t="array" ref="G16">_xlfn.XLOOKUP(1,('M-HistoricoPrecio'!$B:$B=I16)*('M-HistoricoPrecio'!$E:$E="01/01/1000"),'M-HistoricoPrecio'!$C:$C,"")</f>
        <v>5200</v>
      </c>
      <c r="H16" s="237" t="s">
        <v>15</v>
      </c>
      <c r="I16" s="287" t="str">
        <f t="shared" si="1"/>
        <v>Monster 473 ml</v>
      </c>
    </row>
    <row r="17" spans="1:9" ht="15.8" customHeight="1">
      <c r="A17" s="237">
        <v>10</v>
      </c>
      <c r="B17" s="213" t="s">
        <v>1161</v>
      </c>
      <c r="C17" s="230" t="str">
        <f>HYPERLINK("#'M-TipoProducto'!B9", 'M-TipoProducto'!B9)</f>
        <v>Bebida</v>
      </c>
      <c r="D17" s="230" t="str">
        <f>HYPERLINK("#'M-Tamaño'!B11", 'M-Tamaño'!B11)</f>
        <v>No aplica</v>
      </c>
      <c r="E17" s="213" t="str">
        <f t="shared" si="0"/>
        <v>Si</v>
      </c>
      <c r="F17" s="302" t="str">
        <f>HYPERLINK("#'M-ProductoInterno'!B19", 'M-ProductoInterno'!B19)</f>
        <v>Colombiana 400 ml</v>
      </c>
      <c r="G17" s="237">
        <f t="array" ref="G17">_xlfn.XLOOKUP(1,('M-HistoricoPrecio'!$B:$B=I17)*('M-HistoricoPrecio'!$E:$E="01/01/1000"),'M-HistoricoPrecio'!$C:$C,"")</f>
        <v>4500</v>
      </c>
      <c r="H17" s="237" t="s">
        <v>15</v>
      </c>
      <c r="I17" s="287" t="str">
        <f t="shared" si="1"/>
        <v>Colombiana 400 ml</v>
      </c>
    </row>
    <row r="18" spans="1:9" ht="15.8" customHeight="1">
      <c r="A18" s="237">
        <v>11</v>
      </c>
      <c r="B18" s="213" t="s">
        <v>1162</v>
      </c>
      <c r="C18" s="230" t="str">
        <f>HYPERLINK("#'M-TipoProducto'!B9", 'M-TipoProducto'!B9)</f>
        <v>Bebida</v>
      </c>
      <c r="D18" s="230" t="str">
        <f>HYPERLINK("#'M-Tamaño'!B11", 'M-Tamaño'!B11)</f>
        <v>No aplica</v>
      </c>
      <c r="E18" s="213" t="str">
        <f t="shared" si="0"/>
        <v>Si</v>
      </c>
      <c r="F18" s="302" t="str">
        <f>HYPERLINK("#'M-ProductoInterno'!B20", 'M-ProductoInterno'!B20)</f>
        <v>Mr tea 300 ml</v>
      </c>
      <c r="G18" s="237">
        <f t="array" ref="G18">_xlfn.XLOOKUP(1,('M-HistoricoPrecio'!$B:$B=I18)*('M-HistoricoPrecio'!$E:$E="01/01/1000"),'M-HistoricoPrecio'!$C:$C,"")</f>
        <v>4500</v>
      </c>
      <c r="H18" s="237" t="s">
        <v>15</v>
      </c>
      <c r="I18" s="287" t="str">
        <f t="shared" si="1"/>
        <v>Mr tea 300 ml</v>
      </c>
    </row>
    <row r="19" spans="1:9" ht="15.8" customHeight="1">
      <c r="A19" s="237">
        <v>12</v>
      </c>
      <c r="B19" s="213" t="s">
        <v>760</v>
      </c>
      <c r="C19" s="288" t="str">
        <f>HYPERLINK("#'M-TipoProducto'!B8", 'M-TipoProducto'!B8)</f>
        <v>Pizza</v>
      </c>
      <c r="D19" s="288" t="str">
        <f>HYPERLINK("#'M-Tamaño'!B8", 'M-Tamaño'!B8)</f>
        <v>Grande</v>
      </c>
      <c r="E19" s="213" t="str">
        <f t="shared" si="0"/>
        <v>No</v>
      </c>
      <c r="F19" s="302" t="str">
        <f>HYPERLINK("#'M-ProductoInterno'!B22", 'M-ProductoInterno'!B22)</f>
        <v>Sin insumo</v>
      </c>
      <c r="G19" s="237">
        <f t="array" ref="G19">_xlfn.XLOOKUP(1,('M-HistoricoPrecio'!$B:$B=I19)*('M-HistoricoPrecio'!$E:$E="01/01/1000"),'M-HistoricoPrecio'!$C:$C,"")</f>
        <v>35000</v>
      </c>
      <c r="H19" s="237" t="s">
        <v>15</v>
      </c>
      <c r="I19" s="287" t="str">
        <f t="shared" si="1"/>
        <v>Hawaiana Grande</v>
      </c>
    </row>
  </sheetData>
  <mergeCells count="9">
    <mergeCell ref="C3:C5"/>
    <mergeCell ref="I3:I5"/>
    <mergeCell ref="A3:A5"/>
    <mergeCell ref="E3:E5"/>
    <mergeCell ref="G3:G5"/>
    <mergeCell ref="D3:D5"/>
    <mergeCell ref="B3:B5"/>
    <mergeCell ref="F3:F5"/>
    <mergeCell ref="H3:H5"/>
  </mergeCells>
  <hyperlinks>
    <hyperlink ref="A1" location="'Modelo de dominio'!A1" display="&lt;&lt;&lt;Modelo de Dominio" xr:uid="{00000000-0004-0000-2D00-000000000000}"/>
    <hyperlink ref="B1" location="'Objetos de dominio'!A1" display="&lt;&lt;&lt;Objetos de Dominio" xr:uid="{00000000-0004-0000-2D00-000001000000}"/>
    <hyperlink ref="C7" location="'M-TipoProducto'!A1" display="TipoProducto" xr:uid="{00000000-0004-0000-2D00-000002000000}"/>
    <hyperlink ref="D7" location="'M-Tamaño'!A1" display="Tamaño " xr:uid="{00000000-0004-0000-2D00-000003000000}"/>
    <hyperlink ref="F7" location="'M-TipoProducto'!A1" display="TipoProducto" xr:uid="{244CCA2E-742C-45C4-AB99-5ADFC0B251A5}"/>
  </hyperlinks>
  <pageMargins left="0.75" right="0.75" top="1" bottom="1" header="0.5" footer="0.5"/>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81">
    <outlinePr summaryBelow="0" summaryRight="0"/>
  </sheetPr>
  <dimension ref="A1:WQJ33"/>
  <sheetViews>
    <sheetView topLeftCell="A25" zoomScale="67" workbookViewId="0">
      <selection activeCell="Q44" sqref="Q44"/>
    </sheetView>
  </sheetViews>
  <sheetFormatPr baseColWidth="10" defaultColWidth="12.625" defaultRowHeight="12.9"/>
  <cols>
    <col min="1" max="1" width="27.75" bestFit="1" customWidth="1"/>
    <col min="2" max="2" width="108.625" customWidth="1"/>
    <col min="3" max="3" width="34.375" bestFit="1" customWidth="1"/>
    <col min="4" max="4" width="24" bestFit="1" customWidth="1"/>
    <col min="5" max="5" width="20.875" customWidth="1"/>
    <col min="6" max="6" width="27" bestFit="1" customWidth="1"/>
    <col min="7" max="7" width="29" customWidth="1"/>
    <col min="8" max="8" width="25.25" customWidth="1"/>
    <col min="9" max="9" width="56.375" bestFit="1" customWidth="1"/>
    <col min="10" max="10" width="23.25" bestFit="1" customWidth="1"/>
    <col min="11" max="11" width="21.75" bestFit="1" customWidth="1"/>
    <col min="12" max="12" width="18.75" bestFit="1" customWidth="1"/>
    <col min="13" max="13" width="105.375" customWidth="1"/>
    <col min="14" max="14" width="65.625" customWidth="1"/>
    <col min="15" max="15" width="31.25" bestFit="1" customWidth="1"/>
    <col min="16" max="16" width="28.25" bestFit="1" customWidth="1"/>
    <col min="17" max="17" width="74.125" bestFit="1" customWidth="1"/>
    <col min="18" max="18" width="64.125" bestFit="1" customWidth="1"/>
    <col min="19" max="19" width="23.875" bestFit="1" customWidth="1"/>
    <col min="20" max="20" width="27.375" bestFit="1" customWidth="1"/>
    <col min="21" max="21" width="15.25" bestFit="1" customWidth="1"/>
    <col min="22" max="22" width="19.125" customWidth="1"/>
    <col min="23" max="23" width="18" customWidth="1"/>
    <col min="24" max="24" width="25.5" bestFit="1" customWidth="1"/>
  </cols>
  <sheetData>
    <row r="1" spans="1:24" ht="13.75" customHeight="1">
      <c r="A1" s="2" t="s">
        <v>0</v>
      </c>
      <c r="B1" s="132" t="s">
        <v>1</v>
      </c>
      <c r="C1" s="25"/>
      <c r="D1" s="25"/>
      <c r="E1" s="25"/>
      <c r="F1" s="25"/>
      <c r="G1" s="25"/>
      <c r="H1" s="25"/>
      <c r="I1" s="25"/>
      <c r="J1" s="25"/>
      <c r="K1" s="25"/>
      <c r="L1" s="25"/>
      <c r="M1" s="25"/>
      <c r="N1" s="25"/>
      <c r="O1" s="25"/>
      <c r="P1" s="25"/>
      <c r="Q1" s="25"/>
      <c r="R1" s="25"/>
      <c r="S1" s="25"/>
      <c r="T1" s="25"/>
      <c r="U1" s="25"/>
    </row>
    <row r="2" spans="1:24" ht="14.3" customHeight="1">
      <c r="A2" s="242" t="s">
        <v>20</v>
      </c>
      <c r="B2" s="1383" t="s">
        <v>42</v>
      </c>
      <c r="C2" s="1123"/>
      <c r="D2" s="1123"/>
      <c r="E2" s="1123"/>
      <c r="F2" s="1123"/>
      <c r="G2" s="1123"/>
      <c r="H2" s="1123"/>
      <c r="I2" s="1123"/>
      <c r="J2" s="1123"/>
      <c r="K2" s="1123"/>
      <c r="L2" s="1123"/>
      <c r="M2" s="1123"/>
      <c r="N2" s="1123"/>
      <c r="O2" s="1123"/>
      <c r="P2" s="1123"/>
      <c r="Q2" s="1123"/>
      <c r="R2" s="1123"/>
      <c r="S2" s="1123"/>
      <c r="T2" s="1123"/>
      <c r="U2" s="1124"/>
    </row>
    <row r="3" spans="1:24" ht="14.3" customHeight="1">
      <c r="A3" s="242" t="s">
        <v>79</v>
      </c>
      <c r="B3" s="1384" t="str">
        <f>HYPERLINK("#'Objetos de dominio'!B12", 'Objetos de dominio'!B14)</f>
        <v>Son los productos que la pizzería vende, como las pizzas, las bebidas y las adiciones.</v>
      </c>
      <c r="C3" s="1123"/>
      <c r="D3" s="1123"/>
      <c r="E3" s="1123"/>
      <c r="F3" s="1123"/>
      <c r="G3" s="1123"/>
      <c r="H3" s="1123"/>
      <c r="I3" s="1123"/>
      <c r="J3" s="1123"/>
      <c r="K3" s="1123"/>
      <c r="L3" s="1123"/>
      <c r="M3" s="1123"/>
      <c r="N3" s="1123"/>
      <c r="O3" s="1123"/>
      <c r="P3" s="1123"/>
      <c r="Q3" s="1123"/>
      <c r="R3" s="1123"/>
      <c r="S3" s="1123"/>
      <c r="T3" s="1123"/>
      <c r="U3" s="1124"/>
    </row>
    <row r="4" spans="1:24" ht="14.3" customHeight="1">
      <c r="A4" s="243" t="s">
        <v>80</v>
      </c>
      <c r="B4" s="721" t="s">
        <v>81</v>
      </c>
      <c r="C4" s="243" t="s">
        <v>82</v>
      </c>
      <c r="D4" s="243" t="s">
        <v>8</v>
      </c>
      <c r="E4" s="243" t="s">
        <v>14</v>
      </c>
      <c r="F4" s="243" t="s">
        <v>83</v>
      </c>
      <c r="G4" s="243" t="s">
        <v>84</v>
      </c>
      <c r="H4" s="243" t="s">
        <v>85</v>
      </c>
      <c r="I4" s="243" t="s">
        <v>86</v>
      </c>
      <c r="J4" s="243" t="s">
        <v>87</v>
      </c>
      <c r="K4" s="243" t="s">
        <v>88</v>
      </c>
      <c r="L4" s="243" t="s">
        <v>89</v>
      </c>
      <c r="M4" s="243" t="s">
        <v>90</v>
      </c>
      <c r="N4" s="243" t="s">
        <v>91</v>
      </c>
      <c r="O4" s="243" t="s">
        <v>92</v>
      </c>
      <c r="P4" s="243" t="s">
        <v>93</v>
      </c>
      <c r="Q4" s="243" t="s">
        <v>94</v>
      </c>
      <c r="R4" s="243" t="s">
        <v>95</v>
      </c>
      <c r="S4" s="243" t="s">
        <v>96</v>
      </c>
      <c r="T4" s="243" t="s">
        <v>97</v>
      </c>
      <c r="U4" s="718" t="s">
        <v>98</v>
      </c>
      <c r="V4" s="686" t="str">
        <f>HYPERLINK("#'C-Producto'!A21", 'C-Producto'!A21)</f>
        <v>Registrar producto</v>
      </c>
      <c r="W4" s="688" t="str">
        <f>HYPERLINK("#'C-Producto'!A28", 'C-Producto'!A28)</f>
        <v>Inactivar producto</v>
      </c>
      <c r="X4" s="872" t="str">
        <f>HYPERLINK("#'C-Producto'!A31", 'C-Producto'!A31)</f>
        <v>Consultar productos activos</v>
      </c>
    </row>
    <row r="5" spans="1:24" ht="14.3" customHeight="1">
      <c r="A5" s="719" t="str">
        <f>HYPERLINK("#'M-Producto'!A7", 'M-Producto'!A7)</f>
        <v>Id</v>
      </c>
      <c r="B5" s="708" t="str">
        <f>HYPERLINK("#'M-Producto'!A2", 'M-Producto'!A2)</f>
        <v>Identificador unico de cada producto que vende la pizzeria</v>
      </c>
      <c r="C5" s="720" t="s">
        <v>15</v>
      </c>
      <c r="D5" s="244" t="s">
        <v>99</v>
      </c>
      <c r="E5" s="244" t="s">
        <v>15</v>
      </c>
      <c r="F5" s="244"/>
      <c r="G5" s="244"/>
      <c r="H5" s="244"/>
      <c r="I5" s="244"/>
      <c r="J5" s="244"/>
      <c r="K5" s="244"/>
      <c r="L5" s="244"/>
      <c r="M5" s="244"/>
      <c r="N5" s="244" t="s">
        <v>100</v>
      </c>
      <c r="O5" s="244" t="s">
        <v>100</v>
      </c>
      <c r="P5" s="244"/>
      <c r="Q5" s="244" t="s">
        <v>100</v>
      </c>
      <c r="R5" s="244" t="s">
        <v>100</v>
      </c>
      <c r="S5" s="244" t="s">
        <v>100</v>
      </c>
      <c r="T5" s="244"/>
      <c r="U5" s="244" t="s">
        <v>15</v>
      </c>
      <c r="V5" s="684" t="s">
        <v>101</v>
      </c>
      <c r="W5" s="687" t="s">
        <v>101</v>
      </c>
      <c r="X5" s="873" t="s">
        <v>274</v>
      </c>
    </row>
    <row r="6" spans="1:24" ht="14.3" customHeight="1">
      <c r="A6" s="238" t="str">
        <f>HYPERLINK("#'M-Producto'!B7", 'M-Producto'!B7)</f>
        <v>Nombre</v>
      </c>
      <c r="B6" s="722" t="str">
        <f>HYPERLINK("#'M-Producto'!B2", 'M-Producto'!B2)</f>
        <v xml:space="preserve">Nombre del prodcuto , si es un producto interno entonces el nombre debe coincidir con uno ya existente </v>
      </c>
      <c r="C6" s="244" t="s">
        <v>100</v>
      </c>
      <c r="D6" s="244" t="s">
        <v>280</v>
      </c>
      <c r="E6" s="244" t="s">
        <v>15</v>
      </c>
      <c r="F6" s="245">
        <v>1</v>
      </c>
      <c r="G6" s="245">
        <v>40</v>
      </c>
      <c r="H6" s="244"/>
      <c r="I6" s="244"/>
      <c r="J6" s="244"/>
      <c r="K6" s="244"/>
      <c r="L6" s="244"/>
      <c r="M6" s="244" t="s">
        <v>1168</v>
      </c>
      <c r="N6" s="244" t="s">
        <v>100</v>
      </c>
      <c r="O6" s="244" t="s">
        <v>100</v>
      </c>
      <c r="P6" s="244"/>
      <c r="Q6" s="244" t="s">
        <v>15</v>
      </c>
      <c r="R6" s="244" t="s">
        <v>15</v>
      </c>
      <c r="S6" s="244" t="s">
        <v>100</v>
      </c>
      <c r="T6" s="244"/>
      <c r="U6" s="244" t="s">
        <v>100</v>
      </c>
      <c r="V6" s="582" t="s">
        <v>101</v>
      </c>
      <c r="W6" s="557" t="s">
        <v>276</v>
      </c>
      <c r="X6" s="519" t="s">
        <v>278</v>
      </c>
    </row>
    <row r="7" spans="1:24" ht="16.5" customHeight="1">
      <c r="A7" s="238" t="str">
        <f>HYPERLINK("#'M-Producto'!C7", 'M-Producto'!C7)</f>
        <v>TipoProducto</v>
      </c>
      <c r="B7" s="238" t="str">
        <f>HYPERLINK("#'M-Producto'!C2", 'M-Producto'!C2)</f>
        <v>Tipo de producto al que pertenece (Pizza, Bebida o Adicion)</v>
      </c>
      <c r="C7" s="244" t="s">
        <v>100</v>
      </c>
      <c r="D7" s="244" t="s">
        <v>30</v>
      </c>
      <c r="E7" s="244" t="s">
        <v>15</v>
      </c>
      <c r="F7" s="245"/>
      <c r="G7" s="245"/>
      <c r="H7" s="244"/>
      <c r="I7" s="244"/>
      <c r="J7" s="244"/>
      <c r="K7" s="244"/>
      <c r="L7" s="244"/>
      <c r="M7" s="244" t="s">
        <v>761</v>
      </c>
      <c r="N7" s="244" t="s">
        <v>100</v>
      </c>
      <c r="O7" s="244" t="s">
        <v>100</v>
      </c>
      <c r="P7" s="244"/>
      <c r="Q7" s="244" t="s">
        <v>100</v>
      </c>
      <c r="R7" s="244" t="s">
        <v>100</v>
      </c>
      <c r="S7" s="244" t="s">
        <v>100</v>
      </c>
      <c r="T7" s="244"/>
      <c r="U7" s="244" t="s">
        <v>100</v>
      </c>
      <c r="V7" s="582" t="s">
        <v>101</v>
      </c>
      <c r="W7" s="557" t="s">
        <v>276</v>
      </c>
      <c r="X7" s="519" t="s">
        <v>278</v>
      </c>
    </row>
    <row r="8" spans="1:24" ht="13.75" customHeight="1">
      <c r="A8" s="803" t="str">
        <f>HYPERLINK("#'M-Producto'!D7", 'M-Producto'!D7)</f>
        <v>Tamaño</v>
      </c>
      <c r="B8" s="803" t="str">
        <f>HYPERLINK("#'M-Producto'!D2", 'M-Producto'!D2)</f>
        <v>Tamaño del producto (Grande, Mediana o Pequeña) para productos que no son pizza el valor es No aplica</v>
      </c>
      <c r="C8" s="239" t="s">
        <v>100</v>
      </c>
      <c r="D8" s="239" t="s">
        <v>751</v>
      </c>
      <c r="E8" s="239" t="s">
        <v>15</v>
      </c>
      <c r="F8" s="246"/>
      <c r="G8" s="246"/>
      <c r="H8" s="239"/>
      <c r="I8" s="239"/>
      <c r="J8" s="239"/>
      <c r="K8" s="239"/>
      <c r="L8" s="239"/>
      <c r="M8" s="239" t="s">
        <v>762</v>
      </c>
      <c r="N8" s="239" t="s">
        <v>100</v>
      </c>
      <c r="O8" s="239" t="s">
        <v>100</v>
      </c>
      <c r="P8" s="239"/>
      <c r="Q8" s="244" t="s">
        <v>100</v>
      </c>
      <c r="R8" s="244" t="s">
        <v>100</v>
      </c>
      <c r="S8" s="239" t="s">
        <v>100</v>
      </c>
      <c r="T8" s="239"/>
      <c r="U8" s="244" t="s">
        <v>100</v>
      </c>
      <c r="V8" s="582" t="s">
        <v>101</v>
      </c>
      <c r="W8" s="557" t="s">
        <v>276</v>
      </c>
      <c r="X8" s="519" t="s">
        <v>278</v>
      </c>
    </row>
    <row r="9" spans="1:24" ht="13.75" customHeight="1">
      <c r="A9" s="804" t="str">
        <f>HYPERLINK("#'M-Producto'!E7", 'M-Producto'!E7)</f>
        <v>ProductoInterno</v>
      </c>
      <c r="B9" s="804" t="str">
        <f>HYPERLINK("#'M-Producto'!E2", 'M-Producto'!E2)</f>
        <v>Dato calculado: indica si el producto se vende directamente desde el inventario (por ejemplo una bebida). Es Si cuando tiene un ProductoInternoAsociado y No cuando el asociado es "Sin insumo"</v>
      </c>
      <c r="C9" s="239" t="s">
        <v>100</v>
      </c>
      <c r="D9" s="239" t="s">
        <v>643</v>
      </c>
      <c r="E9" s="239" t="s">
        <v>15</v>
      </c>
      <c r="F9" s="246"/>
      <c r="G9" s="246"/>
      <c r="H9" s="239"/>
      <c r="I9" s="239"/>
      <c r="J9" s="239"/>
      <c r="K9" s="239"/>
      <c r="L9" s="239"/>
      <c r="M9" s="239" t="s">
        <v>1169</v>
      </c>
      <c r="N9" s="239" t="s">
        <v>15</v>
      </c>
      <c r="O9" s="239" t="s">
        <v>100</v>
      </c>
      <c r="P9" s="239"/>
      <c r="Q9" s="244" t="s">
        <v>100</v>
      </c>
      <c r="R9" s="244" t="s">
        <v>100</v>
      </c>
      <c r="S9" s="239" t="s">
        <v>100</v>
      </c>
      <c r="T9" s="239"/>
      <c r="U9" s="244" t="s">
        <v>100</v>
      </c>
      <c r="V9" s="582" t="s">
        <v>101</v>
      </c>
      <c r="W9" s="557" t="s">
        <v>276</v>
      </c>
      <c r="X9" s="519" t="s">
        <v>278</v>
      </c>
    </row>
    <row r="10" spans="1:24" s="614" customFormat="1" ht="13.75" customHeight="1">
      <c r="A10" s="805" t="str">
        <f>HYPERLINK("#'M-Producto'!F7", 'M-Producto'!F7)</f>
        <v>ProductoInternoAsociado</v>
      </c>
      <c r="B10" s="775" t="str">
        <f>HYPERLINK("#'M-Producto'!F2", 'M-Producto'!F2)</f>
        <v>Producto interno asociado al producto. Si ProductoInterno es Si, es el producto interno con el mismo nombre; si no, es el registro "Sin insumo"</v>
      </c>
      <c r="C10" s="877" t="s">
        <v>100</v>
      </c>
      <c r="D10" s="868" t="s">
        <v>38</v>
      </c>
      <c r="E10" s="868" t="s">
        <v>15</v>
      </c>
      <c r="F10" s="878"/>
      <c r="G10" s="878"/>
      <c r="H10" s="868"/>
      <c r="I10" s="681"/>
      <c r="J10" s="681"/>
      <c r="K10" s="681"/>
      <c r="L10" s="868"/>
      <c r="M10" s="868" t="s">
        <v>1170</v>
      </c>
      <c r="N10" s="868" t="s">
        <v>15</v>
      </c>
      <c r="O10" s="868" t="s">
        <v>100</v>
      </c>
      <c r="P10" s="868"/>
      <c r="Q10" s="879" t="s">
        <v>100</v>
      </c>
      <c r="R10" s="879" t="s">
        <v>100</v>
      </c>
      <c r="S10" s="868" t="s">
        <v>100</v>
      </c>
      <c r="T10" s="868" t="s">
        <v>1148</v>
      </c>
      <c r="U10" s="879" t="s">
        <v>100</v>
      </c>
      <c r="V10" s="663" t="s">
        <v>276</v>
      </c>
      <c r="W10" s="664" t="s">
        <v>276</v>
      </c>
      <c r="X10" s="874" t="s">
        <v>274</v>
      </c>
    </row>
    <row r="11" spans="1:24">
      <c r="A11" s="880" t="str">
        <f>HYPERLINK("#'M-Producto'!G7", 'M-Producto'!G7)</f>
        <v>Precio</v>
      </c>
      <c r="B11" s="880" t="str">
        <f>HYPERLINK("#'M-Producto'!G2", 'M-Producto'!G2)</f>
        <v xml:space="preserve">Contiene el precio de venta publico del producto  </v>
      </c>
      <c r="C11" s="239" t="s">
        <v>100</v>
      </c>
      <c r="D11" s="239" t="s">
        <v>13</v>
      </c>
      <c r="E11" s="239" t="s">
        <v>15</v>
      </c>
      <c r="F11" s="239"/>
      <c r="G11" s="239"/>
      <c r="H11" s="239">
        <v>2</v>
      </c>
      <c r="I11" s="881" t="s">
        <v>103</v>
      </c>
      <c r="J11" s="881" t="s">
        <v>104</v>
      </c>
      <c r="K11" s="882">
        <v>1000000</v>
      </c>
      <c r="L11" s="239"/>
      <c r="M11" s="239" t="s">
        <v>1171</v>
      </c>
      <c r="N11" s="244" t="s">
        <v>100</v>
      </c>
      <c r="O11" s="239" t="s">
        <v>100</v>
      </c>
      <c r="P11" s="239"/>
      <c r="Q11" s="244" t="s">
        <v>100</v>
      </c>
      <c r="R11" s="244" t="s">
        <v>100</v>
      </c>
      <c r="S11" s="239" t="s">
        <v>100</v>
      </c>
      <c r="T11" s="239"/>
      <c r="U11" s="244" t="s">
        <v>100</v>
      </c>
      <c r="V11" s="582" t="s">
        <v>101</v>
      </c>
      <c r="W11" s="557" t="s">
        <v>276</v>
      </c>
      <c r="X11" s="519" t="s">
        <v>278</v>
      </c>
    </row>
    <row r="12" spans="1:24" s="614" customFormat="1">
      <c r="A12" s="880" t="str">
        <f>HYPERLINK("#'M-Producto'!H7", 'M-Producto'!H7)</f>
        <v>Activo</v>
      </c>
      <c r="B12" s="880" t="str">
        <f>HYPERLINK("#'M-Producto'!H2", 'M-Producto'!H2)</f>
        <v>Indica si el producto esta activo y disponible para la venta</v>
      </c>
      <c r="C12" s="239" t="s">
        <v>100</v>
      </c>
      <c r="D12" s="239" t="s">
        <v>643</v>
      </c>
      <c r="E12" s="239" t="s">
        <v>15</v>
      </c>
      <c r="F12" s="239"/>
      <c r="G12" s="239"/>
      <c r="H12" s="239"/>
      <c r="I12" s="881"/>
      <c r="J12" s="881"/>
      <c r="K12" s="882"/>
      <c r="L12" s="239"/>
      <c r="M12" s="239" t="s">
        <v>1172</v>
      </c>
      <c r="N12" s="244" t="s">
        <v>100</v>
      </c>
      <c r="O12" s="239" t="s">
        <v>100</v>
      </c>
      <c r="P12" s="239"/>
      <c r="Q12" s="244" t="s">
        <v>100</v>
      </c>
      <c r="R12" s="244" t="s">
        <v>100</v>
      </c>
      <c r="S12" s="239" t="s">
        <v>100</v>
      </c>
      <c r="T12" s="239" t="s">
        <v>15</v>
      </c>
      <c r="U12" s="244" t="s">
        <v>100</v>
      </c>
      <c r="V12" s="582" t="s">
        <v>276</v>
      </c>
      <c r="W12" s="557" t="s">
        <v>276</v>
      </c>
      <c r="X12" s="519" t="s">
        <v>274</v>
      </c>
    </row>
    <row r="13" spans="1:24" s="614" customFormat="1">
      <c r="A13" s="240"/>
      <c r="B13" s="240"/>
      <c r="C13" s="240"/>
      <c r="D13" s="240"/>
      <c r="E13" s="240"/>
      <c r="F13" s="240"/>
      <c r="G13" s="240"/>
      <c r="H13" s="240"/>
      <c r="I13" s="240"/>
      <c r="J13" s="240"/>
      <c r="K13" s="240"/>
      <c r="L13" s="240"/>
      <c r="M13" s="240"/>
      <c r="N13" s="240"/>
      <c r="O13" s="240"/>
      <c r="P13" s="240"/>
      <c r="Q13" s="240"/>
      <c r="R13" s="240"/>
      <c r="S13" s="240"/>
      <c r="T13" s="240"/>
      <c r="U13" s="240"/>
    </row>
    <row r="14" spans="1:24" s="614" customFormat="1">
      <c r="A14" s="240"/>
      <c r="B14" s="240"/>
      <c r="C14" s="240"/>
      <c r="D14" s="240"/>
      <c r="E14" s="240"/>
      <c r="F14" s="240"/>
      <c r="G14" s="240"/>
      <c r="H14" s="240"/>
      <c r="I14" s="240"/>
      <c r="J14" s="240"/>
      <c r="K14" s="240"/>
      <c r="L14" s="240"/>
      <c r="M14" s="240"/>
      <c r="N14" s="240"/>
      <c r="O14" s="240"/>
      <c r="P14" s="240"/>
      <c r="Q14" s="240"/>
      <c r="R14" s="240"/>
      <c r="S14" s="240"/>
      <c r="T14" s="240"/>
      <c r="U14" s="240"/>
    </row>
    <row r="15" spans="1:24" ht="14.3" customHeight="1">
      <c r="A15" s="247" t="s">
        <v>109</v>
      </c>
      <c r="B15" s="247" t="s">
        <v>79</v>
      </c>
      <c r="C15" s="723" t="s">
        <v>110</v>
      </c>
      <c r="D15" s="241"/>
      <c r="E15" s="241"/>
      <c r="F15" s="241"/>
      <c r="G15" s="241"/>
      <c r="H15" s="241"/>
      <c r="I15" s="241"/>
      <c r="J15" s="241"/>
      <c r="K15" s="241"/>
      <c r="L15" s="241"/>
      <c r="M15" s="241"/>
      <c r="N15" s="241"/>
      <c r="O15" s="241"/>
      <c r="P15" s="241"/>
      <c r="Q15" s="241"/>
      <c r="R15" s="241"/>
      <c r="S15" s="241"/>
      <c r="T15" s="241"/>
      <c r="U15" s="241"/>
    </row>
    <row r="16" spans="1:24" ht="13.75" customHeight="1">
      <c r="A16" s="1386" t="s">
        <v>111</v>
      </c>
      <c r="B16" s="1385" t="s">
        <v>763</v>
      </c>
      <c r="C16" s="806" t="str">
        <f>HYPERLINK("#'C-Producto'!A6", 'C-Producto'!A6)</f>
        <v>Nombre</v>
      </c>
      <c r="D16" s="241"/>
      <c r="E16" s="241"/>
      <c r="F16" s="241"/>
      <c r="G16" s="241"/>
      <c r="H16" s="241"/>
      <c r="I16" s="241"/>
      <c r="J16" s="241"/>
      <c r="K16" s="241"/>
      <c r="L16" s="241"/>
      <c r="M16" s="241"/>
      <c r="N16" s="241"/>
      <c r="O16" s="241"/>
      <c r="P16" s="241"/>
      <c r="Q16" s="241"/>
      <c r="R16" s="241"/>
      <c r="S16" s="241"/>
      <c r="T16" s="241"/>
      <c r="U16" s="241"/>
    </row>
    <row r="17" spans="1:21 16000:16000" s="614" customFormat="1" ht="13.75" customHeight="1">
      <c r="A17" s="1089"/>
      <c r="B17" s="1078"/>
      <c r="C17" s="807" t="str">
        <f>HYPERLINK("#'C-Producto'!A8", 'C-Producto'!A8)</f>
        <v>Tamaño</v>
      </c>
      <c r="D17" s="240"/>
      <c r="E17" s="240"/>
      <c r="F17" s="240"/>
      <c r="G17" s="240"/>
      <c r="H17" s="240"/>
      <c r="I17" s="240"/>
      <c r="J17" s="240"/>
      <c r="K17" s="240"/>
      <c r="L17" s="240"/>
      <c r="M17" s="240"/>
      <c r="N17" s="240"/>
      <c r="O17" s="240"/>
      <c r="P17" s="240"/>
      <c r="Q17" s="240"/>
      <c r="R17" s="240"/>
      <c r="S17" s="240"/>
      <c r="T17" s="240"/>
      <c r="U17" s="240"/>
    </row>
    <row r="18" spans="1:21 16000:16000" ht="13.75" customHeight="1"/>
    <row r="19" spans="1:21 16000:16000" ht="14.3" customHeight="1">
      <c r="A19" s="1116" t="s">
        <v>113</v>
      </c>
      <c r="B19" s="1077"/>
      <c r="C19" s="1116" t="s">
        <v>79</v>
      </c>
      <c r="D19" s="1076"/>
      <c r="E19" s="1076"/>
      <c r="F19" s="1077"/>
      <c r="G19" s="1116" t="s">
        <v>114</v>
      </c>
      <c r="H19" s="1123"/>
      <c r="I19" s="1124"/>
      <c r="J19" s="1132" t="s">
        <v>115</v>
      </c>
      <c r="K19" s="1123"/>
      <c r="L19" s="1123"/>
      <c r="M19" s="1123"/>
      <c r="N19" s="1124"/>
      <c r="O19" s="1132" t="s">
        <v>116</v>
      </c>
      <c r="P19" s="1124"/>
      <c r="Q19" s="1132" t="s">
        <v>117</v>
      </c>
      <c r="R19" s="1124"/>
    </row>
    <row r="20" spans="1:21 16000:16000" ht="14.3" customHeight="1">
      <c r="A20" s="1078"/>
      <c r="B20" s="1080"/>
      <c r="C20" s="1078"/>
      <c r="D20" s="1079"/>
      <c r="E20" s="1079"/>
      <c r="F20" s="1080"/>
      <c r="G20" s="551" t="s">
        <v>118</v>
      </c>
      <c r="H20" s="551" t="s">
        <v>8</v>
      </c>
      <c r="I20" s="551" t="s">
        <v>79</v>
      </c>
      <c r="J20" s="691" t="s">
        <v>119</v>
      </c>
      <c r="K20" s="1132" t="s">
        <v>79</v>
      </c>
      <c r="L20" s="1123"/>
      <c r="M20" s="1123"/>
      <c r="N20" s="1124"/>
      <c r="O20" s="271" t="s">
        <v>120</v>
      </c>
      <c r="P20" s="550" t="s">
        <v>79</v>
      </c>
      <c r="Q20" s="550" t="s">
        <v>121</v>
      </c>
      <c r="R20" s="550" t="s">
        <v>122</v>
      </c>
    </row>
    <row r="21" spans="1:21 16000:16000" ht="76.75" customHeight="1">
      <c r="A21" s="1011" t="str">
        <f>HYPERLINK("#'C-Producto'!V4", 'E-Producto'!B7)</f>
        <v>Registrar producto</v>
      </c>
      <c r="B21" s="1012"/>
      <c r="C21" s="1011" t="str">
        <f>'E-Producto'!C7</f>
        <v>Permite incorporar un nuevo producto a la oferta comercial de la pizzería, definiendo la información necesaria para su identificación y comercialización.</v>
      </c>
      <c r="D21" s="1017"/>
      <c r="E21" s="1017"/>
      <c r="F21" s="1012"/>
      <c r="G21" s="1020" t="s">
        <v>123</v>
      </c>
      <c r="H21" s="1020" t="s">
        <v>42</v>
      </c>
      <c r="I21" s="1211" t="s">
        <v>764</v>
      </c>
      <c r="J21" s="1214" t="s">
        <v>42</v>
      </c>
      <c r="K21" s="1208" t="s">
        <v>765</v>
      </c>
      <c r="L21" s="1017"/>
      <c r="M21" s="1017"/>
      <c r="N21" s="1012"/>
      <c r="O21" s="776" t="str">
        <f>HYPERLINK("#'P-Producto'!A5", 'P-Producto'!A5)</f>
        <v>P-PRO-001</v>
      </c>
      <c r="P21" s="552" t="str">
        <f>'P-Producto'!B5</f>
        <v>Asegurar que los datos requeridos para registrar un producto sean validos: nombre de 1 a 40 caracteres, tipo de producto y tamano diligenciados, y precio mayor que 0 y como maximo 1.000.000.</v>
      </c>
      <c r="Q21" s="552" t="s">
        <v>766</v>
      </c>
      <c r="R21" s="552" t="s">
        <v>127</v>
      </c>
    </row>
    <row r="22" spans="1:21 16000:16000" ht="51.65">
      <c r="A22" s="1013"/>
      <c r="B22" s="1014"/>
      <c r="C22" s="1013"/>
      <c r="D22" s="1018"/>
      <c r="E22" s="1018"/>
      <c r="F22" s="1014"/>
      <c r="G22" s="1021"/>
      <c r="H22" s="1021"/>
      <c r="I22" s="1212"/>
      <c r="J22" s="1215"/>
      <c r="K22" s="1209"/>
      <c r="L22" s="1018"/>
      <c r="M22" s="1018"/>
      <c r="N22" s="1014"/>
      <c r="O22" s="776" t="str">
        <f>HYPERLINK("#'P-Producto'!A6", 'P-Producto'!A6)</f>
        <v>P-PRO-002</v>
      </c>
      <c r="P22" s="552" t="str">
        <f>'P-Producto'!B6</f>
        <v>Asegurar que el identificador generado para el producto no esté siendo utilizado por otro producto.</v>
      </c>
      <c r="Q22" s="552" t="s">
        <v>767</v>
      </c>
      <c r="R22" s="552" t="s">
        <v>661</v>
      </c>
    </row>
    <row r="23" spans="1:21 16000:16000" ht="51.65">
      <c r="A23" s="1013"/>
      <c r="B23" s="1014"/>
      <c r="C23" s="1013"/>
      <c r="D23" s="1018"/>
      <c r="E23" s="1018"/>
      <c r="F23" s="1014"/>
      <c r="G23" s="1021"/>
      <c r="H23" s="1021"/>
      <c r="I23" s="1212"/>
      <c r="J23" s="1215"/>
      <c r="K23" s="1209"/>
      <c r="L23" s="1018"/>
      <c r="M23" s="1018"/>
      <c r="N23" s="1014"/>
      <c r="O23" s="776" t="str">
        <f>HYPERLINK("#'P-Producto'!A7", 'P-Producto'!A7)</f>
        <v>P-PRO-003</v>
      </c>
      <c r="P23" s="552" t="str">
        <f>'P-Producto'!B7</f>
        <v>Asegurar que no exista otro producto con el mismo Nombre y el mismo Tamaño al registrar el producto.</v>
      </c>
      <c r="Q23" s="552" t="s">
        <v>768</v>
      </c>
      <c r="R23" s="552" t="s">
        <v>769</v>
      </c>
    </row>
    <row r="24" spans="1:21 16000:16000" ht="51.65">
      <c r="A24" s="1013"/>
      <c r="B24" s="1014"/>
      <c r="C24" s="1013"/>
      <c r="D24" s="1018"/>
      <c r="E24" s="1018"/>
      <c r="F24" s="1014"/>
      <c r="G24" s="1021"/>
      <c r="H24" s="1021"/>
      <c r="I24" s="1212"/>
      <c r="J24" s="1215"/>
      <c r="K24" s="1209"/>
      <c r="L24" s="1018"/>
      <c r="M24" s="1018"/>
      <c r="N24" s="1014"/>
      <c r="O24" s="776" t="str">
        <f>HYPERLINK("#'P-Producto'!A8", 'P-Producto'!A8)</f>
        <v>P-PRO-004</v>
      </c>
      <c r="P24" s="552" t="str">
        <f>'P-Producto'!B8</f>
        <v>Asegurar que el tipo de producto utilizado para registrar el producto corresponda a un tipo válido definido por la pizzería.</v>
      </c>
      <c r="Q24" s="552" t="s">
        <v>770</v>
      </c>
      <c r="R24" s="552" t="s">
        <v>771</v>
      </c>
    </row>
    <row r="25" spans="1:21 16000:16000" ht="103.25">
      <c r="A25" s="1013"/>
      <c r="B25" s="1014"/>
      <c r="C25" s="1013"/>
      <c r="D25" s="1018"/>
      <c r="E25" s="1018"/>
      <c r="F25" s="1014"/>
      <c r="G25" s="1021"/>
      <c r="H25" s="1021"/>
      <c r="I25" s="1212"/>
      <c r="J25" s="1215"/>
      <c r="K25" s="1209"/>
      <c r="L25" s="1018"/>
      <c r="M25" s="1018"/>
      <c r="N25" s="1014"/>
      <c r="O25" s="776" t="str">
        <f>HYPERLINK("#'P-Producto'!A9", 'P-Producto'!A9)</f>
        <v>P-PRO-005</v>
      </c>
      <c r="P25" s="552" t="str">
        <f>'P-Producto'!B9</f>
        <v>Asegurar que, cuando el producto sea un producto interno, exista un producto interno con el mismo nombre y se asocie como ProductoInternoAsociado; si no es producto interno, se asocia el registro "Sin insumo".</v>
      </c>
      <c r="Q25" s="552" t="s">
        <v>1515</v>
      </c>
      <c r="R25" s="552" t="s">
        <v>1516</v>
      </c>
    </row>
    <row r="26" spans="1:21 16000:16000" ht="51.65">
      <c r="A26" s="1013"/>
      <c r="B26" s="1014"/>
      <c r="C26" s="1013"/>
      <c r="D26" s="1018"/>
      <c r="E26" s="1018"/>
      <c r="F26" s="1014"/>
      <c r="G26" s="1021"/>
      <c r="H26" s="1021"/>
      <c r="I26" s="1212"/>
      <c r="J26" s="1215"/>
      <c r="K26" s="1209"/>
      <c r="L26" s="1018"/>
      <c r="M26" s="1018"/>
      <c r="N26" s="1014"/>
      <c r="O26" s="776" t="str">
        <f>HYPERLINK("#'P-Producto'!A10", 'P-Producto'!A10)</f>
        <v>P-PRO-006</v>
      </c>
      <c r="P26" s="552" t="str">
        <f>'P-Producto'!B10</f>
        <v>Asegurar que el tamaño utilizado para registrar el producto corresponda a un tamaño válido definido por la pizzería.</v>
      </c>
      <c r="Q26" s="552" t="s">
        <v>772</v>
      </c>
      <c r="R26" s="552" t="s">
        <v>773</v>
      </c>
    </row>
    <row r="27" spans="1:21 16000:16000" ht="64.55">
      <c r="A27" s="1015"/>
      <c r="B27" s="1016"/>
      <c r="C27" s="1015"/>
      <c r="D27" s="1019"/>
      <c r="E27" s="1019"/>
      <c r="F27" s="1016"/>
      <c r="G27" s="1022"/>
      <c r="H27" s="1022"/>
      <c r="I27" s="1213"/>
      <c r="J27" s="1215"/>
      <c r="K27" s="1210"/>
      <c r="L27" s="1019"/>
      <c r="M27" s="1019"/>
      <c r="N27" s="1016"/>
      <c r="O27" s="776" t="str">
        <f>HYPERLINK("#'P-Producto'!A14", 'P-Producto'!A14)</f>
        <v>P-PRO-010</v>
      </c>
      <c r="P27" s="552" t="str">
        <f>'P-Producto'!B14</f>
        <v>Al registrar un producto, su precio queda registrado en HistoricoPrecio como precio vigente desde la fecha de registro (FechaFin 01/01/1000).</v>
      </c>
      <c r="Q27" s="552" t="s">
        <v>1517</v>
      </c>
      <c r="R27" s="552" t="s">
        <v>1518</v>
      </c>
    </row>
    <row r="28" spans="1:21 16000:16000" ht="25.5" customHeight="1">
      <c r="A28" s="1388" t="str">
        <f>HYPERLINK("#'C-Producto'!W4", 'E-Producto'!B14)</f>
        <v>Inactivar producto</v>
      </c>
      <c r="B28" s="1389"/>
      <c r="C28" s="1388" t="str">
        <f>'E-Producto'!C14</f>
        <v>Permite inactivar un producto que la pizzeria ya no ofrece: no se puede vender, pero se conserva su historial de precios, ventas y recetas.</v>
      </c>
      <c r="D28" s="1394"/>
      <c r="E28" s="1394"/>
      <c r="F28" s="1389"/>
      <c r="G28" s="1406" t="s">
        <v>16</v>
      </c>
      <c r="H28" s="1409" t="s">
        <v>299</v>
      </c>
      <c r="I28" s="1409" t="s">
        <v>774</v>
      </c>
      <c r="J28" s="1410" t="s">
        <v>42</v>
      </c>
      <c r="K28" s="1397" t="s">
        <v>1519</v>
      </c>
      <c r="L28" s="1398"/>
      <c r="M28" s="1398"/>
      <c r="N28" s="1399"/>
      <c r="O28" s="768" t="str">
        <f>HYPERLINK("#'P-Producto'!A11", 'P-Producto'!A11)</f>
        <v>P-PRO-007</v>
      </c>
      <c r="P28" s="570" t="str">
        <f>'P-Producto'!B11</f>
        <v>Asegurar que el producto que se quiere inactivar se encuentre registrado en el sistema.</v>
      </c>
      <c r="Q28" s="570" t="s">
        <v>775</v>
      </c>
      <c r="R28" s="570" t="s">
        <v>776</v>
      </c>
    </row>
    <row r="29" spans="1:21 16000:16000" s="614" customFormat="1" ht="25.5" customHeight="1">
      <c r="A29" s="1390"/>
      <c r="B29" s="1391"/>
      <c r="C29" s="1390"/>
      <c r="D29" s="1395"/>
      <c r="E29" s="1395"/>
      <c r="F29" s="1391"/>
      <c r="G29" s="1407"/>
      <c r="H29" s="1410"/>
      <c r="I29" s="1410"/>
      <c r="J29" s="1410"/>
      <c r="K29" s="1400"/>
      <c r="L29" s="1401"/>
      <c r="M29" s="1401"/>
      <c r="N29" s="1402"/>
      <c r="O29" s="768" t="str">
        <f>HYPERLINK("#'P-Producto'!A16", 'P-Producto'!A16)</f>
        <v>P-PRO-012</v>
      </c>
      <c r="P29" s="570" t="str">
        <f>'P-Producto'!B16</f>
        <v>Asegurar que el producto que se desea inactivar no se encuentre ya inactivo.</v>
      </c>
      <c r="Q29" s="570" t="s">
        <v>1520</v>
      </c>
      <c r="R29" s="570" t="s">
        <v>1521</v>
      </c>
      <c r="WQJ29"/>
    </row>
    <row r="30" spans="1:21 16000:16000" s="614" customFormat="1" ht="25.5" customHeight="1">
      <c r="A30" s="1392"/>
      <c r="B30" s="1393"/>
      <c r="C30" s="1392"/>
      <c r="D30" s="1396"/>
      <c r="E30" s="1396"/>
      <c r="F30" s="1393"/>
      <c r="G30" s="1408"/>
      <c r="H30" s="1411"/>
      <c r="I30" s="1411"/>
      <c r="J30" s="1411"/>
      <c r="K30" s="1403"/>
      <c r="L30" s="1404"/>
      <c r="M30" s="1404"/>
      <c r="N30" s="1405"/>
      <c r="O30" s="768" t="str">
        <f>HYPERLINK("#'P-Producto'!A12", 'P-Producto'!A12)</f>
        <v>P-PRO-008</v>
      </c>
      <c r="P30" s="570" t="str">
        <f>'P-Producto'!B12</f>
        <v>Asegurar que al inactivar un producto se conserve su informacion historica (precios, ventas y recetas), aunque ya no se ofrezca en la pizzeria.</v>
      </c>
      <c r="Q30" s="570" t="s">
        <v>1522</v>
      </c>
      <c r="R30" s="570" t="s">
        <v>1523</v>
      </c>
      <c r="WQJ30"/>
    </row>
    <row r="31" spans="1:21 16000:16000" s="614" customFormat="1" ht="25.5" customHeight="1">
      <c r="A31" s="1387" t="str">
        <f>HYPERLINK("#'C-Producto'!X4", 'E-Producto'!B17)</f>
        <v>Consultar productos activos</v>
      </c>
      <c r="B31" s="1387"/>
      <c r="C31" s="1387" t="str">
        <f>'E-Producto'!C17</f>
        <v>Permite consultar los productos activos que la pizzeria ofrece, por ejemplo para registrar una venta o armar una receta.</v>
      </c>
      <c r="D31" s="1387"/>
      <c r="E31" s="1387"/>
      <c r="F31" s="1387"/>
      <c r="G31" s="883" t="s">
        <v>1405</v>
      </c>
      <c r="H31" s="519" t="s">
        <v>1406</v>
      </c>
      <c r="I31" s="519" t="s">
        <v>1407</v>
      </c>
      <c r="J31" s="519" t="s">
        <v>1524</v>
      </c>
      <c r="K31" s="1387" t="s">
        <v>1525</v>
      </c>
      <c r="L31" s="1387"/>
      <c r="M31" s="1387"/>
      <c r="N31" s="1387"/>
      <c r="O31" s="884" t="str">
        <f>HYPERLINK("#'P-Producto'!A17", 'P-Producto'!A17)</f>
        <v>P-PRO-013</v>
      </c>
      <c r="P31" s="519" t="str">
        <f>'P-Producto'!B17</f>
        <v>Asegurar que solo se consulten los productos activos.</v>
      </c>
      <c r="Q31" s="519" t="s">
        <v>1526</v>
      </c>
      <c r="R31" s="519" t="s">
        <v>1527</v>
      </c>
      <c r="WQJ31"/>
    </row>
    <row r="33" spans="15:15">
      <c r="O33" s="274"/>
    </row>
  </sheetData>
  <mergeCells count="28">
    <mergeCell ref="A31:B31"/>
    <mergeCell ref="C31:F31"/>
    <mergeCell ref="K31:N31"/>
    <mergeCell ref="A28:B30"/>
    <mergeCell ref="C28:F30"/>
    <mergeCell ref="K28:N30"/>
    <mergeCell ref="G28:G30"/>
    <mergeCell ref="H28:H30"/>
    <mergeCell ref="I28:I30"/>
    <mergeCell ref="J28:J30"/>
    <mergeCell ref="A16:A17"/>
    <mergeCell ref="J19:N19"/>
    <mergeCell ref="A19:B20"/>
    <mergeCell ref="A21:B27"/>
    <mergeCell ref="C21:F27"/>
    <mergeCell ref="K21:N27"/>
    <mergeCell ref="G21:G27"/>
    <mergeCell ref="H21:H27"/>
    <mergeCell ref="I21:I27"/>
    <mergeCell ref="J21:J27"/>
    <mergeCell ref="B2:U2"/>
    <mergeCell ref="C19:F20"/>
    <mergeCell ref="O19:P19"/>
    <mergeCell ref="Q19:R19"/>
    <mergeCell ref="G19:I19"/>
    <mergeCell ref="B3:U3"/>
    <mergeCell ref="B16:B17"/>
    <mergeCell ref="K20:N20"/>
  </mergeCells>
  <hyperlinks>
    <hyperlink ref="A1" location="'Modelo de dominio'!A1" display="&lt;&lt;&lt;Modelo de Dominio" xr:uid="{00000000-0004-0000-2E00-000000000000}"/>
    <hyperlink ref="B1" location="'Objetos de dominio'!A1" display="&lt;&lt;&lt;Objetos de Dominio" xr:uid="{00000000-0004-0000-2E00-000001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82">
    <outlinePr summaryBelow="0" summaryRight="0"/>
  </sheetPr>
  <dimension ref="A1:WQJ998"/>
  <sheetViews>
    <sheetView workbookViewId="0">
      <selection activeCell="J23" sqref="J23"/>
    </sheetView>
  </sheetViews>
  <sheetFormatPr baseColWidth="10" defaultColWidth="12.625" defaultRowHeight="12.9"/>
  <cols>
    <col min="1" max="1" width="17" bestFit="1" customWidth="1"/>
    <col min="2" max="2" width="16.625" bestFit="1" customWidth="1"/>
    <col min="3" max="3" width="110.75" bestFit="1" customWidth="1"/>
    <col min="4" max="4" width="26.375" customWidth="1"/>
    <col min="5" max="5" width="35.375" bestFit="1" customWidth="1"/>
    <col min="6" max="6" width="86.25" bestFit="1" customWidth="1"/>
    <col min="7" max="7" width="17.375" bestFit="1" customWidth="1"/>
    <col min="8" max="8" width="13.75" bestFit="1" customWidth="1"/>
    <col min="9" max="9" width="18.125" bestFit="1" customWidth="1"/>
    <col min="10" max="10" width="89.375" bestFit="1" customWidth="1"/>
  </cols>
  <sheetData>
    <row r="1" spans="1:25 16000:16000">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16000:16000" ht="13.75" customHeight="1">
      <c r="A2" s="51" t="s">
        <v>209</v>
      </c>
      <c r="B2" s="1062" t="s">
        <v>42</v>
      </c>
      <c r="C2" s="1032"/>
      <c r="D2" s="1032"/>
      <c r="E2" s="1032"/>
      <c r="F2" s="1032"/>
      <c r="G2" s="1032"/>
      <c r="H2" s="1032"/>
      <c r="I2" s="1032"/>
      <c r="J2" s="1033"/>
      <c r="K2" s="73"/>
      <c r="L2" s="73"/>
      <c r="M2" s="73"/>
      <c r="N2" s="73"/>
      <c r="O2" s="73"/>
      <c r="P2" s="73"/>
      <c r="Q2" s="73"/>
      <c r="R2" s="73"/>
      <c r="S2" s="73"/>
      <c r="T2" s="73"/>
      <c r="U2" s="73"/>
      <c r="V2" s="73"/>
      <c r="W2" s="73"/>
      <c r="X2" s="73"/>
      <c r="Y2" s="73"/>
    </row>
    <row r="3" spans="1:25 16000:16000" ht="13.75" customHeight="1">
      <c r="A3" s="52" t="s">
        <v>210</v>
      </c>
      <c r="B3" s="1412" t="str">
        <f>'C-Producto'!B3</f>
        <v>Son los productos que la pizzería vende, como las pizzas, las bebidas y las adiciones.</v>
      </c>
      <c r="C3" s="971"/>
      <c r="D3" s="971"/>
      <c r="E3" s="971"/>
      <c r="F3" s="971"/>
      <c r="G3" s="971"/>
      <c r="H3" s="971"/>
      <c r="I3" s="971"/>
      <c r="J3" s="971"/>
      <c r="K3" s="73"/>
      <c r="L3" s="73"/>
      <c r="M3" s="73"/>
      <c r="N3" s="73"/>
      <c r="O3" s="73"/>
      <c r="P3" s="73"/>
      <c r="Q3" s="73"/>
      <c r="R3" s="73"/>
      <c r="S3" s="73"/>
      <c r="T3" s="73"/>
      <c r="U3" s="73"/>
      <c r="V3" s="73"/>
      <c r="W3" s="73"/>
      <c r="X3" s="73"/>
      <c r="Y3" s="73"/>
    </row>
    <row r="4" spans="1:25 16000:16000" ht="13.75" customHeight="1">
      <c r="A4" s="575" t="s">
        <v>211</v>
      </c>
      <c r="B4" s="1100" t="s">
        <v>212</v>
      </c>
      <c r="C4" s="1033"/>
      <c r="D4" s="226" t="s">
        <v>213</v>
      </c>
      <c r="E4" s="1106" t="s">
        <v>214</v>
      </c>
      <c r="F4" s="1033"/>
      <c r="G4" s="53" t="s">
        <v>215</v>
      </c>
      <c r="H4" s="381" t="s">
        <v>216</v>
      </c>
      <c r="I4" s="377" t="s">
        <v>217</v>
      </c>
      <c r="J4" s="380" t="s">
        <v>218</v>
      </c>
      <c r="K4" s="73"/>
      <c r="L4" s="73"/>
      <c r="M4" s="73"/>
      <c r="N4" s="73"/>
      <c r="O4" s="73"/>
      <c r="P4" s="73"/>
      <c r="Q4" s="73"/>
      <c r="R4" s="73"/>
      <c r="S4" s="73"/>
      <c r="T4" s="73"/>
      <c r="U4" s="73"/>
      <c r="V4" s="73"/>
      <c r="W4" s="73"/>
      <c r="X4" s="73"/>
      <c r="Y4" s="73"/>
    </row>
    <row r="5" spans="1:25 16000:16000" ht="13.75" customHeight="1">
      <c r="A5" s="1110" t="s">
        <v>211</v>
      </c>
      <c r="B5" s="1100" t="s">
        <v>219</v>
      </c>
      <c r="C5" s="1100" t="s">
        <v>79</v>
      </c>
      <c r="D5" s="1101" t="s">
        <v>220</v>
      </c>
      <c r="E5" s="1106" t="s">
        <v>221</v>
      </c>
      <c r="F5" s="1033"/>
      <c r="G5" s="53" t="s">
        <v>222</v>
      </c>
      <c r="H5" s="1158" t="s">
        <v>223</v>
      </c>
      <c r="I5" s="1103" t="s">
        <v>224</v>
      </c>
      <c r="J5" s="1097" t="s">
        <v>225</v>
      </c>
      <c r="K5" s="73"/>
      <c r="L5" s="73"/>
      <c r="M5" s="73"/>
      <c r="N5" s="73"/>
      <c r="O5" s="73"/>
      <c r="P5" s="73"/>
      <c r="Q5" s="73"/>
      <c r="R5" s="73"/>
      <c r="S5" s="73"/>
      <c r="T5" s="73"/>
      <c r="U5" s="73"/>
      <c r="V5" s="73"/>
      <c r="W5" s="73"/>
      <c r="X5" s="73"/>
      <c r="Y5" s="73"/>
    </row>
    <row r="6" spans="1:25 16000:16000" ht="13.75" customHeight="1">
      <c r="A6" s="1066"/>
      <c r="B6" s="1066"/>
      <c r="C6" s="1066"/>
      <c r="D6" s="1066"/>
      <c r="E6" s="376" t="s">
        <v>226</v>
      </c>
      <c r="F6" s="376" t="s">
        <v>79</v>
      </c>
      <c r="G6" s="273" t="s">
        <v>227</v>
      </c>
      <c r="H6" s="1066"/>
      <c r="I6" s="1066"/>
      <c r="J6" s="1066"/>
      <c r="K6" s="73"/>
      <c r="L6" s="73"/>
      <c r="M6" s="73"/>
      <c r="N6" s="73"/>
      <c r="O6" s="73"/>
      <c r="P6" s="73"/>
      <c r="Q6" s="73"/>
      <c r="R6" s="73"/>
      <c r="S6" s="73"/>
      <c r="T6" s="73"/>
      <c r="U6" s="73"/>
      <c r="V6" s="73"/>
      <c r="W6" s="73"/>
      <c r="X6" s="73"/>
      <c r="Y6" s="73"/>
    </row>
    <row r="7" spans="1:25 16000:16000" ht="12.9" customHeight="1">
      <c r="A7" s="1055" t="s">
        <v>228</v>
      </c>
      <c r="B7" s="1055" t="s">
        <v>777</v>
      </c>
      <c r="C7" s="1055" t="s">
        <v>778</v>
      </c>
      <c r="D7" s="1055" t="s">
        <v>42</v>
      </c>
      <c r="E7" s="1055" t="s">
        <v>779</v>
      </c>
      <c r="F7" s="1055" t="s">
        <v>780</v>
      </c>
      <c r="G7" s="808" t="str">
        <f>HYPERLINK("#'P-Producto'!A5", "P-PRO-001")</f>
        <v>P-PRO-001</v>
      </c>
      <c r="H7" s="1055"/>
      <c r="I7" s="1055" t="s">
        <v>781</v>
      </c>
      <c r="J7" s="1055"/>
      <c r="K7" s="73"/>
      <c r="L7" s="73"/>
      <c r="M7" s="73"/>
      <c r="N7" s="73"/>
      <c r="O7" s="73"/>
      <c r="P7" s="73"/>
      <c r="Q7" s="73"/>
      <c r="R7" s="73"/>
      <c r="S7" s="73"/>
      <c r="T7" s="73"/>
      <c r="U7" s="73"/>
      <c r="V7" s="73"/>
      <c r="W7" s="73"/>
      <c r="X7" s="73"/>
      <c r="Y7" s="73"/>
    </row>
    <row r="8" spans="1:25 16000:16000">
      <c r="A8" s="1047"/>
      <c r="B8" s="1047"/>
      <c r="C8" s="1047"/>
      <c r="D8" s="1047"/>
      <c r="E8" s="1047"/>
      <c r="F8" s="1047"/>
      <c r="G8" s="808" t="str">
        <f>HYPERLINK("#'P-Producto'!A6", "P-PRO-002")</f>
        <v>P-PRO-002</v>
      </c>
      <c r="H8" s="1047"/>
      <c r="I8" s="1047"/>
      <c r="J8" s="1047"/>
      <c r="K8" s="73"/>
      <c r="L8" s="73"/>
      <c r="M8" s="73"/>
      <c r="N8" s="73"/>
      <c r="O8" s="73"/>
      <c r="P8" s="73"/>
      <c r="Q8" s="73"/>
      <c r="R8" s="73"/>
      <c r="S8" s="73"/>
      <c r="T8" s="73"/>
      <c r="U8" s="73"/>
      <c r="V8" s="73"/>
      <c r="W8" s="73"/>
      <c r="X8" s="73"/>
      <c r="Y8" s="73"/>
    </row>
    <row r="9" spans="1:25 16000:16000">
      <c r="A9" s="1047"/>
      <c r="B9" s="1047"/>
      <c r="C9" s="1047"/>
      <c r="D9" s="1047"/>
      <c r="E9" s="1047"/>
      <c r="F9" s="1047"/>
      <c r="G9" s="808" t="str">
        <f>HYPERLINK("#'P-Producto'!A7", "P-PRO-003")</f>
        <v>P-PRO-003</v>
      </c>
      <c r="H9" s="1047"/>
      <c r="I9" s="1047"/>
      <c r="J9" s="1047"/>
      <c r="K9" s="73"/>
      <c r="L9" s="73"/>
      <c r="M9" s="73"/>
      <c r="N9" s="73"/>
      <c r="O9" s="73"/>
      <c r="P9" s="73"/>
      <c r="Q9" s="73"/>
      <c r="R9" s="73"/>
      <c r="S9" s="73"/>
      <c r="T9" s="73"/>
      <c r="U9" s="73"/>
      <c r="V9" s="73"/>
      <c r="W9" s="73"/>
      <c r="X9" s="73"/>
      <c r="Y9" s="73"/>
    </row>
    <row r="10" spans="1:25 16000:16000">
      <c r="A10" s="1047"/>
      <c r="B10" s="1047"/>
      <c r="C10" s="1047"/>
      <c r="D10" s="1047"/>
      <c r="E10" s="1047"/>
      <c r="F10" s="1047"/>
      <c r="G10" s="808" t="str">
        <f>HYPERLINK("#'P-Producto'!A8", "P-PRO-004")</f>
        <v>P-PRO-004</v>
      </c>
      <c r="H10" s="1047"/>
      <c r="I10" s="1047"/>
      <c r="J10" s="1047"/>
      <c r="K10" s="73"/>
      <c r="L10" s="73"/>
      <c r="M10" s="73"/>
      <c r="N10" s="73"/>
      <c r="O10" s="73"/>
      <c r="P10" s="73"/>
      <c r="Q10" s="73"/>
      <c r="R10" s="73"/>
      <c r="S10" s="73"/>
      <c r="T10" s="73"/>
      <c r="U10" s="73"/>
      <c r="V10" s="73"/>
      <c r="W10" s="73"/>
      <c r="X10" s="73"/>
      <c r="Y10" s="73"/>
    </row>
    <row r="11" spans="1:25 16000:16000">
      <c r="A11" s="1047"/>
      <c r="B11" s="1047"/>
      <c r="C11" s="1047"/>
      <c r="D11" s="1047"/>
      <c r="E11" s="1047"/>
      <c r="F11" s="1047"/>
      <c r="G11" s="808" t="str">
        <f>HYPERLINK("#'P-Producto'!A9", "P-PRO-005")</f>
        <v>P-PRO-005</v>
      </c>
      <c r="H11" s="1047"/>
      <c r="I11" s="1047"/>
      <c r="J11" s="1047"/>
    </row>
    <row r="12" spans="1:25 16000:16000">
      <c r="A12" s="1047"/>
      <c r="B12" s="1047"/>
      <c r="C12" s="1047"/>
      <c r="D12" s="1047"/>
      <c r="E12" s="1047"/>
      <c r="F12" s="1047"/>
      <c r="G12" s="808" t="str">
        <f>HYPERLINK("#'P-Producto'!A10", "P-PRO-006")</f>
        <v>P-PRO-006</v>
      </c>
      <c r="H12" s="1047"/>
      <c r="I12" s="1047"/>
      <c r="J12" s="1047"/>
      <c r="K12" s="73"/>
      <c r="L12" s="73"/>
      <c r="M12" s="73"/>
      <c r="N12" s="73"/>
      <c r="O12" s="73"/>
      <c r="P12" s="73"/>
      <c r="Q12" s="73"/>
      <c r="R12" s="73"/>
      <c r="S12" s="73"/>
      <c r="T12" s="73"/>
      <c r="U12" s="73"/>
      <c r="V12" s="73"/>
      <c r="W12" s="73"/>
      <c r="X12" s="73"/>
      <c r="Y12" s="73"/>
    </row>
    <row r="13" spans="1:25 16000:16000">
      <c r="A13" s="1048"/>
      <c r="B13" s="1048"/>
      <c r="C13" s="1048"/>
      <c r="D13" s="1048"/>
      <c r="E13" s="1048"/>
      <c r="F13" s="1048"/>
      <c r="G13" s="808" t="str">
        <f>HYPERLINK("#'P-Producto'!A14", "P-PRO-010")</f>
        <v>P-PRO-010</v>
      </c>
      <c r="H13" s="1048"/>
      <c r="I13" s="1048"/>
      <c r="J13" s="1048"/>
      <c r="K13" s="73"/>
      <c r="L13" s="73"/>
      <c r="M13" s="73"/>
      <c r="N13" s="73"/>
      <c r="O13" s="73"/>
      <c r="P13" s="73"/>
      <c r="Q13" s="73"/>
      <c r="R13" s="73"/>
      <c r="S13" s="73"/>
      <c r="T13" s="73"/>
      <c r="U13" s="73"/>
      <c r="V13" s="73"/>
      <c r="W13" s="73"/>
      <c r="X13" s="73"/>
      <c r="Y13" s="73"/>
    </row>
    <row r="14" spans="1:25 16000:16000">
      <c r="A14" s="1413" t="s">
        <v>228</v>
      </c>
      <c r="B14" s="1413" t="s">
        <v>1507</v>
      </c>
      <c r="C14" s="1413" t="s">
        <v>1508</v>
      </c>
      <c r="D14" s="1413" t="s">
        <v>42</v>
      </c>
      <c r="E14" s="1413" t="s">
        <v>782</v>
      </c>
      <c r="F14" s="1413" t="s">
        <v>783</v>
      </c>
      <c r="G14" s="886" t="str">
        <f>HYPERLINK("#'P-Producto'!A11", "P-PRO-007")</f>
        <v>P-PRO-007</v>
      </c>
      <c r="H14" s="1416"/>
      <c r="I14" s="1416" t="s">
        <v>1509</v>
      </c>
      <c r="J14" s="1416"/>
      <c r="K14" s="73"/>
      <c r="L14" s="73"/>
      <c r="M14" s="73"/>
      <c r="N14" s="73"/>
      <c r="O14" s="73"/>
      <c r="P14" s="73"/>
      <c r="Q14" s="73"/>
      <c r="R14" s="73"/>
      <c r="S14" s="73"/>
      <c r="T14" s="73"/>
      <c r="U14" s="73"/>
      <c r="V14" s="73"/>
      <c r="W14" s="73"/>
      <c r="X14" s="73"/>
      <c r="Y14" s="73"/>
    </row>
    <row r="15" spans="1:25 16000:16000" s="614" customFormat="1">
      <c r="A15" s="1414"/>
      <c r="B15" s="1414"/>
      <c r="C15" s="1414"/>
      <c r="D15" s="1414"/>
      <c r="E15" s="1414"/>
      <c r="F15" s="1414"/>
      <c r="G15" s="886" t="str">
        <f>HYPERLINK("#'P-Producto'!A16", "P-PRO-012")</f>
        <v>P-PRO-012</v>
      </c>
      <c r="H15" s="1417"/>
      <c r="I15" s="1417"/>
      <c r="J15" s="1417"/>
      <c r="K15" s="297"/>
      <c r="L15" s="297"/>
      <c r="M15" s="297"/>
      <c r="N15" s="297"/>
      <c r="O15" s="297"/>
      <c r="P15" s="297"/>
      <c r="Q15" s="297"/>
      <c r="R15" s="297"/>
      <c r="S15" s="297"/>
      <c r="T15" s="297"/>
      <c r="U15" s="297"/>
      <c r="V15" s="297"/>
      <c r="W15" s="297"/>
      <c r="X15" s="297"/>
      <c r="Y15" s="297"/>
      <c r="WQJ15"/>
    </row>
    <row r="16" spans="1:25 16000:16000" s="614" customFormat="1">
      <c r="A16" s="1415"/>
      <c r="B16" s="1415"/>
      <c r="C16" s="1415"/>
      <c r="D16" s="1415"/>
      <c r="E16" s="1415"/>
      <c r="F16" s="1415"/>
      <c r="G16" s="886" t="str">
        <f>HYPERLINK("#'P-Producto'!A12", "P-PRO-008")</f>
        <v>P-PRO-008</v>
      </c>
      <c r="H16" s="1418"/>
      <c r="I16" s="1418"/>
      <c r="J16" s="1418"/>
      <c r="K16" s="297"/>
      <c r="L16" s="297"/>
      <c r="M16" s="297"/>
      <c r="N16" s="297"/>
      <c r="O16" s="297"/>
      <c r="P16" s="297"/>
      <c r="Q16" s="297"/>
      <c r="R16" s="297"/>
      <c r="S16" s="297"/>
      <c r="T16" s="297"/>
      <c r="U16" s="297"/>
      <c r="V16" s="297"/>
      <c r="W16" s="297"/>
      <c r="X16" s="297"/>
      <c r="Y16" s="297"/>
      <c r="WQJ16"/>
    </row>
    <row r="17" spans="1:25 16000:16000" s="614" customFormat="1" ht="25.85">
      <c r="A17" s="597" t="s">
        <v>228</v>
      </c>
      <c r="B17" s="597" t="s">
        <v>1510</v>
      </c>
      <c r="C17" s="597" t="s">
        <v>1511</v>
      </c>
      <c r="D17" s="597"/>
      <c r="E17" s="597" t="s">
        <v>1512</v>
      </c>
      <c r="F17" s="597" t="s">
        <v>1513</v>
      </c>
      <c r="G17" s="810" t="str">
        <f>HYPERLINK("#'P-Producto'!A17", "P-PRO-013")</f>
        <v>P-PRO-013</v>
      </c>
      <c r="H17" s="596"/>
      <c r="I17" s="885" t="s">
        <v>1514</v>
      </c>
      <c r="J17" s="596"/>
      <c r="K17" s="297"/>
      <c r="L17" s="297"/>
      <c r="M17" s="297"/>
      <c r="N17" s="297"/>
      <c r="O17" s="297"/>
      <c r="P17" s="297"/>
      <c r="Q17" s="297"/>
      <c r="R17" s="297"/>
      <c r="S17" s="297"/>
      <c r="T17" s="297"/>
      <c r="U17" s="297"/>
      <c r="V17" s="297"/>
      <c r="W17" s="297"/>
      <c r="X17" s="297"/>
      <c r="Y17" s="297"/>
      <c r="WQJ17"/>
    </row>
    <row r="18" spans="1:25 16000:16000">
      <c r="A18" s="73"/>
      <c r="B18" s="73"/>
      <c r="C18" s="73"/>
      <c r="D18" s="73"/>
      <c r="E18" s="73"/>
      <c r="F18" s="73"/>
      <c r="G18" s="73"/>
      <c r="H18" s="73"/>
      <c r="I18" s="73"/>
      <c r="J18" s="73"/>
      <c r="K18" s="73"/>
      <c r="L18" s="73"/>
      <c r="M18" s="73"/>
      <c r="N18" s="73"/>
      <c r="O18" s="73"/>
      <c r="P18" s="73"/>
      <c r="Q18" s="73"/>
      <c r="R18" s="73"/>
      <c r="S18" s="73"/>
      <c r="T18" s="73"/>
      <c r="U18" s="73"/>
      <c r="V18" s="73"/>
      <c r="W18" s="73"/>
      <c r="X18" s="73"/>
      <c r="Y18" s="73"/>
    </row>
    <row r="19" spans="1:25 16000:16000">
      <c r="A19" s="73"/>
      <c r="B19" s="73"/>
      <c r="C19" s="73"/>
      <c r="D19" s="73"/>
      <c r="E19" s="73"/>
      <c r="F19" s="73"/>
      <c r="G19" s="73"/>
      <c r="H19" s="73"/>
      <c r="I19" s="73"/>
      <c r="J19" s="73"/>
      <c r="K19" s="73"/>
      <c r="L19" s="73"/>
      <c r="M19" s="73"/>
      <c r="N19" s="73"/>
      <c r="O19" s="73"/>
      <c r="P19" s="73"/>
      <c r="Q19" s="73"/>
      <c r="R19" s="73"/>
      <c r="S19" s="73"/>
      <c r="T19" s="73"/>
      <c r="U19" s="73"/>
      <c r="V19" s="73"/>
      <c r="W19" s="73"/>
      <c r="X19" s="73"/>
      <c r="Y19" s="73"/>
    </row>
    <row r="20" spans="1:25 16000:16000">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spans="1:25 16000:16000">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1:25 16000:16000">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1:25 16000:16000">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16000:16000">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16000:16000">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16000:16000">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16000:16000">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16000:16000">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16000:16000">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16000:1600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16000:16000">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16000:16000">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sheetData>
  <mergeCells count="30">
    <mergeCell ref="I7:I13"/>
    <mergeCell ref="J7:J13"/>
    <mergeCell ref="A14:A16"/>
    <mergeCell ref="B14:B16"/>
    <mergeCell ref="C14:C16"/>
    <mergeCell ref="D14:D16"/>
    <mergeCell ref="E14:E16"/>
    <mergeCell ref="F14:F16"/>
    <mergeCell ref="H14:H16"/>
    <mergeCell ref="I14:I16"/>
    <mergeCell ref="J14:J16"/>
    <mergeCell ref="A7:A13"/>
    <mergeCell ref="B7:B13"/>
    <mergeCell ref="C7:C13"/>
    <mergeCell ref="D7:D13"/>
    <mergeCell ref="E7:E13"/>
    <mergeCell ref="A5:A6"/>
    <mergeCell ref="B5:B6"/>
    <mergeCell ref="D5:D6"/>
    <mergeCell ref="F7:F13"/>
    <mergeCell ref="H7:H13"/>
    <mergeCell ref="B4:C4"/>
    <mergeCell ref="E4:F4"/>
    <mergeCell ref="B2:J2"/>
    <mergeCell ref="C5:C6"/>
    <mergeCell ref="B3:J3"/>
    <mergeCell ref="H5:H6"/>
    <mergeCell ref="J5:J6"/>
    <mergeCell ref="E5:F5"/>
    <mergeCell ref="I5:I6"/>
  </mergeCells>
  <hyperlinks>
    <hyperlink ref="A1" location="'Modelo de dominio'!A1" display="&lt;&lt;&lt;Modelo de Dominio" xr:uid="{00000000-0004-0000-2F00-000000000000}"/>
    <hyperlink ref="B1" location="'Objetos de dominio'!A1" display="&lt;&lt;&lt;Objetos de Dominio" xr:uid="{00000000-0004-0000-2F00-000001000000}"/>
    <hyperlink ref="B3" location="'Objetos de dominio'!B4" display="Objeto de dominio que representa las pizzas, bebidas y adiciones ofrecidas por la pizzería" xr:uid="{00000000-0004-0000-2F00-000002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83">
    <outlinePr summaryBelow="0" summaryRight="0"/>
  </sheetPr>
  <dimension ref="A1:Z995"/>
  <sheetViews>
    <sheetView workbookViewId="0">
      <selection activeCell="E14" sqref="E14"/>
    </sheetView>
  </sheetViews>
  <sheetFormatPr baseColWidth="10" defaultColWidth="12.625" defaultRowHeight="15.8" customHeight="1"/>
  <cols>
    <col min="1" max="1" width="16.125" customWidth="1"/>
    <col min="2" max="2" width="102" customWidth="1"/>
    <col min="3" max="3" width="18.125" customWidth="1"/>
    <col min="4" max="4" width="19.625" customWidth="1"/>
    <col min="5" max="5" width="12.875" customWidth="1"/>
    <col min="6" max="6" width="122.375" customWidth="1"/>
    <col min="7" max="26" width="12.875" customWidth="1"/>
  </cols>
  <sheetData>
    <row r="1" spans="1:26" ht="12.75" customHeight="1">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4.3" customHeight="1">
      <c r="A2" s="282" t="s">
        <v>233</v>
      </c>
      <c r="B2" s="1420" t="s">
        <v>42</v>
      </c>
      <c r="C2" s="1124"/>
      <c r="D2" s="590"/>
      <c r="E2" s="73"/>
      <c r="F2" s="73"/>
      <c r="G2" s="73"/>
      <c r="H2" s="73"/>
      <c r="I2" s="73"/>
      <c r="J2" s="73"/>
      <c r="K2" s="73"/>
      <c r="L2" s="73"/>
      <c r="M2" s="73"/>
      <c r="N2" s="73"/>
      <c r="O2" s="73"/>
      <c r="P2" s="73"/>
      <c r="Q2" s="73"/>
      <c r="R2" s="73"/>
      <c r="S2" s="73"/>
      <c r="T2" s="73"/>
      <c r="U2" s="73"/>
      <c r="V2" s="73"/>
      <c r="W2" s="73"/>
      <c r="X2" s="73"/>
      <c r="Y2" s="73"/>
      <c r="Z2" s="73"/>
    </row>
    <row r="3" spans="1:26" ht="14.3" customHeight="1">
      <c r="A3" s="282" t="s">
        <v>21</v>
      </c>
      <c r="B3" s="1419" t="str">
        <f>'C-Producto'!B3</f>
        <v>Son los productos que la pizzería vende, como las pizzas, las bebidas y las adiciones.</v>
      </c>
      <c r="C3" s="1124"/>
      <c r="D3" s="590"/>
      <c r="E3" s="73"/>
      <c r="F3" s="73"/>
      <c r="G3" s="73"/>
      <c r="H3" s="73"/>
      <c r="I3" s="73"/>
      <c r="J3" s="73"/>
      <c r="K3" s="73"/>
      <c r="L3" s="73"/>
      <c r="M3" s="73"/>
      <c r="N3" s="73"/>
      <c r="O3" s="73"/>
      <c r="P3" s="73"/>
      <c r="Q3" s="73"/>
      <c r="R3" s="73"/>
      <c r="S3" s="73"/>
      <c r="T3" s="73"/>
      <c r="U3" s="73"/>
      <c r="V3" s="73"/>
      <c r="W3" s="73"/>
      <c r="X3" s="73"/>
      <c r="Y3" s="73"/>
      <c r="Z3" s="73"/>
    </row>
    <row r="4" spans="1:26" ht="14.3" customHeight="1">
      <c r="A4" s="283" t="s">
        <v>234</v>
      </c>
      <c r="B4" s="283" t="s">
        <v>235</v>
      </c>
      <c r="C4" s="283" t="s">
        <v>236</v>
      </c>
      <c r="D4" s="283" t="s">
        <v>237</v>
      </c>
      <c r="I4" s="73"/>
      <c r="J4" s="73"/>
      <c r="K4" s="73"/>
      <c r="L4" s="73"/>
      <c r="M4" s="73"/>
      <c r="N4" s="73"/>
      <c r="O4" s="73"/>
      <c r="P4" s="73"/>
      <c r="Q4" s="73"/>
      <c r="R4" s="73"/>
      <c r="S4" s="73"/>
      <c r="T4" s="73"/>
      <c r="U4" s="73"/>
      <c r="V4" s="73"/>
      <c r="W4" s="73"/>
      <c r="X4" s="73"/>
      <c r="Y4" s="73"/>
      <c r="Z4" s="73"/>
    </row>
    <row r="5" spans="1:26" ht="36" customHeight="1">
      <c r="A5" s="596" t="s">
        <v>784</v>
      </c>
      <c r="B5" s="567" t="s">
        <v>1495</v>
      </c>
      <c r="C5" s="597" t="s">
        <v>42</v>
      </c>
      <c r="D5" s="597"/>
      <c r="I5" s="73"/>
      <c r="J5" s="73"/>
      <c r="K5" s="73"/>
      <c r="L5" s="73"/>
      <c r="M5" s="73"/>
      <c r="N5" s="73"/>
      <c r="O5" s="73"/>
      <c r="P5" s="73"/>
      <c r="Q5" s="73"/>
      <c r="R5" s="73"/>
      <c r="S5" s="73"/>
      <c r="T5" s="73"/>
      <c r="U5" s="73"/>
      <c r="V5" s="73"/>
      <c r="W5" s="73"/>
      <c r="X5" s="73"/>
      <c r="Y5" s="73"/>
      <c r="Z5" s="73"/>
    </row>
    <row r="6" spans="1:26" ht="12.75" customHeight="1">
      <c r="A6" s="596" t="s">
        <v>785</v>
      </c>
      <c r="B6" s="597" t="s">
        <v>786</v>
      </c>
      <c r="C6" s="597" t="s">
        <v>42</v>
      </c>
      <c r="D6" s="597"/>
      <c r="I6" s="73"/>
      <c r="J6" s="73"/>
      <c r="K6" s="73"/>
      <c r="L6" s="73"/>
      <c r="M6" s="73"/>
      <c r="N6" s="73"/>
      <c r="O6" s="73"/>
      <c r="P6" s="73"/>
      <c r="Q6" s="73"/>
      <c r="R6" s="73"/>
      <c r="S6" s="73"/>
      <c r="T6" s="73"/>
      <c r="U6" s="73"/>
      <c r="V6" s="73"/>
      <c r="W6" s="73"/>
      <c r="X6" s="73"/>
      <c r="Y6" s="73"/>
      <c r="Z6" s="73"/>
    </row>
    <row r="7" spans="1:26" ht="12.75" customHeight="1">
      <c r="A7" s="596" t="s">
        <v>787</v>
      </c>
      <c r="B7" s="597" t="s">
        <v>788</v>
      </c>
      <c r="C7" s="597" t="s">
        <v>42</v>
      </c>
      <c r="D7" s="272"/>
      <c r="I7" s="73"/>
      <c r="J7" s="73"/>
      <c r="K7" s="73"/>
      <c r="L7" s="73"/>
      <c r="M7" s="73"/>
      <c r="N7" s="73"/>
      <c r="O7" s="73"/>
      <c r="P7" s="73"/>
      <c r="Q7" s="73"/>
      <c r="R7" s="73"/>
      <c r="S7" s="73"/>
      <c r="T7" s="73"/>
      <c r="U7" s="73"/>
      <c r="V7" s="73"/>
      <c r="W7" s="73"/>
      <c r="X7" s="73"/>
      <c r="Y7" s="73"/>
      <c r="Z7" s="73"/>
    </row>
    <row r="8" spans="1:26" ht="12.75" customHeight="1">
      <c r="A8" s="596" t="s">
        <v>789</v>
      </c>
      <c r="B8" s="597" t="s">
        <v>790</v>
      </c>
      <c r="C8" s="597" t="s">
        <v>30</v>
      </c>
      <c r="D8" s="811" t="str">
        <f>HYPERLINK("#'P-TipoProducto'!A5", 'P-TipoProducto'!A5)</f>
        <v>P-TP-001</v>
      </c>
      <c r="I8" s="73"/>
      <c r="J8" s="73"/>
      <c r="K8" s="73"/>
      <c r="L8" s="73"/>
      <c r="M8" s="73"/>
      <c r="N8" s="73"/>
      <c r="O8" s="73"/>
      <c r="P8" s="73"/>
      <c r="Q8" s="73"/>
      <c r="R8" s="73"/>
      <c r="S8" s="73"/>
      <c r="T8" s="73"/>
      <c r="U8" s="73"/>
      <c r="V8" s="73"/>
      <c r="W8" s="73"/>
      <c r="X8" s="73"/>
      <c r="Y8" s="73"/>
      <c r="Z8" s="73"/>
    </row>
    <row r="9" spans="1:26" ht="12.75" customHeight="1">
      <c r="A9" s="596" t="s">
        <v>791</v>
      </c>
      <c r="B9" s="567" t="s">
        <v>1496</v>
      </c>
      <c r="C9" s="597" t="s">
        <v>38</v>
      </c>
      <c r="D9" s="811" t="str">
        <f>HYPERLINK("#'P-ProductoInterno'!A11", 'P-ProductoInterno'!A11)</f>
        <v>P-PI-007</v>
      </c>
      <c r="E9" s="73"/>
      <c r="F9" s="73"/>
      <c r="G9" s="73"/>
      <c r="H9" s="73"/>
      <c r="I9" s="73"/>
      <c r="J9" s="73"/>
      <c r="K9" s="73"/>
      <c r="L9" s="73"/>
      <c r="M9" s="73"/>
      <c r="N9" s="73"/>
      <c r="O9" s="73"/>
      <c r="P9" s="73"/>
      <c r="Q9" s="73"/>
      <c r="R9" s="73"/>
      <c r="S9" s="73"/>
      <c r="T9" s="73"/>
      <c r="U9" s="73"/>
      <c r="V9" s="73"/>
      <c r="W9" s="73"/>
      <c r="X9" s="73"/>
      <c r="Y9" s="73"/>
      <c r="Z9" s="73"/>
    </row>
    <row r="10" spans="1:26" ht="12.75" customHeight="1">
      <c r="A10" s="596" t="s">
        <v>792</v>
      </c>
      <c r="B10" s="567" t="s">
        <v>793</v>
      </c>
      <c r="C10" s="597" t="s">
        <v>751</v>
      </c>
      <c r="D10" s="811" t="str">
        <f>HYPERLINK("#'P-Tamaño'!A5", 'P-Tamaño'!A5)</f>
        <v>P-TAM-001</v>
      </c>
      <c r="E10" s="73"/>
      <c r="F10" s="73"/>
      <c r="G10" s="73"/>
      <c r="H10" s="73"/>
      <c r="I10" s="73"/>
      <c r="J10" s="73"/>
      <c r="K10" s="73"/>
      <c r="L10" s="73"/>
      <c r="M10" s="73"/>
      <c r="N10" s="73"/>
      <c r="O10" s="73"/>
      <c r="P10" s="73"/>
      <c r="Q10" s="73"/>
      <c r="R10" s="73"/>
      <c r="S10" s="73"/>
      <c r="T10" s="73"/>
      <c r="U10" s="73"/>
      <c r="V10" s="73"/>
      <c r="W10" s="73"/>
      <c r="X10" s="73"/>
      <c r="Y10" s="73"/>
      <c r="Z10" s="73"/>
    </row>
    <row r="11" spans="1:26" ht="12.75" customHeight="1">
      <c r="A11" s="596" t="s">
        <v>794</v>
      </c>
      <c r="B11" s="597" t="s">
        <v>1497</v>
      </c>
      <c r="C11" s="597" t="s">
        <v>42</v>
      </c>
      <c r="D11" s="272"/>
      <c r="E11" s="73"/>
      <c r="F11" s="73"/>
      <c r="G11" s="73"/>
      <c r="H11" s="73"/>
      <c r="I11" s="73"/>
      <c r="J11" s="73"/>
      <c r="K11" s="73"/>
      <c r="L11" s="73"/>
      <c r="M11" s="73"/>
      <c r="N11" s="73"/>
      <c r="O11" s="73"/>
      <c r="P11" s="73"/>
      <c r="Q11" s="73"/>
      <c r="R11" s="73"/>
      <c r="S11" s="73"/>
      <c r="T11" s="73"/>
      <c r="U11" s="73"/>
      <c r="V11" s="73"/>
      <c r="W11" s="73"/>
      <c r="X11" s="73"/>
      <c r="Y11" s="73"/>
      <c r="Z11" s="73"/>
    </row>
    <row r="12" spans="1:26" ht="12.75" customHeight="1">
      <c r="A12" s="596" t="s">
        <v>795</v>
      </c>
      <c r="B12" s="567" t="s">
        <v>1498</v>
      </c>
      <c r="C12" s="597" t="s">
        <v>47</v>
      </c>
      <c r="D12" s="811" t="str">
        <f>HYPERLINK("#'P-HistoricoPrecio'!A15", 'P-HistoricoPrecio'!A15)</f>
        <v>P-HP-011</v>
      </c>
      <c r="E12" s="73"/>
      <c r="F12" s="73"/>
      <c r="G12" s="73"/>
      <c r="H12" s="73"/>
      <c r="I12" s="73"/>
      <c r="J12" s="73"/>
      <c r="K12" s="73"/>
      <c r="L12" s="73"/>
      <c r="M12" s="73"/>
      <c r="N12" s="73"/>
      <c r="O12" s="73"/>
      <c r="P12" s="73"/>
      <c r="Q12" s="73"/>
      <c r="R12" s="73"/>
      <c r="S12" s="73"/>
      <c r="T12" s="73"/>
      <c r="U12" s="73"/>
      <c r="V12" s="73"/>
      <c r="W12" s="73"/>
      <c r="X12" s="73"/>
      <c r="Y12" s="73"/>
      <c r="Z12" s="73"/>
    </row>
    <row r="13" spans="1:26" ht="12.75" customHeight="1">
      <c r="A13" s="596" t="s">
        <v>796</v>
      </c>
      <c r="B13" s="573" t="s">
        <v>797</v>
      </c>
      <c r="C13" s="596" t="s">
        <v>42</v>
      </c>
      <c r="D13" s="573"/>
      <c r="E13" s="73"/>
      <c r="F13" s="73"/>
      <c r="G13" s="73"/>
      <c r="H13" s="73"/>
      <c r="I13" s="73"/>
      <c r="J13" s="73"/>
      <c r="K13" s="73"/>
      <c r="L13" s="73"/>
      <c r="M13" s="73"/>
      <c r="N13" s="73"/>
      <c r="O13" s="73"/>
      <c r="P13" s="73"/>
      <c r="Q13" s="73"/>
      <c r="R13" s="73"/>
      <c r="S13" s="73"/>
      <c r="T13" s="73"/>
      <c r="U13" s="73"/>
      <c r="V13" s="73"/>
      <c r="W13" s="73"/>
      <c r="X13" s="73"/>
      <c r="Y13" s="73"/>
      <c r="Z13" s="73"/>
    </row>
    <row r="14" spans="1:26" ht="12.75" customHeight="1">
      <c r="A14" s="596" t="s">
        <v>1499</v>
      </c>
      <c r="B14" s="573" t="s">
        <v>1500</v>
      </c>
      <c r="C14" s="596" t="s">
        <v>47</v>
      </c>
      <c r="D14" s="811" t="str">
        <f>HYPERLINK("#'P-HistoricoPrecio'!A5", 'P-HistoricoPrecio'!A5)</f>
        <v>P-HP-001</v>
      </c>
      <c r="E14" s="73"/>
      <c r="F14" s="73"/>
      <c r="G14" s="73"/>
      <c r="H14" s="73"/>
      <c r="I14" s="73"/>
      <c r="J14" s="73"/>
      <c r="K14" s="73"/>
      <c r="L14" s="73"/>
      <c r="M14" s="73"/>
      <c r="N14" s="73"/>
      <c r="O14" s="73"/>
      <c r="P14" s="73"/>
      <c r="Q14" s="73"/>
      <c r="R14" s="73"/>
      <c r="S14" s="73"/>
      <c r="T14" s="73"/>
      <c r="U14" s="73"/>
      <c r="V14" s="73"/>
      <c r="W14" s="73"/>
      <c r="X14" s="73"/>
      <c r="Y14" s="73"/>
      <c r="Z14" s="73"/>
    </row>
    <row r="15" spans="1:26" ht="12.75" customHeight="1">
      <c r="A15" s="596" t="s">
        <v>1501</v>
      </c>
      <c r="B15" s="573" t="s">
        <v>1502</v>
      </c>
      <c r="C15" s="596" t="s">
        <v>42</v>
      </c>
      <c r="D15" s="573"/>
      <c r="E15" s="73"/>
      <c r="F15" s="73"/>
      <c r="G15" s="73"/>
      <c r="H15" s="73"/>
      <c r="I15" s="73"/>
      <c r="J15" s="73"/>
      <c r="K15" s="73"/>
      <c r="L15" s="73"/>
      <c r="M15" s="73"/>
      <c r="N15" s="73"/>
      <c r="O15" s="73"/>
      <c r="P15" s="73"/>
      <c r="Q15" s="73"/>
      <c r="R15" s="73"/>
      <c r="S15" s="73"/>
      <c r="T15" s="73"/>
      <c r="U15" s="73"/>
      <c r="V15" s="73"/>
      <c r="W15" s="73"/>
      <c r="X15" s="73"/>
      <c r="Y15" s="73"/>
      <c r="Z15" s="73"/>
    </row>
    <row r="16" spans="1:26" ht="12.75" customHeight="1">
      <c r="A16" s="596" t="s">
        <v>1503</v>
      </c>
      <c r="B16" s="573" t="s">
        <v>1504</v>
      </c>
      <c r="C16" s="596" t="s">
        <v>42</v>
      </c>
      <c r="D16" s="573"/>
      <c r="E16" s="73"/>
      <c r="F16" s="73"/>
      <c r="G16" s="73"/>
      <c r="H16" s="73"/>
      <c r="I16" s="73"/>
      <c r="J16" s="73"/>
      <c r="K16" s="73"/>
      <c r="L16" s="73"/>
      <c r="M16" s="73"/>
      <c r="N16" s="73"/>
      <c r="O16" s="73"/>
      <c r="P16" s="73"/>
      <c r="Q16" s="73"/>
      <c r="R16" s="73"/>
      <c r="S16" s="73"/>
      <c r="T16" s="73"/>
      <c r="U16" s="73"/>
      <c r="V16" s="73"/>
      <c r="W16" s="73"/>
      <c r="X16" s="73"/>
      <c r="Y16" s="73"/>
      <c r="Z16" s="73"/>
    </row>
    <row r="17" spans="1:26" ht="12.75" customHeight="1">
      <c r="A17" s="596" t="s">
        <v>1505</v>
      </c>
      <c r="B17" s="573" t="s">
        <v>1506</v>
      </c>
      <c r="C17" s="596" t="s">
        <v>42</v>
      </c>
      <c r="D17" s="573"/>
      <c r="E17" s="73"/>
      <c r="F17" s="73"/>
      <c r="G17" s="73"/>
      <c r="H17" s="73"/>
      <c r="I17" s="73"/>
      <c r="J17" s="73"/>
      <c r="K17" s="73"/>
      <c r="L17" s="73"/>
      <c r="M17" s="73"/>
      <c r="N17" s="73"/>
      <c r="O17" s="73"/>
      <c r="P17" s="73"/>
      <c r="Q17" s="73"/>
      <c r="R17" s="73"/>
      <c r="S17" s="73"/>
      <c r="T17" s="73"/>
      <c r="U17" s="73"/>
      <c r="V17" s="73"/>
      <c r="W17" s="73"/>
      <c r="X17" s="73"/>
      <c r="Y17" s="73"/>
      <c r="Z17" s="73"/>
    </row>
    <row r="18" spans="1:26" ht="12.75" customHeight="1">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2.75" customHeight="1">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2.75" customHeight="1">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2.75" customHeight="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2.75" customHeight="1">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2.7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2.7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2.7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2.7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2.7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2.7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2.7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2.7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2.7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2.7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2.7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2.7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2.7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2.7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2.7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2.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2.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2.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2.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2.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2.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2.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2.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2.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2.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2.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2.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2.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2.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2.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2.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2.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2.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2.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2.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2.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2.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2.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2.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2.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2.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2.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2.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2.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2.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2.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2.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2.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2.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2.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2.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2.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2.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2.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2.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2.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2.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2.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2.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2.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2.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2.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2.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2.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2.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2.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2.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2.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2.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2.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2.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2.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2.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2.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2.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2.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2.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2.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2.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2.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2.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2.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2.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2.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2.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2.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2.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2.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2.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2.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2.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2.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2.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2.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2.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2.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2.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2.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2.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2.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2.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2.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2.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2.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2.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2.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2.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2.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2.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2.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2.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2.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2.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2.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2.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2.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2.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2.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2.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2.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2.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2.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2.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2.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2.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2.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2.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2.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2.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2.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2.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2.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2.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2.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2.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2.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2.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2.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2.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2.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2.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2.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2.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2.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2.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2.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2.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2.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2.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2.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2.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2.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2.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2.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2.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2.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2.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2.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2.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2.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2.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2.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2.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2.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2.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2.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2.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2.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2.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2.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2.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2.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2.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2.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2.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2.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2.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2.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2.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2.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2.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2.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2.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2.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2.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2.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2.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2.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2.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2.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2.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2.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2.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2.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2.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2.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2.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2.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2.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2.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2.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2.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2.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2.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2.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2.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2.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2.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2.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2.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2.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2.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2.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2.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2.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2.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2.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2.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2.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2.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2.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2.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2.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2.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2.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2.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2.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2.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2.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2.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2.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2.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2.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2.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2.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2.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2.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2.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2.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2.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2.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2.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2.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2.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2.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2.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2.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2.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2.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2.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2.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2.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2.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2.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2.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2.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2.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2.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2.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2.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2.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2.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2.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2.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2.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2.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2.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2.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2.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2.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2.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2.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2.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2.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2.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2.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2.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2.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2.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2.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2.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2.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2.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2.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2.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2.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2.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2.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2.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2.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2.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2.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2.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2.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2.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2.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2.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2.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2.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2.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2.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2.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2.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2.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2.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2.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2.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2.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2.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2.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2.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2.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2.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2.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2.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2.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2.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2.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2.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2.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2.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2.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2.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2.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2.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2.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2.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2.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2.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2.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2.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2.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2.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2.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2.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2.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2.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2.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2.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2.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2.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2.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2.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2.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2.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2.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2.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2.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2.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2.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2.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2.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2.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2.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2.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2.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2.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2.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2.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2.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2.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2.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2.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2.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2.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2.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2.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2.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2.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2.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2.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2.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2.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2.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2.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2.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2.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2.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2.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2.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2.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2.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2.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2.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2.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2.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2.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2.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2.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2.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2.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2.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2.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2.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2.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2.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2.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2.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2.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2.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2.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2.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2.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2.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2.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2.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2.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2.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2.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2.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2.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2.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2.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2.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2.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2.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2.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2.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2.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2.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2.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2.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2.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2.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2.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2.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2.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2.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2.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2.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2.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2.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2.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2.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2.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2.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2.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2.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2.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2.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2.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2.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2.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2.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2.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2.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2.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2.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2.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2.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2.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2.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2.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2.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2.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2.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2.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2.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2.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2.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2.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2.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2.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2.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2.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2.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2.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2.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2.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2.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2.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2.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2.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2.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2.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2.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2.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2.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2.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2.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2.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2.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2.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2.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2.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2.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2.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2.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2.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2.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2.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2.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2.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2.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2.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2.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2.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2.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2.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2.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2.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2.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2.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2.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2.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2.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2.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2.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2.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2.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2.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2.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2.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2.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2.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2.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2.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2.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2.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2.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2.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2.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2.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2.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2.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2.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2.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2.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2.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2.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2.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2.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2.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2.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2.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2.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2.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2.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2.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2.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2.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2.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2.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2.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2.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2.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2.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2.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2.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2.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2.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2.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2.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2.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2.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2.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2.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2.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2.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2.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2.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2.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2.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2.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2.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2.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2.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2.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2.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2.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2.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2.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2.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2.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2.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2.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2.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2.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2.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2.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2.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2.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2.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2.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2.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2.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2.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2.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2.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2.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2.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2.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2.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2.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2.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2.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2.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2.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2.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2.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2.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2.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2.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2.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2.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2.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2.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2.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2.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2.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2.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2.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2.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2.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2.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2.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2.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2.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2.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2.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2.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2.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2.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2.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2.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2.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2.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2.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2.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2.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2.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2.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2.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2.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2.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2.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2.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2.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2.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2.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2.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2.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2.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2.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2.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2.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2.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2.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2.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2.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2.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2.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2.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2.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2.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2.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2.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2.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2.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2.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2.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2.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2.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2.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2.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2.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2.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2.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2.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2.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2.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2.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2.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2.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2.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2.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2.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2.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2.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2.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2.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2.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2.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2.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2.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2.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2.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2.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2.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2.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2.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2.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2.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2.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2.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2.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2.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2.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2.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2.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2.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2.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2.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2.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2.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2.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2.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2.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2.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2.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2.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2.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2.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2.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2.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2.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2.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2.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2.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2.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2.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2.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2.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2.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2.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2.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2.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2.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2.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2.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2.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2.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2.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2.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2.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2.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2.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2.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2.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2.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2.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2.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2.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2.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2.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2.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2.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2.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2.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2.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2.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2.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2.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2.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2.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2.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2.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2.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2.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2.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2.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2.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2.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2.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2.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2.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2.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2.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2.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2.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2.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2.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2.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2.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2.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2.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2.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2.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2.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2.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2.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2.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2.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2.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2.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2.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2.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2.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2.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2.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2.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2.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2.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2.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2.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2.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2.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2.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2.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2.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2.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2.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2.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2.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2.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2.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2.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2.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2.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2.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2.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2.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2.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2.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2.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2.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2.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2.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2.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2.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2.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2.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2.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2.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2.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2.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2.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2.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2.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2.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2.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2.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2.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2.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2.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2.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2.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2.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2.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2.7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2.7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2.7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2.7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2.7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2.7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2.7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2.7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2.7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2.7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2.7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2.7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2.7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2.7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2.7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2.7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2.7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2.7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2.7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2.7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2.7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2.7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2.7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2.7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2.7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2.7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2.7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2.7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2.7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2.7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2.7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2.7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2.7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2.7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2.7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2.7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2.7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2.7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2.7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2.7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2.7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2.7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2.7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2.7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2.7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2.7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2.7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2.7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2.7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2.7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2.7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2.7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2.7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2.7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2.7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2.7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2.7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2.7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2.7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2.7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2.7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2.7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2.7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2.7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2.7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2.7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2.7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2.7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2.7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2.7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2.7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2.7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2.7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2.7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2.7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2.7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2.7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2.7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2.7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2.7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2.7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2.7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2.7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2.7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2.7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2.7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2.7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2.7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2.7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2.7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2.7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2.7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2.7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2.7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2.7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2.7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2.7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2.7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2.7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2.7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2.7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2.7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2.7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2.7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2.7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2.7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2.7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2.7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2.7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2.7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2.7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2.7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2.7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2.7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2.7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2.7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2.7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2.7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2.7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2.7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2.7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2.7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2.7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2.7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2.7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2.7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2.7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2.7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2.7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2.7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2.7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2.7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2.7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4.3" customHeight="1">
      <c r="A995" s="73"/>
      <c r="B995" s="73"/>
      <c r="C995" s="73"/>
      <c r="D995" s="27"/>
      <c r="E995" s="73"/>
      <c r="F995" s="73"/>
      <c r="G995" s="73"/>
      <c r="H995" s="73"/>
      <c r="I995" s="73"/>
      <c r="J995" s="73"/>
      <c r="K995" s="73"/>
      <c r="L995" s="73"/>
      <c r="M995" s="73"/>
      <c r="N995" s="73"/>
      <c r="O995" s="73"/>
      <c r="P995" s="73"/>
      <c r="Q995" s="73"/>
      <c r="R995" s="73"/>
      <c r="S995" s="73"/>
      <c r="T995" s="73"/>
      <c r="U995" s="73"/>
      <c r="V995" s="73"/>
      <c r="W995" s="73"/>
      <c r="X995" s="73"/>
      <c r="Y995" s="73"/>
      <c r="Z995" s="73"/>
    </row>
  </sheetData>
  <mergeCells count="2">
    <mergeCell ref="B3:C3"/>
    <mergeCell ref="B2:C2"/>
  </mergeCells>
  <hyperlinks>
    <hyperlink ref="A1" location="'Modelo de dominio'!A1" display="&lt;&lt;&lt;Modelo de Dominio" xr:uid="{00000000-0004-0000-3000-000000000000}"/>
    <hyperlink ref="B1" location="'Objetos de dominio'!A1" display="&lt;&lt;&lt;Objetos de Dominio" xr:uid="{00000000-0004-0000-3000-000001000000}"/>
    <hyperlink ref="B3" location="'Objetos de dominio'!B4" display="Objeto de dominio que representa las pizzas, bebidas y adiciones ofrecidas por la pizzería" xr:uid="{00000000-0004-0000-3000-000002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68">
    <tabColor theme="2"/>
    <outlinePr summaryBelow="0" summaryRight="0"/>
  </sheetPr>
  <dimension ref="A1:T9"/>
  <sheetViews>
    <sheetView workbookViewId="0"/>
  </sheetViews>
  <sheetFormatPr baseColWidth="10" defaultColWidth="12.625" defaultRowHeight="15.8" customHeight="1"/>
  <cols>
    <col min="2" max="2" width="18.75" customWidth="1"/>
    <col min="3" max="3" width="19.25" customWidth="1"/>
    <col min="4" max="4" width="30.75" style="614" customWidth="1"/>
    <col min="5" max="5" width="26.625" customWidth="1"/>
    <col min="6" max="6" width="21.25" customWidth="1"/>
    <col min="7" max="7" width="33.625" customWidth="1"/>
    <col min="8" max="8" width="15" customWidth="1"/>
  </cols>
  <sheetData>
    <row r="1" spans="1:20" ht="12.9" customHeight="1">
      <c r="A1" s="76" t="s">
        <v>0</v>
      </c>
      <c r="B1" s="132" t="s">
        <v>1</v>
      </c>
      <c r="C1" s="201"/>
      <c r="D1" s="609"/>
      <c r="F1" s="201"/>
      <c r="G1" s="201"/>
      <c r="I1" s="201"/>
      <c r="J1" s="201"/>
      <c r="K1" s="201"/>
      <c r="L1" s="201"/>
      <c r="M1" s="201"/>
      <c r="N1" s="201"/>
      <c r="O1" s="201"/>
      <c r="P1" s="201"/>
      <c r="Q1" s="201"/>
      <c r="R1" s="201"/>
      <c r="S1" s="201"/>
      <c r="T1" s="201"/>
    </row>
    <row r="2" spans="1:20" ht="66.25" customHeight="1">
      <c r="A2" s="35" t="s">
        <v>1039</v>
      </c>
      <c r="B2" s="35" t="s">
        <v>1040</v>
      </c>
      <c r="C2" s="35" t="s">
        <v>1041</v>
      </c>
      <c r="D2" s="610" t="s">
        <v>1042</v>
      </c>
      <c r="E2" s="35" t="s">
        <v>1043</v>
      </c>
      <c r="F2" s="35" t="s">
        <v>1044</v>
      </c>
      <c r="G2" s="35"/>
      <c r="I2" s="201"/>
      <c r="J2" s="201"/>
      <c r="K2" s="201"/>
      <c r="L2" s="201"/>
      <c r="M2" s="201"/>
      <c r="N2" s="201"/>
      <c r="O2" s="201"/>
      <c r="P2" s="201"/>
      <c r="Q2" s="201"/>
      <c r="R2" s="201"/>
      <c r="S2" s="201"/>
      <c r="T2" s="201"/>
    </row>
    <row r="3" spans="1:20" ht="12.9" customHeight="1">
      <c r="A3" s="31" t="s">
        <v>8</v>
      </c>
      <c r="B3" s="31" t="s">
        <v>9</v>
      </c>
      <c r="C3" s="31" t="s">
        <v>1045</v>
      </c>
      <c r="D3" s="611" t="s">
        <v>1120</v>
      </c>
      <c r="E3" s="44" t="s">
        <v>708</v>
      </c>
      <c r="F3" s="23" t="s">
        <v>261</v>
      </c>
      <c r="G3" s="23"/>
      <c r="I3" s="201"/>
      <c r="J3" s="201"/>
      <c r="K3" s="201"/>
      <c r="L3" s="201"/>
      <c r="M3" s="201"/>
      <c r="N3" s="201"/>
      <c r="O3" s="201"/>
      <c r="P3" s="201"/>
      <c r="Q3" s="201"/>
      <c r="R3" s="201"/>
      <c r="S3" s="201"/>
      <c r="T3" s="201"/>
    </row>
    <row r="4" spans="1:20" ht="12.9" customHeight="1">
      <c r="A4" s="32" t="s">
        <v>14</v>
      </c>
      <c r="B4" s="32" t="s">
        <v>15</v>
      </c>
      <c r="C4" s="32" t="s">
        <v>15</v>
      </c>
      <c r="D4" s="612" t="s">
        <v>15</v>
      </c>
      <c r="E4" s="66" t="s">
        <v>100</v>
      </c>
      <c r="F4" s="24" t="s">
        <v>15</v>
      </c>
      <c r="G4" s="24"/>
      <c r="I4" s="201"/>
      <c r="J4" s="201"/>
      <c r="K4" s="201"/>
      <c r="L4" s="201"/>
      <c r="M4" s="201"/>
      <c r="N4" s="201"/>
      <c r="O4" s="201"/>
      <c r="P4" s="201"/>
      <c r="Q4" s="201"/>
      <c r="R4" s="201"/>
      <c r="S4" s="201"/>
      <c r="T4" s="201"/>
    </row>
    <row r="5" spans="1:20" ht="12.9" customHeight="1">
      <c r="A5" s="47" t="s">
        <v>16</v>
      </c>
      <c r="B5" s="67" t="s">
        <v>9</v>
      </c>
      <c r="C5" s="67" t="s">
        <v>1047</v>
      </c>
      <c r="D5" s="613" t="s">
        <v>1048</v>
      </c>
      <c r="E5" s="299" t="s">
        <v>1180</v>
      </c>
      <c r="F5" s="209" t="s">
        <v>1153</v>
      </c>
      <c r="G5" s="48" t="s">
        <v>18</v>
      </c>
      <c r="I5" s="201"/>
      <c r="J5" s="201"/>
      <c r="K5" s="201"/>
      <c r="L5" s="201"/>
      <c r="M5" s="201"/>
      <c r="N5" s="201"/>
      <c r="O5" s="201"/>
      <c r="P5" s="201"/>
      <c r="Q5" s="201"/>
      <c r="R5" s="201"/>
      <c r="S5" s="201"/>
      <c r="T5" s="201"/>
    </row>
    <row r="6" spans="1:20" ht="12.9" customHeight="1">
      <c r="A6" s="115">
        <v>1</v>
      </c>
      <c r="B6" s="404">
        <v>46268</v>
      </c>
      <c r="C6" s="67" t="s">
        <v>1049</v>
      </c>
      <c r="D6" s="613" t="s">
        <v>1050</v>
      </c>
      <c r="E6" s="300">
        <v>1036456892</v>
      </c>
      <c r="F6" s="210">
        <f>SUMIF('M-DetalleVenta'!$B:$B,D6,'M-DetalleVenta'!$F:$F)</f>
        <v>25000</v>
      </c>
      <c r="G6" s="115" t="str">
        <f>D6</f>
        <v>FV-000001</v>
      </c>
      <c r="I6" s="201"/>
      <c r="J6" s="201"/>
      <c r="K6" s="201"/>
      <c r="L6" s="201"/>
      <c r="M6" s="201"/>
      <c r="N6" s="201"/>
      <c r="O6" s="201"/>
      <c r="P6" s="201"/>
      <c r="Q6" s="201"/>
      <c r="R6" s="201"/>
      <c r="S6" s="201"/>
      <c r="T6" s="201"/>
    </row>
    <row r="7" spans="1:20" ht="12.9" customHeight="1">
      <c r="A7" s="115">
        <v>2</v>
      </c>
      <c r="B7" s="404">
        <v>46268</v>
      </c>
      <c r="C7" s="67" t="s">
        <v>1051</v>
      </c>
      <c r="D7" s="613" t="s">
        <v>1052</v>
      </c>
      <c r="E7" s="300">
        <v>1030789345</v>
      </c>
      <c r="F7" s="115">
        <f>SUMIF('M-DetalleVenta'!$B:$B,D7,'M-DetalleVenta'!$F:$F)</f>
        <v>106000</v>
      </c>
      <c r="G7" s="115" t="str">
        <f>D7</f>
        <v>FV-000002</v>
      </c>
      <c r="I7" s="201"/>
      <c r="J7" s="201"/>
      <c r="K7" s="201"/>
      <c r="L7" s="201"/>
      <c r="M7" s="201"/>
      <c r="N7" s="201"/>
      <c r="O7" s="201"/>
      <c r="P7" s="201"/>
      <c r="Q7" s="201"/>
      <c r="R7" s="201"/>
      <c r="S7" s="201"/>
      <c r="T7" s="201"/>
    </row>
    <row r="8" spans="1:20" ht="12.9" customHeight="1">
      <c r="A8" s="115">
        <v>3</v>
      </c>
      <c r="B8" s="404">
        <v>46227</v>
      </c>
      <c r="C8" s="67" t="s">
        <v>1053</v>
      </c>
      <c r="D8" s="613" t="s">
        <v>1054</v>
      </c>
      <c r="E8" s="300">
        <v>1040875813</v>
      </c>
      <c r="F8" s="210">
        <f>SUMIF('M-DetalleVenta'!$B:$B,D8,'M-DetalleVenta'!$F:$F)</f>
        <v>5000</v>
      </c>
      <c r="G8" s="115" t="str">
        <f>D8</f>
        <v>FV-000003</v>
      </c>
      <c r="I8" s="201"/>
      <c r="J8" s="201"/>
      <c r="K8" s="201"/>
      <c r="L8" s="201"/>
      <c r="M8" s="201"/>
      <c r="N8" s="201"/>
      <c r="O8" s="201"/>
      <c r="P8" s="201"/>
      <c r="Q8" s="201"/>
      <c r="R8" s="201"/>
      <c r="S8" s="201"/>
      <c r="T8" s="201"/>
    </row>
    <row r="9" spans="1:20" ht="15.8" customHeight="1">
      <c r="A9" s="115">
        <v>4</v>
      </c>
      <c r="B9" s="404">
        <v>46297</v>
      </c>
      <c r="C9" s="623" t="s">
        <v>1055</v>
      </c>
      <c r="D9" s="613" t="s">
        <v>1121</v>
      </c>
      <c r="E9" s="300">
        <v>2222222222</v>
      </c>
      <c r="F9" s="210">
        <f>SUMIF('M-DetalleVenta'!$B:$B,D9,'M-DetalleVenta'!$F:$F)</f>
        <v>35000</v>
      </c>
      <c r="G9" s="115" t="str">
        <f>D9</f>
        <v>FV-000004</v>
      </c>
    </row>
  </sheetData>
  <hyperlinks>
    <hyperlink ref="A1" location="'Modelo de dominio'!A1" display="&lt;&lt;&lt;Modelo de Dominio" xr:uid="{00000000-0004-0000-4B00-000000000000}"/>
    <hyperlink ref="B1" location="'Objetos de dominio'!A1" display="&lt;&lt;&lt;Objetos de Dominio" xr:uid="{00000000-0004-0000-4B00-000001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69">
    <tabColor theme="2"/>
    <outlinePr summaryBelow="0" summaryRight="0"/>
  </sheetPr>
  <dimension ref="A1:WQJ37"/>
  <sheetViews>
    <sheetView topLeftCell="R1" zoomScale="81" workbookViewId="0">
      <selection activeCell="T19" sqref="T19"/>
    </sheetView>
  </sheetViews>
  <sheetFormatPr baseColWidth="10" defaultColWidth="12.625" defaultRowHeight="12.9"/>
  <cols>
    <col min="1" max="1" width="27.75" bestFit="1" customWidth="1"/>
    <col min="2" max="2" width="73" customWidth="1"/>
    <col min="3" max="3" width="34.375" bestFit="1" customWidth="1"/>
    <col min="4" max="4" width="25.75" bestFit="1" customWidth="1"/>
    <col min="5" max="5" width="11.625" bestFit="1" customWidth="1"/>
    <col min="6" max="6" width="27" bestFit="1" customWidth="1"/>
    <col min="7" max="7" width="27.375" bestFit="1" customWidth="1"/>
    <col min="8" max="8" width="19.75" bestFit="1" customWidth="1"/>
    <col min="9" max="9" width="40.75" bestFit="1" customWidth="1"/>
    <col min="10" max="10" width="23.25" bestFit="1" customWidth="1"/>
    <col min="11" max="11" width="21.75" bestFit="1" customWidth="1"/>
    <col min="12" max="12" width="18.75" bestFit="1" customWidth="1"/>
    <col min="13" max="13" width="73.25" bestFit="1" customWidth="1"/>
    <col min="14" max="14" width="15.375" bestFit="1" customWidth="1"/>
    <col min="15" max="15" width="31.25" bestFit="1" customWidth="1"/>
    <col min="16" max="16" width="87.875" customWidth="1"/>
    <col min="17" max="17" width="91" bestFit="1" customWidth="1"/>
    <col min="18" max="18" width="76.125" customWidth="1"/>
    <col min="19" max="19" width="23.875" bestFit="1" customWidth="1"/>
    <col min="20" max="20" width="27.375" bestFit="1" customWidth="1"/>
    <col min="21" max="21" width="15.25" bestFit="1" customWidth="1"/>
    <col min="22" max="22" width="15.875" customWidth="1"/>
    <col min="23" max="23" width="17.625" customWidth="1"/>
    <col min="24" max="24" width="16.75" customWidth="1"/>
    <col min="25" max="25" width="18.625" customWidth="1"/>
    <col min="26" max="26" width="14.375" bestFit="1" customWidth="1"/>
  </cols>
  <sheetData>
    <row r="1" spans="1:26" ht="13.75" customHeight="1">
      <c r="A1" s="2" t="s">
        <v>0</v>
      </c>
      <c r="B1" s="132" t="s">
        <v>1</v>
      </c>
      <c r="C1" s="25"/>
      <c r="D1" s="25"/>
      <c r="E1" s="25"/>
      <c r="F1" s="25"/>
      <c r="G1" s="25"/>
      <c r="H1" s="25"/>
      <c r="I1" s="25"/>
      <c r="J1" s="25"/>
      <c r="K1" s="25"/>
      <c r="L1" s="25"/>
      <c r="M1" s="25"/>
      <c r="N1" s="25"/>
      <c r="O1" s="25"/>
      <c r="P1" s="25"/>
      <c r="Q1" s="25"/>
      <c r="R1" s="25"/>
      <c r="S1" s="25"/>
      <c r="T1" s="25"/>
      <c r="U1" s="25"/>
    </row>
    <row r="2" spans="1:26" ht="14.3" customHeight="1">
      <c r="A2" s="7" t="s">
        <v>20</v>
      </c>
      <c r="B2" s="1031" t="s">
        <v>44</v>
      </c>
      <c r="C2" s="1032"/>
      <c r="D2" s="1032"/>
      <c r="E2" s="1032"/>
      <c r="F2" s="1032"/>
      <c r="G2" s="1032"/>
      <c r="H2" s="1032"/>
      <c r="I2" s="1032"/>
      <c r="J2" s="1032"/>
      <c r="K2" s="1032"/>
      <c r="L2" s="1032"/>
      <c r="M2" s="1032"/>
      <c r="N2" s="1032"/>
      <c r="O2" s="1032"/>
      <c r="P2" s="1032"/>
      <c r="Q2" s="1032"/>
      <c r="R2" s="1032"/>
      <c r="S2" s="1032"/>
      <c r="T2" s="1032"/>
      <c r="U2" s="1033"/>
    </row>
    <row r="3" spans="1:26" ht="14.3" customHeight="1">
      <c r="A3" s="7" t="s">
        <v>79</v>
      </c>
      <c r="B3" s="1465" t="str">
        <f>HYPERLINK("#'Objetos de dominio'!B13", 'Objetos de dominio'!B15)</f>
        <v>Es cuando un cliente compra productos en la pizzería.</v>
      </c>
      <c r="C3" s="1032"/>
      <c r="D3" s="1032"/>
      <c r="E3" s="1032"/>
      <c r="F3" s="1032"/>
      <c r="G3" s="1032"/>
      <c r="H3" s="1032"/>
      <c r="I3" s="1032"/>
      <c r="J3" s="1032"/>
      <c r="K3" s="1032"/>
      <c r="L3" s="1032"/>
      <c r="M3" s="1032"/>
      <c r="N3" s="1032"/>
      <c r="O3" s="1032"/>
      <c r="P3" s="1032"/>
      <c r="Q3" s="1032"/>
      <c r="R3" s="1032"/>
      <c r="S3" s="1032"/>
      <c r="T3" s="1032"/>
      <c r="U3" s="1033"/>
    </row>
    <row r="4" spans="1:26" ht="14.3"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HYPERLINK("#'C-Venta'!A22", 'C-Venta'!A22)</f>
        <v>Registrar venta</v>
      </c>
      <c r="W4" s="1467" t="str">
        <f>HYPERLINK("#'C-Venta'!A25", 'C-Venta'!A25)</f>
        <v>Confirmar venta</v>
      </c>
      <c r="X4" s="1468"/>
      <c r="Y4" s="608" t="str">
        <f>HYPERLINK("#'C-Venta'!A34", 'C-Venta'!A34)</f>
        <v>Eliminar venta</v>
      </c>
      <c r="Z4" s="519" t="str">
        <f>HYPERLINK("#'C-Venta'!A37", 'C-Venta'!A37)</f>
        <v>Consultar venta</v>
      </c>
    </row>
    <row r="5" spans="1:26" ht="13.75" customHeight="1">
      <c r="A5" s="135" t="str">
        <f>HYPERLINK("#'M-Venta'!A5", 'M-Venta'!A5)</f>
        <v>Id</v>
      </c>
      <c r="B5" s="135" t="str">
        <f>HYPERLINK("#'M-Venta'!A2", 'M-Venta'!A2)</f>
        <v xml:space="preserve">Identificador de cada venta dentro del sistema </v>
      </c>
      <c r="C5" s="13" t="s">
        <v>15</v>
      </c>
      <c r="D5" s="13" t="s">
        <v>1056</v>
      </c>
      <c r="E5" s="9" t="s">
        <v>15</v>
      </c>
      <c r="F5" s="9"/>
      <c r="G5" s="9"/>
      <c r="H5" s="9"/>
      <c r="I5" s="9"/>
      <c r="J5" s="9"/>
      <c r="K5" s="9"/>
      <c r="L5" s="9"/>
      <c r="M5" s="9"/>
      <c r="N5" s="13" t="s">
        <v>100</v>
      </c>
      <c r="O5" s="13" t="s">
        <v>100</v>
      </c>
      <c r="P5" s="9"/>
      <c r="Q5" s="13" t="s">
        <v>100</v>
      </c>
      <c r="R5" s="13" t="s">
        <v>100</v>
      </c>
      <c r="S5" s="13" t="s">
        <v>100</v>
      </c>
      <c r="T5" s="9"/>
      <c r="U5" s="481" t="s">
        <v>15</v>
      </c>
      <c r="V5" s="582" t="s">
        <v>101</v>
      </c>
      <c r="W5" s="557" t="s">
        <v>101</v>
      </c>
      <c r="X5" s="557" t="s">
        <v>273</v>
      </c>
      <c r="Y5" s="608" t="s">
        <v>101</v>
      </c>
      <c r="Z5" s="519" t="s">
        <v>274</v>
      </c>
    </row>
    <row r="6" spans="1:26" ht="13.75" customHeight="1">
      <c r="A6" s="135" t="str">
        <f>HYPERLINK("#'M-Venta'!B5", 'M-Venta'!B5)</f>
        <v>Fecha</v>
      </c>
      <c r="B6" s="135" t="str">
        <f>HYPERLINK("#'M-Venta'!B2", 'M-Venta'!B2)</f>
        <v>Fecha en la que se realizo la venta</v>
      </c>
      <c r="C6" s="13" t="s">
        <v>100</v>
      </c>
      <c r="D6" s="37" t="s">
        <v>9</v>
      </c>
      <c r="E6" s="13" t="s">
        <v>15</v>
      </c>
      <c r="F6" s="9"/>
      <c r="G6" s="9"/>
      <c r="H6" s="9"/>
      <c r="I6" s="9"/>
      <c r="J6" s="9"/>
      <c r="K6" s="9"/>
      <c r="L6" s="9" t="s">
        <v>107</v>
      </c>
      <c r="M6" s="9"/>
      <c r="N6" s="13" t="s">
        <v>100</v>
      </c>
      <c r="O6" s="13" t="s">
        <v>100</v>
      </c>
      <c r="P6" s="9"/>
      <c r="Q6" s="13" t="s">
        <v>100</v>
      </c>
      <c r="R6" s="13" t="s">
        <v>100</v>
      </c>
      <c r="S6" s="13" t="s">
        <v>100</v>
      </c>
      <c r="T6" s="9"/>
      <c r="U6" s="481" t="s">
        <v>15</v>
      </c>
      <c r="V6" s="582" t="s">
        <v>101</v>
      </c>
      <c r="W6" s="557" t="s">
        <v>276</v>
      </c>
      <c r="X6" s="557" t="s">
        <v>273</v>
      </c>
      <c r="Y6" s="608" t="s">
        <v>276</v>
      </c>
      <c r="Z6" s="519" t="s">
        <v>278</v>
      </c>
    </row>
    <row r="7" spans="1:26" ht="13.75" customHeight="1">
      <c r="A7" s="135" t="str">
        <f>HYPERLINK("#'M-Venta'!C5", 'M-Venta'!C5)</f>
        <v>Hora</v>
      </c>
      <c r="B7" s="135" t="str">
        <f>HYPERLINK("#'M-Venta'!C2", 'M-Venta'!C2)</f>
        <v>Hora en la que se realizo la venta</v>
      </c>
      <c r="C7" s="13" t="s">
        <v>100</v>
      </c>
      <c r="D7" s="13" t="s">
        <v>1045</v>
      </c>
      <c r="E7" s="13" t="s">
        <v>15</v>
      </c>
      <c r="F7" s="9"/>
      <c r="G7" s="9"/>
      <c r="H7" s="9"/>
      <c r="I7" s="9"/>
      <c r="J7" s="9"/>
      <c r="K7" s="9"/>
      <c r="L7" s="13" t="s">
        <v>1057</v>
      </c>
      <c r="M7" s="9" t="s">
        <v>1058</v>
      </c>
      <c r="N7" s="13" t="s">
        <v>100</v>
      </c>
      <c r="O7" s="13" t="s">
        <v>100</v>
      </c>
      <c r="P7" s="9"/>
      <c r="Q7" s="13" t="s">
        <v>100</v>
      </c>
      <c r="R7" s="13" t="s">
        <v>100</v>
      </c>
      <c r="S7" s="13" t="s">
        <v>100</v>
      </c>
      <c r="T7" s="405"/>
      <c r="U7" s="481" t="s">
        <v>15</v>
      </c>
      <c r="V7" s="582" t="s">
        <v>101</v>
      </c>
      <c r="W7" s="557" t="s">
        <v>276</v>
      </c>
      <c r="X7" s="557" t="s">
        <v>273</v>
      </c>
      <c r="Y7" s="608" t="s">
        <v>276</v>
      </c>
      <c r="Z7" s="519" t="s">
        <v>278</v>
      </c>
    </row>
    <row r="8" spans="1:26" ht="13.75" customHeight="1">
      <c r="A8" s="135" t="str">
        <f>HYPERLINK("#'M-Venta'!D5", 'M-Venta'!D5)</f>
        <v>Factura</v>
      </c>
      <c r="B8" s="135" t="str">
        <f>HYPERLINK("#'M-Venta'!D2", 'M-Venta'!D2)</f>
        <v>Número de la factura de venta. El sistema lo asigna solo en el momento en que la venta se hace</v>
      </c>
      <c r="C8" s="13" t="s">
        <v>100</v>
      </c>
      <c r="D8" s="13" t="s">
        <v>280</v>
      </c>
      <c r="E8" s="13" t="s">
        <v>15</v>
      </c>
      <c r="F8" s="11">
        <v>9</v>
      </c>
      <c r="G8" s="12">
        <v>9</v>
      </c>
      <c r="H8" s="9"/>
      <c r="I8" s="9"/>
      <c r="J8" s="9"/>
      <c r="K8" s="9"/>
      <c r="L8" s="13" t="s">
        <v>1181</v>
      </c>
      <c r="M8" s="13" t="s">
        <v>1182</v>
      </c>
      <c r="N8" s="13" t="s">
        <v>100</v>
      </c>
      <c r="O8" s="13" t="s">
        <v>100</v>
      </c>
      <c r="P8" s="9"/>
      <c r="Q8" s="13" t="s">
        <v>100</v>
      </c>
      <c r="R8" s="13" t="s">
        <v>100</v>
      </c>
      <c r="S8" s="13" t="s">
        <v>100</v>
      </c>
      <c r="T8" s="13"/>
      <c r="U8" s="481" t="s">
        <v>15</v>
      </c>
      <c r="V8" s="582" t="s">
        <v>276</v>
      </c>
      <c r="W8" s="557" t="s">
        <v>276</v>
      </c>
      <c r="X8" s="557" t="s">
        <v>273</v>
      </c>
      <c r="Y8" s="608" t="s">
        <v>276</v>
      </c>
      <c r="Z8" s="519" t="s">
        <v>278</v>
      </c>
    </row>
    <row r="9" spans="1:26" ht="13.75" customHeight="1">
      <c r="A9" s="135" t="str">
        <f>HYPERLINK("#'M-Venta'!E5", 'M-Venta'!E5)</f>
        <v>Cliente</v>
      </c>
      <c r="B9" s="135" t="str">
        <f>HYPERLINK("#'M-Venta'!E2", 'M-Venta'!E2)</f>
        <v xml:space="preserve">Indicativo de a que cliente le pertenece la venta </v>
      </c>
      <c r="C9" s="13" t="s">
        <v>100</v>
      </c>
      <c r="D9" s="13" t="s">
        <v>280</v>
      </c>
      <c r="E9" s="13" t="s">
        <v>100</v>
      </c>
      <c r="F9" s="11">
        <v>1</v>
      </c>
      <c r="G9" s="12">
        <v>10</v>
      </c>
      <c r="H9" s="9"/>
      <c r="I9" s="9"/>
      <c r="J9" s="9"/>
      <c r="K9" s="9"/>
      <c r="L9" s="13"/>
      <c r="M9" s="13" t="s">
        <v>1183</v>
      </c>
      <c r="N9" s="13" t="s">
        <v>100</v>
      </c>
      <c r="O9" s="13" t="s">
        <v>100</v>
      </c>
      <c r="P9" s="9"/>
      <c r="Q9" s="13" t="s">
        <v>15</v>
      </c>
      <c r="R9" s="13" t="s">
        <v>15</v>
      </c>
      <c r="S9" s="13" t="s">
        <v>100</v>
      </c>
      <c r="T9" s="13">
        <v>2222222222</v>
      </c>
      <c r="U9" s="481" t="s">
        <v>100</v>
      </c>
      <c r="V9" s="582" t="s">
        <v>276</v>
      </c>
      <c r="W9" s="557" t="s">
        <v>276</v>
      </c>
      <c r="X9" s="557" t="s">
        <v>273</v>
      </c>
      <c r="Y9" s="608" t="s">
        <v>276</v>
      </c>
      <c r="Z9" s="519" t="s">
        <v>278</v>
      </c>
    </row>
    <row r="10" spans="1:26" ht="13.75" customHeight="1">
      <c r="A10" s="135" t="str">
        <f>HYPERLINK("#'M-Venta'!F5", 'M-Venta'!F5)</f>
        <v>Total</v>
      </c>
      <c r="B10" s="135" t="str">
        <f>HYPERLINK("#'M-Venta'!F2", 'M-Venta'!F2)</f>
        <v>Total de la venta</v>
      </c>
      <c r="C10" s="13" t="s">
        <v>100</v>
      </c>
      <c r="D10" s="13" t="s">
        <v>13</v>
      </c>
      <c r="E10" s="13" t="s">
        <v>15</v>
      </c>
      <c r="F10" s="12"/>
      <c r="G10" s="12"/>
      <c r="H10" s="13">
        <v>2</v>
      </c>
      <c r="I10" s="13" t="s">
        <v>103</v>
      </c>
      <c r="J10" s="13" t="s">
        <v>104</v>
      </c>
      <c r="K10" s="294">
        <v>1000000</v>
      </c>
      <c r="L10" s="9"/>
      <c r="M10" s="9" t="s">
        <v>1059</v>
      </c>
      <c r="N10" s="13" t="s">
        <v>284</v>
      </c>
      <c r="O10" s="13" t="s">
        <v>100</v>
      </c>
      <c r="P10" s="9"/>
      <c r="Q10" s="13" t="s">
        <v>100</v>
      </c>
      <c r="R10" s="13" t="s">
        <v>100</v>
      </c>
      <c r="S10" s="13" t="s">
        <v>15</v>
      </c>
      <c r="T10" s="13"/>
      <c r="U10" s="481" t="s">
        <v>100</v>
      </c>
      <c r="V10" s="582" t="s">
        <v>276</v>
      </c>
      <c r="W10" s="557" t="s">
        <v>276</v>
      </c>
      <c r="X10" s="557" t="s">
        <v>273</v>
      </c>
      <c r="Y10" s="608" t="s">
        <v>276</v>
      </c>
      <c r="Z10" s="519" t="s">
        <v>278</v>
      </c>
    </row>
    <row r="13" spans="1:26" ht="14.3" customHeight="1">
      <c r="A13" s="111" t="s">
        <v>109</v>
      </c>
      <c r="B13" s="111" t="s">
        <v>79</v>
      </c>
      <c r="C13" s="111" t="s">
        <v>110</v>
      </c>
    </row>
    <row r="14" spans="1:26" ht="13.75" customHeight="1">
      <c r="A14" s="1464" t="s">
        <v>111</v>
      </c>
      <c r="B14" s="1466" t="s">
        <v>1060</v>
      </c>
      <c r="C14" s="295" t="str">
        <f>HYPERLINK("#'C-Venta'!A6", 'C-Venta'!A6)</f>
        <v>Fecha</v>
      </c>
    </row>
    <row r="15" spans="1:26">
      <c r="A15" s="1089"/>
      <c r="B15" s="1089"/>
      <c r="C15" s="797" t="str">
        <f>HYPERLINK("#'C-Venta'!A7", 'C-Venta'!A7)</f>
        <v>Hora</v>
      </c>
    </row>
    <row r="16" spans="1:26" ht="13.75" customHeight="1">
      <c r="A16" s="542" t="s">
        <v>1061</v>
      </c>
      <c r="B16" s="574" t="s">
        <v>1062</v>
      </c>
      <c r="C16" s="295" t="str">
        <f>HYPERLINK("#'C-Venta'!A8", 'C-Venta'!A8)</f>
        <v>Factura</v>
      </c>
    </row>
    <row r="19" spans="1:18 16000:16000" ht="13.75" customHeight="1"/>
    <row r="20" spans="1:18 16000:16000" ht="14.3" customHeight="1">
      <c r="A20" s="1116" t="s">
        <v>113</v>
      </c>
      <c r="B20" s="1077"/>
      <c r="C20" s="1116" t="s">
        <v>79</v>
      </c>
      <c r="D20" s="1076"/>
      <c r="E20" s="1076"/>
      <c r="F20" s="1077"/>
      <c r="G20" s="1116" t="s">
        <v>114</v>
      </c>
      <c r="H20" s="1123"/>
      <c r="I20" s="1124"/>
      <c r="J20" s="1132" t="s">
        <v>115</v>
      </c>
      <c r="K20" s="1123"/>
      <c r="L20" s="1123"/>
      <c r="M20" s="1123"/>
      <c r="N20" s="1124"/>
      <c r="O20" s="1132" t="s">
        <v>116</v>
      </c>
      <c r="P20" s="1124"/>
      <c r="Q20" s="1132" t="s">
        <v>117</v>
      </c>
      <c r="R20" s="1124"/>
    </row>
    <row r="21" spans="1:18 16000:16000" ht="14.3" customHeight="1">
      <c r="A21" s="1078"/>
      <c r="B21" s="1080"/>
      <c r="C21" s="1078"/>
      <c r="D21" s="1079"/>
      <c r="E21" s="1079"/>
      <c r="F21" s="1080"/>
      <c r="G21" s="551" t="s">
        <v>118</v>
      </c>
      <c r="H21" s="551" t="s">
        <v>8</v>
      </c>
      <c r="I21" s="551" t="s">
        <v>79</v>
      </c>
      <c r="J21" s="691" t="s">
        <v>119</v>
      </c>
      <c r="K21" s="1132" t="s">
        <v>79</v>
      </c>
      <c r="L21" s="1123"/>
      <c r="M21" s="1123"/>
      <c r="N21" s="1124"/>
      <c r="O21" s="550" t="s">
        <v>120</v>
      </c>
      <c r="P21" s="550" t="s">
        <v>79</v>
      </c>
      <c r="Q21" s="550" t="s">
        <v>121</v>
      </c>
      <c r="R21" s="550" t="s">
        <v>122</v>
      </c>
    </row>
    <row r="22" spans="1:18 16000:16000" ht="76.75" customHeight="1">
      <c r="A22" s="1441" t="str">
        <f>HYPERLINK("#'C-Venta'!V4", 'E-Venta'!B7)</f>
        <v>Registrar venta</v>
      </c>
      <c r="B22" s="1442"/>
      <c r="C22" s="1447" t="str">
        <f>'E-Venta'!C7</f>
        <v>Permite registrar una venta realizada en el establecimiento, asociando los productos solicitados y la información correspondiente.</v>
      </c>
      <c r="D22" s="1448"/>
      <c r="E22" s="1448"/>
      <c r="F22" s="1449"/>
      <c r="G22" s="1456" t="s">
        <v>123</v>
      </c>
      <c r="H22" s="1456" t="s">
        <v>44</v>
      </c>
      <c r="I22" s="1459" t="s">
        <v>1063</v>
      </c>
      <c r="J22" s="1462" t="s">
        <v>44</v>
      </c>
      <c r="K22" s="1208" t="s">
        <v>1064</v>
      </c>
      <c r="L22" s="1017"/>
      <c r="M22" s="1017"/>
      <c r="N22" s="1012"/>
      <c r="O22" s="776" t="str">
        <f>HYPERLINK("#'P-Venta'!A5", 'P-Venta'!A5)</f>
        <v>P-VEN-001</v>
      </c>
      <c r="P22" s="512" t="str">
        <f>'P-Venta'!B5</f>
        <v>Asegurar que los datos requeridos para registrar una venta sean válidos de acuerdo con el tipo de dato, obligatoriedad, formato y rango correspondiente.</v>
      </c>
      <c r="Q22" s="512" t="s">
        <v>1065</v>
      </c>
      <c r="R22" s="552" t="s">
        <v>127</v>
      </c>
    </row>
    <row r="23" spans="1:18 16000:16000">
      <c r="A23" s="1443"/>
      <c r="B23" s="1444"/>
      <c r="C23" s="1450"/>
      <c r="D23" s="1451"/>
      <c r="E23" s="1451"/>
      <c r="F23" s="1452"/>
      <c r="G23" s="1457"/>
      <c r="H23" s="1457"/>
      <c r="I23" s="1460"/>
      <c r="J23" s="1463"/>
      <c r="K23" s="1209"/>
      <c r="L23" s="1018"/>
      <c r="M23" s="1018"/>
      <c r="N23" s="1014"/>
      <c r="O23" s="776" t="str">
        <f>HYPERLINK("#'P-Venta'!A6", 'P-Venta'!A6)</f>
        <v>P-VEN-002</v>
      </c>
      <c r="P23" s="512" t="str">
        <f>'P-Venta'!B6</f>
        <v>Asegurar que no exista otra venta registrada con la misma Fecha y la misma Hora.</v>
      </c>
      <c r="Q23" s="512" t="s">
        <v>1066</v>
      </c>
      <c r="R23" s="552" t="s">
        <v>1067</v>
      </c>
    </row>
    <row r="24" spans="1:18 16000:16000">
      <c r="A24" s="1445"/>
      <c r="B24" s="1446"/>
      <c r="C24" s="1453"/>
      <c r="D24" s="1454"/>
      <c r="E24" s="1454"/>
      <c r="F24" s="1455"/>
      <c r="G24" s="1458"/>
      <c r="H24" s="1458"/>
      <c r="I24" s="1461"/>
      <c r="J24" s="1463"/>
      <c r="K24" s="1210"/>
      <c r="L24" s="1019"/>
      <c r="M24" s="1019"/>
      <c r="N24" s="1016"/>
      <c r="O24" s="776" t="str">
        <f>HYPERLINK("#'P-Venta'!A15", 'P-Venta'!A15)</f>
        <v>P-VEN-011</v>
      </c>
      <c r="P24" s="512" t="str">
        <f>'P-Venta'!B15</f>
        <v>Si no se indica el cliente de la venta, se registra 2222222222 (consumidor final).</v>
      </c>
      <c r="Q24" s="512" t="s">
        <v>1605</v>
      </c>
      <c r="R24" s="552" t="s">
        <v>1606</v>
      </c>
    </row>
    <row r="25" spans="1:18 16000:16000" ht="25.5" customHeight="1">
      <c r="A25" s="1432" t="str">
        <f>HYPERLINK("#'C-Venta'!W4", 'E-Venta'!B10)</f>
        <v>Confirmar venta</v>
      </c>
      <c r="B25" s="1433"/>
      <c r="C25" s="1432" t="str">
        <f>'E-Venta'!C10</f>
        <v>Permite confirmar una venta: se calcula el total, se asigna el numero de factura, se registran los consumos y se descuenta el inventario por FIFO. Una venta confirmada ya no se puede modificar.</v>
      </c>
      <c r="D25" s="1438"/>
      <c r="E25" s="1438"/>
      <c r="F25" s="1433"/>
      <c r="G25" s="1409" t="s">
        <v>16</v>
      </c>
      <c r="H25" s="1409" t="s">
        <v>299</v>
      </c>
      <c r="I25" s="1409" t="s">
        <v>1068</v>
      </c>
      <c r="J25" s="1410" t="s">
        <v>44</v>
      </c>
      <c r="K25" s="1432" t="s">
        <v>1069</v>
      </c>
      <c r="L25" s="1438"/>
      <c r="M25" s="1438"/>
      <c r="N25" s="1433"/>
      <c r="O25" s="812" t="str">
        <f>HYPERLINK("#'P-Venta'!A11", 'P-Venta'!A11)</f>
        <v>P-VEN-007</v>
      </c>
      <c r="P25" s="557" t="str">
        <f>'P-Venta'!B11</f>
        <v>Asegurar que la venta exista con el identificador indicado</v>
      </c>
      <c r="Q25" s="557" t="s">
        <v>1607</v>
      </c>
      <c r="R25" s="522" t="s">
        <v>1608</v>
      </c>
    </row>
    <row r="26" spans="1:18 16000:16000">
      <c r="A26" s="1434"/>
      <c r="B26" s="1435"/>
      <c r="C26" s="1434"/>
      <c r="D26" s="1439"/>
      <c r="E26" s="1439"/>
      <c r="F26" s="1435"/>
      <c r="G26" s="1410"/>
      <c r="H26" s="1410"/>
      <c r="I26" s="1410"/>
      <c r="J26" s="1410"/>
      <c r="K26" s="1434"/>
      <c r="L26" s="1439"/>
      <c r="M26" s="1439"/>
      <c r="N26" s="1435"/>
      <c r="O26" s="812" t="str">
        <f>HYPERLINK("#'P-Venta'!A13", 'P-Venta'!A13)</f>
        <v>P-VEN-009</v>
      </c>
      <c r="P26" s="557" t="str">
        <f>'P-Venta'!B13</f>
        <v>Asegurar que una venta confirmada no pueda ser modificada o eliminada.</v>
      </c>
      <c r="Q26" s="557" t="s">
        <v>1083</v>
      </c>
      <c r="R26" s="522" t="s">
        <v>1609</v>
      </c>
    </row>
    <row r="27" spans="1:18 16000:16000">
      <c r="A27" s="1434"/>
      <c r="B27" s="1435"/>
      <c r="C27" s="1434"/>
      <c r="D27" s="1439"/>
      <c r="E27" s="1439"/>
      <c r="F27" s="1435"/>
      <c r="G27" s="1410"/>
      <c r="H27" s="1410"/>
      <c r="I27" s="1410"/>
      <c r="J27" s="1410"/>
      <c r="K27" s="1434"/>
      <c r="L27" s="1439"/>
      <c r="M27" s="1439"/>
      <c r="N27" s="1435"/>
      <c r="O27" s="812" t="str">
        <f>HYPERLINK("#'P-Venta'!A7", 'P-Venta'!A7)</f>
        <v>P-VEN-003</v>
      </c>
      <c r="P27" s="557" t="str">
        <f>'P-Venta'!B7</f>
        <v>Asegurar que una venta contenga al menos un detalle de venta antes de ser confirmada.</v>
      </c>
      <c r="Q27" s="557" t="s">
        <v>1070</v>
      </c>
      <c r="R27" s="522" t="s">
        <v>1071</v>
      </c>
    </row>
    <row r="28" spans="1:18 16000:16000">
      <c r="A28" s="1434"/>
      <c r="B28" s="1435"/>
      <c r="C28" s="1434"/>
      <c r="D28" s="1439"/>
      <c r="E28" s="1439"/>
      <c r="F28" s="1435"/>
      <c r="G28" s="1410"/>
      <c r="H28" s="1410"/>
      <c r="I28" s="1410"/>
      <c r="J28" s="1410"/>
      <c r="K28" s="1434"/>
      <c r="L28" s="1439"/>
      <c r="M28" s="1439"/>
      <c r="N28" s="1435"/>
      <c r="O28" s="812" t="str">
        <f>HYPERLINK("#'P-Venta'!A8", 'P-Venta'!A8)</f>
        <v>P-VEN-004</v>
      </c>
      <c r="P28" s="557" t="str">
        <f>'P-Venta'!B8</f>
        <v>Asegurar que todos los detalles asociados a una venta sean válidos antes de confirmar la operación.</v>
      </c>
      <c r="Q28" s="557" t="s">
        <v>1072</v>
      </c>
      <c r="R28" s="522" t="s">
        <v>1073</v>
      </c>
    </row>
    <row r="29" spans="1:18 16000:16000" ht="13.75" customHeight="1">
      <c r="A29" s="1434"/>
      <c r="B29" s="1435"/>
      <c r="C29" s="1434"/>
      <c r="D29" s="1439"/>
      <c r="E29" s="1439"/>
      <c r="F29" s="1435"/>
      <c r="G29" s="1410"/>
      <c r="H29" s="1410"/>
      <c r="I29" s="1410"/>
      <c r="J29" s="1410"/>
      <c r="K29" s="1434"/>
      <c r="L29" s="1439"/>
      <c r="M29" s="1439"/>
      <c r="N29" s="1435"/>
      <c r="O29" s="812" t="str">
        <f>HYPERLINK("#'P-Venta'!A9", 'P-Venta'!A9)</f>
        <v>P-VEN-005</v>
      </c>
      <c r="P29" s="557" t="str">
        <f>'P-Venta'!B9</f>
        <v>Asegurar que antes de confirmar una venta exista disponibilidad suficiente para atender los productos que requieren consumo de inventario.</v>
      </c>
      <c r="Q29" s="557" t="s">
        <v>1074</v>
      </c>
      <c r="R29" s="522" t="s">
        <v>499</v>
      </c>
    </row>
    <row r="30" spans="1:18 16000:16000" ht="13.75" customHeight="1">
      <c r="A30" s="1434"/>
      <c r="B30" s="1435"/>
      <c r="C30" s="1434"/>
      <c r="D30" s="1439"/>
      <c r="E30" s="1439"/>
      <c r="F30" s="1435"/>
      <c r="G30" s="1410"/>
      <c r="H30" s="1410"/>
      <c r="I30" s="1410"/>
      <c r="J30" s="1410"/>
      <c r="K30" s="1434"/>
      <c r="L30" s="1439"/>
      <c r="M30" s="1439"/>
      <c r="N30" s="1435"/>
      <c r="O30" s="812" t="str">
        <f>HYPERLINK("#'P-Venta'!A10", 'P-Venta'!A10)</f>
        <v>P-VEN-006</v>
      </c>
      <c r="P30" s="557" t="str">
        <f>'P-Venta'!B10</f>
        <v>Asegurar que el total de la venta corresponda a la suma de los subtotales de sus detalles y no supere 1.000.000.</v>
      </c>
      <c r="Q30" s="557" t="s">
        <v>1610</v>
      </c>
      <c r="R30" s="522" t="s">
        <v>1611</v>
      </c>
    </row>
    <row r="31" spans="1:18 16000:16000" s="614" customFormat="1" ht="13.75" customHeight="1">
      <c r="A31" s="1434"/>
      <c r="B31" s="1435"/>
      <c r="C31" s="1434"/>
      <c r="D31" s="1439"/>
      <c r="E31" s="1439"/>
      <c r="F31" s="1435"/>
      <c r="G31" s="1410"/>
      <c r="H31" s="1410"/>
      <c r="I31" s="1410"/>
      <c r="J31" s="1410"/>
      <c r="K31" s="1434"/>
      <c r="L31" s="1439"/>
      <c r="M31" s="1439"/>
      <c r="N31" s="1435"/>
      <c r="O31" s="812" t="str">
        <f>HYPERLINK("#'P-Venta'!A14", 'P-Venta'!A14)</f>
        <v>P-VEN-010</v>
      </c>
      <c r="P31" s="557" t="str">
        <f>'P-Venta'!B14</f>
        <v>Asegurar que al confirmar una venta se le asigne el siguiente numero de factura del consecutivo (FV- seguido de 6 digitos), sin repetir un numero que ya tenga otra venta.</v>
      </c>
      <c r="Q31" s="557" t="s">
        <v>1075</v>
      </c>
      <c r="R31" s="522" t="s">
        <v>1076</v>
      </c>
      <c r="WQJ31"/>
    </row>
    <row r="32" spans="1:18 16000:16000" s="614" customFormat="1" ht="13.75" customHeight="1">
      <c r="A32" s="1434"/>
      <c r="B32" s="1435"/>
      <c r="C32" s="1434"/>
      <c r="D32" s="1439"/>
      <c r="E32" s="1439"/>
      <c r="F32" s="1435"/>
      <c r="G32" s="1410"/>
      <c r="H32" s="1410"/>
      <c r="I32" s="1410"/>
      <c r="J32" s="1410"/>
      <c r="K32" s="1434"/>
      <c r="L32" s="1439"/>
      <c r="M32" s="1439"/>
      <c r="N32" s="1435"/>
      <c r="O32" s="812" t="str">
        <f>HYPERLINK("#'P-Venta'!A16", 'P-Venta'!A16)</f>
        <v>P-VEN-012</v>
      </c>
      <c r="P32" s="557" t="str">
        <f>'P-Venta'!B16</f>
        <v>Al confirmar una venta se registran los consumos de cada detalle de venta, segun la receta del producto vendido o su producto interno asociado.</v>
      </c>
      <c r="Q32" s="557" t="s">
        <v>1612</v>
      </c>
      <c r="R32" s="522" t="s">
        <v>1613</v>
      </c>
      <c r="WQJ32"/>
    </row>
    <row r="33" spans="1:18 16000:16000" s="614" customFormat="1" ht="13.75" customHeight="1">
      <c r="A33" s="1436"/>
      <c r="B33" s="1437"/>
      <c r="C33" s="1436"/>
      <c r="D33" s="1440"/>
      <c r="E33" s="1440"/>
      <c r="F33" s="1437"/>
      <c r="G33" s="1411"/>
      <c r="H33" s="1411"/>
      <c r="I33" s="1411"/>
      <c r="J33" s="1411"/>
      <c r="K33" s="1436"/>
      <c r="L33" s="1440"/>
      <c r="M33" s="1440"/>
      <c r="N33" s="1437"/>
      <c r="O33" s="812" t="str">
        <f>HYPERLINK("#'P-Venta'!A17", 'P-Venta'!A17)</f>
        <v>P-VEN-013</v>
      </c>
      <c r="P33" s="557" t="str">
        <f>'P-Venta'!B17</f>
        <v>Al confirmar una venta, cada producto interno consumido sale del inventario por FIFO: primero del lote mas antiguo con saldo disponible (el de menor numero de lote); se registra un movimiento de Salida por cada lote afectado y se actualiza el inventario.</v>
      </c>
      <c r="Q33" s="557" t="s">
        <v>1614</v>
      </c>
      <c r="R33" s="522" t="s">
        <v>1615</v>
      </c>
      <c r="WQJ33"/>
    </row>
    <row r="34" spans="1:18 16000:16000" s="614" customFormat="1" ht="13.75" customHeight="1">
      <c r="A34" s="1422" t="str">
        <f>HYPERLINK("#'C-Venta'!Y4", 'E-Venta'!B19)</f>
        <v>Eliminar venta</v>
      </c>
      <c r="B34" s="1423"/>
      <c r="C34" s="1422" t="str">
        <f>'E-Venta'!C19</f>
        <v>Permite eliminar una venta que no haya sido confirmada y que no tenga detalles de venta asociados que deban conservarse para mantener la trazabilidad.</v>
      </c>
      <c r="D34" s="1426"/>
      <c r="E34" s="1426"/>
      <c r="F34" s="1423"/>
      <c r="G34" s="1430" t="s">
        <v>16</v>
      </c>
      <c r="H34" s="1430" t="s">
        <v>299</v>
      </c>
      <c r="I34" s="1430" t="s">
        <v>1077</v>
      </c>
      <c r="J34" s="1430" t="s">
        <v>44</v>
      </c>
      <c r="K34" s="1422" t="s">
        <v>1078</v>
      </c>
      <c r="L34" s="1426"/>
      <c r="M34" s="1426"/>
      <c r="N34" s="1428"/>
      <c r="O34" s="888" t="str">
        <f>HYPERLINK("#'P-Venta'!A11", 'P-Venta'!A11)</f>
        <v>P-VEN-007</v>
      </c>
      <c r="P34" s="724" t="str">
        <f>'P-Venta'!B11</f>
        <v>Asegurar que la venta exista con el identificador indicado</v>
      </c>
      <c r="Q34" s="608" t="s">
        <v>1079</v>
      </c>
      <c r="R34" s="608" t="s">
        <v>1080</v>
      </c>
      <c r="WQJ34"/>
    </row>
    <row r="35" spans="1:18 16000:16000" s="614" customFormat="1" ht="13.75" customHeight="1">
      <c r="A35" s="1424"/>
      <c r="B35" s="1425"/>
      <c r="C35" s="1424"/>
      <c r="D35" s="1427"/>
      <c r="E35" s="1427"/>
      <c r="F35" s="1425"/>
      <c r="G35" s="1431"/>
      <c r="H35" s="1431"/>
      <c r="I35" s="1431"/>
      <c r="J35" s="1431"/>
      <c r="K35" s="1424"/>
      <c r="L35" s="1427"/>
      <c r="M35" s="1427"/>
      <c r="N35" s="1429"/>
      <c r="O35" s="888" t="str">
        <f>HYPERLINK("#'P-Venta'!A13", 'P-Venta'!A13)</f>
        <v>P-VEN-009</v>
      </c>
      <c r="P35" s="724" t="str">
        <f>'P-Venta'!B13</f>
        <v>Asegurar que una venta confirmada no pueda ser modificada o eliminada.</v>
      </c>
      <c r="Q35" s="608" t="s">
        <v>1083</v>
      </c>
      <c r="R35" s="608" t="s">
        <v>1084</v>
      </c>
      <c r="WQJ35"/>
    </row>
    <row r="36" spans="1:18 16000:16000" s="614" customFormat="1" ht="13.75" customHeight="1">
      <c r="A36" s="1424"/>
      <c r="B36" s="1425"/>
      <c r="C36" s="1424"/>
      <c r="D36" s="1427"/>
      <c r="E36" s="1427"/>
      <c r="F36" s="1425"/>
      <c r="G36" s="1431"/>
      <c r="H36" s="1431"/>
      <c r="I36" s="1431"/>
      <c r="J36" s="1431"/>
      <c r="K36" s="1424"/>
      <c r="L36" s="1427"/>
      <c r="M36" s="1427"/>
      <c r="N36" s="1429"/>
      <c r="O36" s="888" t="str">
        <f>HYPERLINK("#'P-Venta'!A12", 'P-Venta'!A12)</f>
        <v>P-VEN-008</v>
      </c>
      <c r="P36" s="861" t="str">
        <f>'P-Venta'!B12</f>
        <v>Asegurar que una venta no pueda eliminarse cuando tenga detalles de venta asociados que deban conservarse para mantener la trazabilidad.</v>
      </c>
      <c r="Q36" s="675" t="s">
        <v>1081</v>
      </c>
      <c r="R36" s="675" t="s">
        <v>1082</v>
      </c>
      <c r="WQJ36"/>
    </row>
    <row r="37" spans="1:18 16000:16000" s="614" customFormat="1" ht="13.75" customHeight="1">
      <c r="A37" s="1421" t="str">
        <f>HYPERLINK("#'C-Venta'!Z4", 'E-Venta'!B22)</f>
        <v>Consultar venta</v>
      </c>
      <c r="B37" s="1421"/>
      <c r="C37" s="1421" t="str">
        <f>'E-Venta'!C22</f>
        <v>Permite consultar una venta con sus detalles, su total y su numero de factura.</v>
      </c>
      <c r="D37" s="1421"/>
      <c r="E37" s="1421"/>
      <c r="F37" s="1421"/>
      <c r="G37" s="519" t="s">
        <v>16</v>
      </c>
      <c r="H37" s="519" t="s">
        <v>299</v>
      </c>
      <c r="I37" s="519" t="s">
        <v>1616</v>
      </c>
      <c r="J37" s="519" t="s">
        <v>44</v>
      </c>
      <c r="K37" s="1421" t="s">
        <v>1617</v>
      </c>
      <c r="L37" s="1421"/>
      <c r="M37" s="1421"/>
      <c r="N37" s="1421"/>
      <c r="O37" s="884" t="str">
        <f>HYPERLINK("#'P-Venta'!A11", 'P-Venta'!A11)</f>
        <v>P-VEN-007</v>
      </c>
      <c r="P37" s="519" t="str">
        <f>'P-Venta'!B11</f>
        <v>Asegurar que la venta exista con el identificador indicado</v>
      </c>
      <c r="Q37" s="519" t="s">
        <v>1618</v>
      </c>
      <c r="R37" s="519" t="s">
        <v>1619</v>
      </c>
      <c r="WQJ37"/>
    </row>
  </sheetData>
  <mergeCells count="36">
    <mergeCell ref="K21:N21"/>
    <mergeCell ref="W4:X4"/>
    <mergeCell ref="C20:F21"/>
    <mergeCell ref="A20:B21"/>
    <mergeCell ref="O20:P20"/>
    <mergeCell ref="B2:U2"/>
    <mergeCell ref="G20:I20"/>
    <mergeCell ref="A14:A15"/>
    <mergeCell ref="B3:U3"/>
    <mergeCell ref="B14:B15"/>
    <mergeCell ref="Q20:R20"/>
    <mergeCell ref="J20:N20"/>
    <mergeCell ref="A22:B24"/>
    <mergeCell ref="C22:F24"/>
    <mergeCell ref="K22:N24"/>
    <mergeCell ref="G22:G24"/>
    <mergeCell ref="H22:H24"/>
    <mergeCell ref="I22:I24"/>
    <mergeCell ref="J22:J24"/>
    <mergeCell ref="A25:B33"/>
    <mergeCell ref="C25:F33"/>
    <mergeCell ref="K25:N33"/>
    <mergeCell ref="G25:G33"/>
    <mergeCell ref="H25:H33"/>
    <mergeCell ref="I25:I33"/>
    <mergeCell ref="J25:J33"/>
    <mergeCell ref="A37:B37"/>
    <mergeCell ref="C37:F37"/>
    <mergeCell ref="K37:N37"/>
    <mergeCell ref="A34:B36"/>
    <mergeCell ref="C34:F36"/>
    <mergeCell ref="K34:N36"/>
    <mergeCell ref="G34:G36"/>
    <mergeCell ref="H34:H36"/>
    <mergeCell ref="I34:I36"/>
    <mergeCell ref="J34:J36"/>
  </mergeCells>
  <hyperlinks>
    <hyperlink ref="A1" location="'Modelo de dominio'!A1" display="&lt;&lt;&lt;Modelo de Dominio" xr:uid="{00000000-0004-0000-4C00-000000000000}"/>
    <hyperlink ref="B1" location="'Objetos de dominio'!A1" display="&lt;&lt;&lt;Objetos de Dominio" xr:uid="{00000000-0004-0000-4C00-000001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70">
    <outlinePr summaryBelow="0" summaryRight="0"/>
  </sheetPr>
  <dimension ref="A1:WQJ1000"/>
  <sheetViews>
    <sheetView workbookViewId="0">
      <selection activeCell="C26" sqref="C26"/>
    </sheetView>
  </sheetViews>
  <sheetFormatPr baseColWidth="10" defaultColWidth="12.625" defaultRowHeight="12.9"/>
  <cols>
    <col min="1" max="1" width="17" bestFit="1" customWidth="1"/>
    <col min="2" max="2" width="50.875" customWidth="1"/>
    <col min="3" max="3" width="94.75" bestFit="1" customWidth="1"/>
    <col min="4" max="4" width="26.375" customWidth="1"/>
    <col min="5" max="5" width="47.375" bestFit="1" customWidth="1"/>
    <col min="6" max="6" width="98.375" bestFit="1" customWidth="1"/>
    <col min="7" max="7" width="17.375" bestFit="1" customWidth="1"/>
    <col min="8" max="8" width="13.75" bestFit="1" customWidth="1"/>
    <col min="9" max="9" width="19.75" bestFit="1" customWidth="1"/>
    <col min="10" max="10" width="65.125" bestFit="1" customWidth="1"/>
  </cols>
  <sheetData>
    <row r="1" spans="1:25 16000:16000">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16000:16000" ht="13.75" customHeight="1">
      <c r="A2" s="51" t="s">
        <v>209</v>
      </c>
      <c r="B2" s="389" t="s">
        <v>44</v>
      </c>
      <c r="K2" s="73"/>
      <c r="L2" s="73"/>
      <c r="M2" s="73"/>
      <c r="N2" s="73"/>
      <c r="O2" s="73"/>
      <c r="P2" s="73"/>
      <c r="Q2" s="73"/>
      <c r="R2" s="73"/>
      <c r="S2" s="73"/>
      <c r="T2" s="73"/>
      <c r="U2" s="73"/>
      <c r="V2" s="73"/>
      <c r="W2" s="73"/>
      <c r="X2" s="73"/>
      <c r="Y2" s="73"/>
    </row>
    <row r="3" spans="1:25 16000:16000" ht="13.75" customHeight="1">
      <c r="A3" s="51" t="s">
        <v>210</v>
      </c>
      <c r="B3" s="379" t="str">
        <f>'C-Venta'!B3</f>
        <v>Es cuando un cliente compra productos en la pizzería.</v>
      </c>
      <c r="K3" s="73"/>
      <c r="L3" s="73"/>
      <c r="M3" s="73"/>
      <c r="N3" s="73"/>
      <c r="O3" s="73"/>
      <c r="P3" s="73"/>
      <c r="Q3" s="73"/>
      <c r="R3" s="73"/>
      <c r="S3" s="73"/>
      <c r="T3" s="73"/>
      <c r="U3" s="73"/>
      <c r="V3" s="73"/>
      <c r="W3" s="73"/>
      <c r="X3" s="73"/>
      <c r="Y3" s="73"/>
    </row>
    <row r="4" spans="1:25 16000:16000" ht="13.75" customHeight="1">
      <c r="A4" s="227" t="s">
        <v>211</v>
      </c>
      <c r="B4" s="1260" t="s">
        <v>212</v>
      </c>
      <c r="C4" s="1261"/>
      <c r="D4" s="226" t="s">
        <v>213</v>
      </c>
      <c r="E4" s="1262" t="s">
        <v>214</v>
      </c>
      <c r="F4" s="1263"/>
      <c r="G4" s="53" t="s">
        <v>215</v>
      </c>
      <c r="H4" s="381" t="s">
        <v>216</v>
      </c>
      <c r="I4" s="377" t="s">
        <v>217</v>
      </c>
      <c r="J4" s="380" t="s">
        <v>218</v>
      </c>
      <c r="K4" s="73"/>
      <c r="L4" s="73"/>
      <c r="M4" s="73"/>
      <c r="N4" s="73"/>
      <c r="O4" s="73"/>
      <c r="P4" s="73"/>
      <c r="Q4" s="73"/>
      <c r="R4" s="73"/>
      <c r="S4" s="73"/>
      <c r="T4" s="73"/>
      <c r="U4" s="73"/>
      <c r="V4" s="73"/>
      <c r="W4" s="73"/>
      <c r="X4" s="73"/>
      <c r="Y4" s="73"/>
    </row>
    <row r="5" spans="1:25 16000:16000" ht="13.75" customHeight="1">
      <c r="A5" s="227" t="s">
        <v>211</v>
      </c>
      <c r="B5" s="378" t="s">
        <v>219</v>
      </c>
      <c r="C5" s="378" t="s">
        <v>79</v>
      </c>
      <c r="D5" s="226" t="s">
        <v>220</v>
      </c>
      <c r="E5" s="1264" t="s">
        <v>221</v>
      </c>
      <c r="F5" s="1261"/>
      <c r="G5" s="53" t="s">
        <v>222</v>
      </c>
      <c r="H5" s="381" t="s">
        <v>223</v>
      </c>
      <c r="I5" s="377" t="s">
        <v>224</v>
      </c>
      <c r="J5" s="380" t="s">
        <v>225</v>
      </c>
      <c r="K5" s="73"/>
      <c r="L5" s="73"/>
      <c r="M5" s="73"/>
      <c r="N5" s="73"/>
      <c r="O5" s="73"/>
      <c r="P5" s="73"/>
      <c r="Q5" s="73"/>
      <c r="R5" s="73"/>
      <c r="S5" s="73"/>
      <c r="T5" s="73"/>
      <c r="U5" s="73"/>
      <c r="V5" s="73"/>
      <c r="W5" s="73"/>
      <c r="X5" s="73"/>
      <c r="Y5" s="73"/>
    </row>
    <row r="6" spans="1:25 16000:16000" ht="13.75" customHeight="1">
      <c r="E6" s="376" t="s">
        <v>226</v>
      </c>
      <c r="F6" s="376" t="s">
        <v>79</v>
      </c>
      <c r="G6" s="301" t="s">
        <v>227</v>
      </c>
      <c r="K6" s="73"/>
      <c r="L6" s="73"/>
      <c r="M6" s="73"/>
      <c r="N6" s="73"/>
      <c r="O6" s="73"/>
      <c r="P6" s="73"/>
      <c r="Q6" s="73"/>
      <c r="R6" s="73"/>
      <c r="S6" s="73"/>
      <c r="T6" s="73"/>
      <c r="U6" s="73"/>
      <c r="V6" s="73"/>
      <c r="W6" s="73"/>
      <c r="X6" s="73"/>
      <c r="Y6" s="73"/>
    </row>
    <row r="7" spans="1:25 16000:16000" ht="25.5" customHeight="1">
      <c r="A7" s="1046" t="s">
        <v>228</v>
      </c>
      <c r="B7" s="1046" t="s">
        <v>1085</v>
      </c>
      <c r="C7" s="1046" t="s">
        <v>1086</v>
      </c>
      <c r="D7" s="1046" t="s">
        <v>44</v>
      </c>
      <c r="E7" s="1055" t="s">
        <v>1087</v>
      </c>
      <c r="F7" s="1055" t="s">
        <v>1088</v>
      </c>
      <c r="G7" s="808" t="str">
        <f>HYPERLINK("#'P-Venta'!A5", "P-VEN-001")</f>
        <v>P-VEN-001</v>
      </c>
      <c r="H7" s="1046"/>
      <c r="I7" s="1046" t="s">
        <v>1089</v>
      </c>
      <c r="J7" s="1046"/>
      <c r="K7" s="73"/>
      <c r="L7" s="73"/>
      <c r="M7" s="73"/>
      <c r="N7" s="73"/>
      <c r="O7" s="73"/>
      <c r="P7" s="73"/>
      <c r="Q7" s="73"/>
      <c r="R7" s="73"/>
      <c r="S7" s="73"/>
      <c r="T7" s="73"/>
      <c r="U7" s="73"/>
      <c r="V7" s="73"/>
      <c r="W7" s="73"/>
      <c r="X7" s="73"/>
      <c r="Y7" s="73"/>
    </row>
    <row r="8" spans="1:25 16000:16000">
      <c r="A8" s="1047"/>
      <c r="B8" s="1047"/>
      <c r="C8" s="1047"/>
      <c r="D8" s="1047"/>
      <c r="E8" s="1047"/>
      <c r="F8" s="1047"/>
      <c r="G8" s="808" t="str">
        <f>HYPERLINK("#'P-Venta'!A6", "P-VEN-002")</f>
        <v>P-VEN-002</v>
      </c>
      <c r="H8" s="1047"/>
      <c r="I8" s="1047"/>
      <c r="J8" s="1047"/>
      <c r="K8" s="73"/>
      <c r="L8" s="73"/>
      <c r="M8" s="73"/>
      <c r="N8" s="73"/>
      <c r="O8" s="73"/>
      <c r="P8" s="73"/>
      <c r="Q8" s="73"/>
      <c r="R8" s="73"/>
      <c r="S8" s="73"/>
      <c r="T8" s="73"/>
      <c r="U8" s="73"/>
      <c r="V8" s="73"/>
      <c r="W8" s="73"/>
      <c r="X8" s="73"/>
      <c r="Y8" s="73"/>
    </row>
    <row r="9" spans="1:25 16000:16000">
      <c r="A9" s="1048"/>
      <c r="B9" s="1048"/>
      <c r="C9" s="1048"/>
      <c r="D9" s="1048"/>
      <c r="E9" s="1048"/>
      <c r="F9" s="1048"/>
      <c r="G9" s="808" t="str">
        <f>HYPERLINK("#'P-Venta'!A15", "P-VEN-011")</f>
        <v>P-VEN-011</v>
      </c>
      <c r="H9" s="1048"/>
      <c r="I9" s="1048"/>
      <c r="J9" s="1048"/>
      <c r="K9" s="73"/>
      <c r="L9" s="73"/>
      <c r="M9" s="73"/>
      <c r="N9" s="73"/>
      <c r="O9" s="73"/>
      <c r="P9" s="73"/>
      <c r="Q9" s="73"/>
      <c r="R9" s="73"/>
      <c r="S9" s="73"/>
      <c r="T9" s="73"/>
      <c r="U9" s="73"/>
      <c r="V9" s="73"/>
      <c r="W9" s="73"/>
      <c r="X9" s="73"/>
      <c r="Y9" s="73"/>
    </row>
    <row r="10" spans="1:25 16000:16000">
      <c r="A10" s="1472" t="s">
        <v>228</v>
      </c>
      <c r="B10" s="1472" t="s">
        <v>1090</v>
      </c>
      <c r="C10" s="1472" t="s">
        <v>1600</v>
      </c>
      <c r="D10" s="1472" t="s">
        <v>44</v>
      </c>
      <c r="E10" s="1472" t="s">
        <v>1091</v>
      </c>
      <c r="F10" s="1472" t="s">
        <v>1092</v>
      </c>
      <c r="G10" s="794" t="str">
        <f>HYPERLINK("#'P-Venta'!A11", "P-VEN-007")</f>
        <v>P-VEN-007</v>
      </c>
      <c r="H10" s="1472"/>
      <c r="I10" s="1472" t="s">
        <v>1093</v>
      </c>
      <c r="J10" s="1472"/>
      <c r="K10" s="73"/>
      <c r="L10" s="73"/>
      <c r="M10" s="73"/>
      <c r="N10" s="73"/>
      <c r="O10" s="73"/>
      <c r="P10" s="73"/>
      <c r="Q10" s="73"/>
      <c r="R10" s="73"/>
      <c r="S10" s="73"/>
      <c r="T10" s="73"/>
      <c r="U10" s="73"/>
      <c r="V10" s="73"/>
      <c r="W10" s="73"/>
      <c r="X10" s="73"/>
      <c r="Y10" s="73"/>
    </row>
    <row r="11" spans="1:25 16000:16000">
      <c r="A11" s="1473"/>
      <c r="B11" s="1473"/>
      <c r="C11" s="1473"/>
      <c r="D11" s="1473"/>
      <c r="E11" s="1473"/>
      <c r="F11" s="1473"/>
      <c r="G11" s="794" t="str">
        <f>HYPERLINK("#'P-Venta'!A13", "P-VEN-009")</f>
        <v>P-VEN-009</v>
      </c>
      <c r="H11" s="1473"/>
      <c r="I11" s="1473"/>
      <c r="J11" s="1473"/>
      <c r="K11" s="73"/>
      <c r="L11" s="73"/>
      <c r="M11" s="73"/>
      <c r="N11" s="73"/>
      <c r="O11" s="73"/>
      <c r="P11" s="73"/>
      <c r="Q11" s="73"/>
      <c r="R11" s="73"/>
      <c r="S11" s="73"/>
      <c r="T11" s="73"/>
      <c r="U11" s="73"/>
      <c r="V11" s="73"/>
      <c r="W11" s="73"/>
      <c r="X11" s="73"/>
      <c r="Y11" s="73"/>
    </row>
    <row r="12" spans="1:25 16000:16000">
      <c r="A12" s="1473"/>
      <c r="B12" s="1473"/>
      <c r="C12" s="1473"/>
      <c r="D12" s="1473"/>
      <c r="E12" s="1473"/>
      <c r="F12" s="1473"/>
      <c r="G12" s="794" t="str">
        <f>HYPERLINK("#'P-Venta'!A7", "P-VEN-003")</f>
        <v>P-VEN-003</v>
      </c>
      <c r="H12" s="1473"/>
      <c r="I12" s="1473"/>
      <c r="J12" s="1473"/>
      <c r="K12" s="73"/>
      <c r="L12" s="73"/>
      <c r="M12" s="73"/>
      <c r="N12" s="73"/>
      <c r="O12" s="73"/>
      <c r="P12" s="73"/>
      <c r="Q12" s="73"/>
      <c r="R12" s="73"/>
      <c r="S12" s="73"/>
      <c r="T12" s="73"/>
      <c r="U12" s="73"/>
      <c r="V12" s="73"/>
      <c r="W12" s="73"/>
      <c r="X12" s="73"/>
      <c r="Y12" s="73"/>
    </row>
    <row r="13" spans="1:25 16000:16000">
      <c r="A13" s="1473"/>
      <c r="B13" s="1473"/>
      <c r="C13" s="1473"/>
      <c r="D13" s="1473"/>
      <c r="E13" s="1473"/>
      <c r="F13" s="1473"/>
      <c r="G13" s="794" t="str">
        <f>HYPERLINK("#'P-Venta'!A8", "P-VEN-004")</f>
        <v>P-VEN-004</v>
      </c>
      <c r="H13" s="1473"/>
      <c r="I13" s="1473"/>
      <c r="J13" s="1473"/>
    </row>
    <row r="14" spans="1:25 16000:16000" ht="25.5" customHeight="1">
      <c r="A14" s="1473"/>
      <c r="B14" s="1473"/>
      <c r="C14" s="1473"/>
      <c r="D14" s="1473"/>
      <c r="E14" s="1473"/>
      <c r="F14" s="1473"/>
      <c r="G14" s="794" t="str">
        <f>HYPERLINK("#'P-Venta'!A9", "P-VEN-005")</f>
        <v>P-VEN-005</v>
      </c>
      <c r="H14" s="1473"/>
      <c r="I14" s="1473"/>
      <c r="J14" s="1473"/>
      <c r="K14" s="73"/>
      <c r="L14" s="73"/>
      <c r="M14" s="73"/>
      <c r="N14" s="73"/>
      <c r="O14" s="73"/>
      <c r="P14" s="73"/>
      <c r="Q14" s="73"/>
      <c r="R14" s="73"/>
      <c r="S14" s="73"/>
      <c r="T14" s="73"/>
      <c r="U14" s="73"/>
      <c r="V14" s="73"/>
      <c r="W14" s="73"/>
      <c r="X14" s="73"/>
      <c r="Y14" s="73"/>
    </row>
    <row r="15" spans="1:25 16000:16000">
      <c r="A15" s="1473"/>
      <c r="B15" s="1473"/>
      <c r="C15" s="1473"/>
      <c r="D15" s="1473"/>
      <c r="E15" s="1473"/>
      <c r="F15" s="1473"/>
      <c r="G15" s="794" t="str">
        <f>HYPERLINK("#'P-Venta'!A10", "P-VEN-006")</f>
        <v>P-VEN-006</v>
      </c>
      <c r="H15" s="1473"/>
      <c r="I15" s="1473"/>
      <c r="J15" s="1473"/>
      <c r="K15" s="73"/>
      <c r="L15" s="73"/>
      <c r="M15" s="73"/>
      <c r="N15" s="73"/>
      <c r="O15" s="73"/>
      <c r="P15" s="73"/>
      <c r="Q15" s="73"/>
      <c r="R15" s="73"/>
      <c r="S15" s="73"/>
      <c r="T15" s="73"/>
      <c r="U15" s="73"/>
      <c r="V15" s="73"/>
      <c r="W15" s="73"/>
      <c r="X15" s="73"/>
      <c r="Y15" s="73"/>
    </row>
    <row r="16" spans="1:25 16000:16000" s="614" customFormat="1">
      <c r="A16" s="1473"/>
      <c r="B16" s="1473"/>
      <c r="C16" s="1473"/>
      <c r="D16" s="1473"/>
      <c r="E16" s="1473"/>
      <c r="F16" s="1473"/>
      <c r="G16" s="794" t="str">
        <f>HYPERLINK("#'P-Venta'!A14", "P-VEN-010")</f>
        <v>P-VEN-010</v>
      </c>
      <c r="H16" s="1473"/>
      <c r="I16" s="1473"/>
      <c r="J16" s="1473"/>
      <c r="K16" s="297"/>
      <c r="L16" s="297"/>
      <c r="M16" s="297"/>
      <c r="N16" s="297"/>
      <c r="O16" s="297"/>
      <c r="P16" s="297"/>
      <c r="Q16" s="297"/>
      <c r="R16" s="297"/>
      <c r="S16" s="297"/>
      <c r="T16" s="297"/>
      <c r="U16" s="297"/>
      <c r="V16" s="297"/>
      <c r="W16" s="297"/>
      <c r="X16" s="297"/>
      <c r="Y16" s="297"/>
      <c r="WQJ16"/>
    </row>
    <row r="17" spans="1:25 16000:16000" s="614" customFormat="1">
      <c r="A17" s="1473"/>
      <c r="B17" s="1473"/>
      <c r="C17" s="1473"/>
      <c r="D17" s="1473"/>
      <c r="E17" s="1473"/>
      <c r="F17" s="1473"/>
      <c r="G17" s="794" t="str">
        <f>HYPERLINK("#'P-Venta'!A16", "P-VEN-012")</f>
        <v>P-VEN-012</v>
      </c>
      <c r="H17" s="1473"/>
      <c r="I17" s="1473"/>
      <c r="J17" s="1473"/>
      <c r="K17" s="297"/>
      <c r="L17" s="297"/>
      <c r="M17" s="297"/>
      <c r="N17" s="297"/>
      <c r="O17" s="297"/>
      <c r="P17" s="297"/>
      <c r="Q17" s="297"/>
      <c r="R17" s="297"/>
      <c r="S17" s="297"/>
      <c r="T17" s="297"/>
      <c r="U17" s="297"/>
      <c r="V17" s="297"/>
      <c r="W17" s="297"/>
      <c r="X17" s="297"/>
      <c r="Y17" s="297"/>
      <c r="WQJ17"/>
    </row>
    <row r="18" spans="1:25 16000:16000" s="614" customFormat="1">
      <c r="A18" s="1138"/>
      <c r="B18" s="1138"/>
      <c r="C18" s="1138"/>
      <c r="D18" s="1138"/>
      <c r="E18" s="1138"/>
      <c r="F18" s="1138"/>
      <c r="G18" s="794" t="str">
        <f>HYPERLINK("#'P-Venta'!A17", "P-VEN-013")</f>
        <v>P-VEN-013</v>
      </c>
      <c r="H18" s="1138"/>
      <c r="I18" s="1138"/>
      <c r="J18" s="1138"/>
      <c r="K18" s="297"/>
      <c r="L18" s="297"/>
      <c r="M18" s="297"/>
      <c r="N18" s="297"/>
      <c r="O18" s="297"/>
      <c r="P18" s="297"/>
      <c r="Q18" s="297"/>
      <c r="R18" s="297"/>
      <c r="S18" s="297"/>
      <c r="T18" s="297"/>
      <c r="U18" s="297"/>
      <c r="V18" s="297"/>
      <c r="W18" s="297"/>
      <c r="X18" s="297"/>
      <c r="Y18" s="297"/>
      <c r="WQJ18"/>
    </row>
    <row r="19" spans="1:25 16000:16000" s="614" customFormat="1">
      <c r="A19" s="1348" t="s">
        <v>228</v>
      </c>
      <c r="B19" s="1348" t="s">
        <v>1094</v>
      </c>
      <c r="C19" s="1348" t="s">
        <v>1095</v>
      </c>
      <c r="D19" s="1348" t="s">
        <v>44</v>
      </c>
      <c r="E19" s="1348" t="s">
        <v>1096</v>
      </c>
      <c r="F19" s="1469" t="s">
        <v>1097</v>
      </c>
      <c r="G19" s="813" t="str">
        <f>HYPERLINK("#'P-Venta'!A11", "P-VEN-007")</f>
        <v>P-VEN-007</v>
      </c>
      <c r="H19" s="1348"/>
      <c r="I19" s="1348" t="s">
        <v>1098</v>
      </c>
      <c r="J19" s="1348"/>
      <c r="K19" s="297"/>
      <c r="L19" s="297"/>
      <c r="M19" s="297"/>
      <c r="N19" s="297"/>
      <c r="O19" s="297"/>
      <c r="P19" s="297"/>
      <c r="Q19" s="297"/>
      <c r="R19" s="297"/>
      <c r="S19" s="297"/>
      <c r="T19" s="297"/>
      <c r="U19" s="297"/>
      <c r="V19" s="297"/>
      <c r="W19" s="297"/>
      <c r="X19" s="297"/>
      <c r="Y19" s="297"/>
      <c r="WQJ19"/>
    </row>
    <row r="20" spans="1:25 16000:16000" s="614" customFormat="1">
      <c r="A20" s="1090"/>
      <c r="B20" s="1090"/>
      <c r="C20" s="1090"/>
      <c r="D20" s="1090"/>
      <c r="E20" s="1090"/>
      <c r="F20" s="1470"/>
      <c r="G20" s="813" t="str">
        <f>HYPERLINK("#'P-Venta'!A13", "P-VEN-009")</f>
        <v>P-VEN-009</v>
      </c>
      <c r="H20" s="1090"/>
      <c r="I20" s="1090"/>
      <c r="J20" s="1090"/>
      <c r="K20" s="297"/>
      <c r="L20" s="297"/>
      <c r="M20" s="297"/>
      <c r="N20" s="297"/>
      <c r="O20" s="297"/>
      <c r="P20" s="297"/>
      <c r="Q20" s="297"/>
      <c r="R20" s="297"/>
      <c r="S20" s="297"/>
      <c r="T20" s="297"/>
      <c r="U20" s="297"/>
      <c r="V20" s="297"/>
      <c r="W20" s="297"/>
      <c r="X20" s="297"/>
      <c r="Y20" s="297"/>
      <c r="WQJ20"/>
    </row>
    <row r="21" spans="1:25 16000:16000" s="614" customFormat="1">
      <c r="A21" s="1089"/>
      <c r="B21" s="1089"/>
      <c r="C21" s="1089"/>
      <c r="D21" s="1089"/>
      <c r="E21" s="1089"/>
      <c r="F21" s="1471"/>
      <c r="G21" s="813" t="str">
        <f>HYPERLINK("#'P-Venta'!A12", "P-VEN-008")</f>
        <v>P-VEN-008</v>
      </c>
      <c r="H21" s="1089"/>
      <c r="I21" s="1089"/>
      <c r="J21" s="1089"/>
      <c r="K21" s="297"/>
      <c r="L21" s="297"/>
      <c r="M21" s="297"/>
      <c r="N21" s="297"/>
      <c r="O21" s="297"/>
      <c r="P21" s="297"/>
      <c r="Q21" s="297"/>
      <c r="R21" s="297"/>
      <c r="S21" s="297"/>
      <c r="T21" s="297"/>
      <c r="U21" s="297"/>
      <c r="V21" s="297"/>
      <c r="W21" s="297"/>
      <c r="X21" s="297"/>
      <c r="Y21" s="297"/>
      <c r="WQJ21"/>
    </row>
    <row r="22" spans="1:25 16000:16000" s="614" customFormat="1">
      <c r="A22" s="858" t="s">
        <v>228</v>
      </c>
      <c r="B22" s="858" t="s">
        <v>1601</v>
      </c>
      <c r="C22" s="858" t="s">
        <v>1602</v>
      </c>
      <c r="D22" s="858"/>
      <c r="E22" s="858" t="s">
        <v>1096</v>
      </c>
      <c r="F22" s="858" t="s">
        <v>1603</v>
      </c>
      <c r="G22" s="889" t="str">
        <f>HYPERLINK("#'P-Venta'!A11", "P-VEN-007")</f>
        <v>P-VEN-007</v>
      </c>
      <c r="H22" s="858"/>
      <c r="I22" s="858" t="s">
        <v>1604</v>
      </c>
      <c r="J22" s="858"/>
      <c r="K22" s="297"/>
      <c r="L22" s="297"/>
      <c r="M22" s="297"/>
      <c r="N22" s="297"/>
      <c r="O22" s="297"/>
      <c r="P22" s="297"/>
      <c r="Q22" s="297"/>
      <c r="R22" s="297"/>
      <c r="S22" s="297"/>
      <c r="T22" s="297"/>
      <c r="U22" s="297"/>
      <c r="V22" s="297"/>
      <c r="W22" s="297"/>
      <c r="X22" s="297"/>
      <c r="Y22" s="297"/>
      <c r="WQJ22"/>
    </row>
    <row r="23" spans="1:25 16000:16000">
      <c r="H23" s="73"/>
      <c r="I23" s="73"/>
      <c r="J23" s="73"/>
      <c r="K23" s="73"/>
      <c r="L23" s="73"/>
      <c r="M23" s="73"/>
      <c r="N23" s="73"/>
      <c r="O23" s="73"/>
      <c r="P23" s="73"/>
      <c r="Q23" s="73"/>
      <c r="R23" s="73"/>
      <c r="S23" s="73"/>
      <c r="T23" s="73"/>
      <c r="U23" s="73"/>
      <c r="V23" s="73"/>
    </row>
    <row r="24" spans="1:25 16000:16000" ht="26.15" customHeight="1">
      <c r="H24" s="73"/>
      <c r="I24" s="73"/>
      <c r="J24" s="73"/>
      <c r="K24" s="73"/>
      <c r="L24" s="73"/>
      <c r="M24" s="73"/>
      <c r="N24" s="73"/>
      <c r="O24" s="73"/>
      <c r="P24" s="73"/>
      <c r="Q24" s="73"/>
      <c r="R24" s="73"/>
      <c r="S24" s="73"/>
      <c r="T24" s="73"/>
      <c r="U24" s="73"/>
      <c r="V24" s="73"/>
    </row>
    <row r="25" spans="1:25 16000:16000">
      <c r="A25" s="73"/>
      <c r="B25" s="73"/>
      <c r="C25" s="73"/>
      <c r="D25" s="73"/>
      <c r="E25" s="73"/>
      <c r="F25" s="73"/>
      <c r="G25" s="73"/>
      <c r="H25" s="73"/>
      <c r="I25" s="73"/>
      <c r="J25" s="73"/>
      <c r="K25" s="73"/>
      <c r="L25" s="73"/>
      <c r="M25" s="73"/>
      <c r="N25" s="73"/>
      <c r="O25" s="73"/>
      <c r="P25" s="73"/>
      <c r="Q25" s="73"/>
      <c r="R25" s="73"/>
      <c r="S25" s="73"/>
      <c r="T25" s="73"/>
      <c r="U25" s="73"/>
      <c r="V25" s="73"/>
    </row>
    <row r="26" spans="1:25 16000:16000">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16000:16000">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16000:16000">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16000:16000">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16000:1600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16000:16000">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16000:16000">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spans="1:2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spans="1:2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sheetData>
  <mergeCells count="30">
    <mergeCell ref="B4:C4"/>
    <mergeCell ref="E4:F4"/>
    <mergeCell ref="E5:F5"/>
    <mergeCell ref="A7:A9"/>
    <mergeCell ref="B7:B9"/>
    <mergeCell ref="I7:I9"/>
    <mergeCell ref="J7:J9"/>
    <mergeCell ref="A10:A18"/>
    <mergeCell ref="B10:B18"/>
    <mergeCell ref="C10:C18"/>
    <mergeCell ref="D10:D18"/>
    <mergeCell ref="E10:E18"/>
    <mergeCell ref="F10:F18"/>
    <mergeCell ref="H10:H18"/>
    <mergeCell ref="I10:I18"/>
    <mergeCell ref="J10:J18"/>
    <mergeCell ref="C7:C9"/>
    <mergeCell ref="D7:D9"/>
    <mergeCell ref="E7:E9"/>
    <mergeCell ref="F7:F9"/>
    <mergeCell ref="H7:H9"/>
    <mergeCell ref="F19:F21"/>
    <mergeCell ref="H19:H21"/>
    <mergeCell ref="I19:I21"/>
    <mergeCell ref="J19:J21"/>
    <mergeCell ref="A19:A21"/>
    <mergeCell ref="B19:B21"/>
    <mergeCell ref="C19:C21"/>
    <mergeCell ref="D19:D21"/>
    <mergeCell ref="E19:E21"/>
  </mergeCells>
  <hyperlinks>
    <hyperlink ref="A1" location="'Modelo de dominio'!A1" display="&lt;&lt;&lt;Modelo de Dominio" xr:uid="{00000000-0004-0000-4D00-000000000000}"/>
    <hyperlink ref="B1" location="'Objetos de dominio'!A1" display="&lt;&lt;&lt;Objetos de Dominio" xr:uid="{00000000-0004-0000-4D00-000001000000}"/>
    <hyperlink ref="B3" location="'Objetos de dominio'!B10" display="Objeto de dominio que representa cada una de las ventas en la  pizzeria " xr:uid="{00000000-0004-0000-4D00-000002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71">
    <outlinePr summaryBelow="0" summaryRight="0"/>
  </sheetPr>
  <dimension ref="A1:Z999"/>
  <sheetViews>
    <sheetView topLeftCell="B1" workbookViewId="0">
      <selection activeCell="F22" sqref="F22"/>
    </sheetView>
  </sheetViews>
  <sheetFormatPr baseColWidth="10" defaultColWidth="12.625" defaultRowHeight="15.8" customHeight="1"/>
  <cols>
    <col min="1" max="1" width="17.625" bestFit="1" customWidth="1"/>
    <col min="2" max="2" width="210.375" bestFit="1" customWidth="1"/>
    <col min="3" max="3" width="19.5" bestFit="1" customWidth="1"/>
    <col min="4" max="4" width="19.125" bestFit="1" customWidth="1"/>
    <col min="6" max="6" width="114.125"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c r="A2" s="54" t="s">
        <v>233</v>
      </c>
      <c r="B2" s="1112" t="s">
        <v>44</v>
      </c>
      <c r="C2" s="1033"/>
      <c r="E2" s="73"/>
      <c r="F2" s="73"/>
      <c r="G2" s="73"/>
      <c r="H2" s="73"/>
      <c r="I2" s="73"/>
      <c r="J2" s="73"/>
      <c r="K2" s="73"/>
      <c r="L2" s="73"/>
      <c r="M2" s="73"/>
      <c r="N2" s="73"/>
      <c r="O2" s="73"/>
      <c r="P2" s="73"/>
      <c r="Q2" s="73"/>
      <c r="R2" s="73"/>
      <c r="S2" s="73"/>
      <c r="T2" s="73"/>
      <c r="U2" s="73"/>
      <c r="V2" s="73"/>
      <c r="W2" s="73"/>
      <c r="X2" s="73"/>
      <c r="Y2" s="73"/>
      <c r="Z2" s="73"/>
    </row>
    <row r="3" spans="1:26">
      <c r="A3" s="54" t="s">
        <v>21</v>
      </c>
      <c r="B3" s="1111" t="str">
        <f>'C-Venta'!B3</f>
        <v>Es cuando un cliente compra productos en la pizzería.</v>
      </c>
      <c r="C3" s="1033"/>
      <c r="E3" s="73"/>
      <c r="F3" s="73"/>
      <c r="G3" s="73"/>
      <c r="H3" s="73"/>
      <c r="I3" s="73"/>
      <c r="J3" s="73"/>
      <c r="K3" s="73"/>
      <c r="L3" s="73"/>
      <c r="M3" s="73"/>
      <c r="N3" s="73"/>
      <c r="O3" s="73"/>
      <c r="P3" s="73"/>
      <c r="Q3" s="73"/>
      <c r="R3" s="73"/>
      <c r="S3" s="73"/>
      <c r="T3" s="73"/>
      <c r="U3" s="73"/>
      <c r="V3" s="73"/>
      <c r="W3" s="73"/>
      <c r="X3" s="73"/>
      <c r="Y3" s="73"/>
      <c r="Z3" s="73"/>
    </row>
    <row r="4" spans="1:26">
      <c r="A4" s="55" t="s">
        <v>234</v>
      </c>
      <c r="B4" s="55" t="s">
        <v>235</v>
      </c>
      <c r="C4" s="55" t="s">
        <v>236</v>
      </c>
      <c r="D4" s="55" t="s">
        <v>237</v>
      </c>
      <c r="E4" s="73"/>
      <c r="F4" s="73"/>
      <c r="G4" s="73"/>
      <c r="H4" s="73"/>
      <c r="I4" s="73"/>
      <c r="J4" s="73"/>
      <c r="K4" s="73"/>
      <c r="L4" s="73"/>
      <c r="M4" s="73"/>
      <c r="N4" s="73"/>
      <c r="O4" s="73"/>
      <c r="P4" s="73"/>
      <c r="Q4" s="73"/>
      <c r="R4" s="73"/>
      <c r="S4" s="73"/>
      <c r="T4" s="73"/>
      <c r="U4" s="73"/>
      <c r="V4" s="73"/>
      <c r="W4" s="73"/>
      <c r="X4" s="73"/>
      <c r="Y4" s="73"/>
      <c r="Z4" s="73"/>
    </row>
    <row r="5" spans="1:26" s="248" customFormat="1">
      <c r="A5" s="890" t="s">
        <v>1099</v>
      </c>
      <c r="B5" s="890" t="s">
        <v>1100</v>
      </c>
      <c r="C5" s="890" t="s">
        <v>44</v>
      </c>
      <c r="D5" s="890"/>
      <c r="I5" s="521"/>
      <c r="J5" s="521"/>
      <c r="K5" s="521"/>
      <c r="L5" s="521"/>
      <c r="M5" s="521"/>
      <c r="N5" s="521"/>
      <c r="O5" s="521"/>
      <c r="P5" s="521"/>
      <c r="Q5" s="521"/>
      <c r="R5" s="521"/>
      <c r="S5" s="521"/>
      <c r="T5" s="521"/>
      <c r="U5" s="521"/>
      <c r="V5" s="521"/>
      <c r="W5" s="521"/>
      <c r="X5" s="521"/>
      <c r="Y5" s="521"/>
      <c r="Z5" s="521"/>
    </row>
    <row r="6" spans="1:26" s="248" customFormat="1">
      <c r="A6" s="890" t="s">
        <v>1101</v>
      </c>
      <c r="B6" s="890" t="s">
        <v>1591</v>
      </c>
      <c r="C6" s="890" t="s">
        <v>44</v>
      </c>
      <c r="D6" s="891"/>
      <c r="I6" s="521"/>
      <c r="J6" s="521"/>
      <c r="K6" s="521"/>
      <c r="L6" s="521"/>
      <c r="M6" s="521"/>
      <c r="N6" s="521"/>
      <c r="O6" s="521"/>
      <c r="P6" s="521"/>
      <c r="Q6" s="521"/>
      <c r="R6" s="521"/>
      <c r="S6" s="521"/>
      <c r="T6" s="521"/>
      <c r="U6" s="521"/>
      <c r="V6" s="521"/>
      <c r="W6" s="521"/>
      <c r="X6" s="521"/>
      <c r="Y6" s="521"/>
      <c r="Z6" s="521"/>
    </row>
    <row r="7" spans="1:26" s="248" customFormat="1">
      <c r="A7" s="890" t="s">
        <v>1102</v>
      </c>
      <c r="B7" s="890" t="s">
        <v>1103</v>
      </c>
      <c r="C7" s="890" t="s">
        <v>49</v>
      </c>
      <c r="D7" s="892" t="str">
        <f>HYPERLINK("#'P-DetalleVenta'!A16", 'P-DetalleVenta'!A16)</f>
        <v>P-DV-012</v>
      </c>
      <c r="I7" s="521"/>
      <c r="J7" s="521"/>
      <c r="K7" s="521"/>
      <c r="L7" s="521"/>
      <c r="M7" s="521"/>
      <c r="N7" s="521"/>
      <c r="O7" s="521"/>
      <c r="P7" s="521"/>
      <c r="Q7" s="521"/>
      <c r="R7" s="521"/>
      <c r="S7" s="521"/>
      <c r="T7" s="521"/>
      <c r="U7" s="521"/>
      <c r="V7" s="521"/>
      <c r="W7" s="521"/>
      <c r="X7" s="521"/>
      <c r="Y7" s="521"/>
      <c r="Z7" s="521"/>
    </row>
    <row r="8" spans="1:26" s="248" customFormat="1">
      <c r="A8" s="890" t="s">
        <v>1104</v>
      </c>
      <c r="B8" s="890" t="s">
        <v>1105</v>
      </c>
      <c r="C8" s="890" t="s">
        <v>49</v>
      </c>
      <c r="D8" s="892" t="str">
        <f>HYPERLINK("#'P-DetalleVenta'!A16", 'P-DetalleVenta'!A16)</f>
        <v>P-DV-012</v>
      </c>
      <c r="I8" s="521"/>
      <c r="J8" s="521"/>
      <c r="K8" s="521"/>
      <c r="L8" s="521"/>
      <c r="M8" s="521"/>
      <c r="N8" s="521"/>
      <c r="O8" s="521"/>
      <c r="P8" s="521"/>
      <c r="Q8" s="521"/>
      <c r="R8" s="521"/>
      <c r="S8" s="521"/>
      <c r="T8" s="521"/>
      <c r="U8" s="521"/>
      <c r="V8" s="521"/>
      <c r="W8" s="521"/>
      <c r="X8" s="521"/>
      <c r="Y8" s="521"/>
      <c r="Z8" s="521"/>
    </row>
    <row r="9" spans="1:26" s="248" customFormat="1">
      <c r="A9" s="890" t="s">
        <v>1106</v>
      </c>
      <c r="B9" s="890" t="s">
        <v>1107</v>
      </c>
      <c r="C9" s="890" t="s">
        <v>12</v>
      </c>
      <c r="D9" s="892" t="str">
        <f>HYPERLINK("#'P-Lote'!A11", 'P-Lote'!A11)</f>
        <v>P-LOT-007</v>
      </c>
      <c r="I9" s="521"/>
      <c r="J9" s="521"/>
      <c r="K9" s="521"/>
      <c r="L9" s="521"/>
      <c r="M9" s="521"/>
      <c r="N9" s="521"/>
      <c r="O9" s="521"/>
      <c r="P9" s="521"/>
      <c r="Q9" s="521"/>
      <c r="R9" s="521"/>
      <c r="S9" s="521"/>
      <c r="T9" s="521"/>
      <c r="U9" s="521"/>
      <c r="V9" s="521"/>
      <c r="W9" s="521"/>
      <c r="X9" s="521"/>
      <c r="Y9" s="521"/>
      <c r="Z9" s="521"/>
    </row>
    <row r="10" spans="1:26" s="375" customFormat="1">
      <c r="A10" s="893" t="s">
        <v>1108</v>
      </c>
      <c r="B10" s="893" t="s">
        <v>1592</v>
      </c>
      <c r="C10" s="893" t="s">
        <v>44</v>
      </c>
      <c r="D10" s="894"/>
      <c r="I10" s="374"/>
      <c r="J10" s="374"/>
      <c r="K10" s="374"/>
      <c r="L10" s="374"/>
      <c r="M10" s="374"/>
      <c r="N10" s="374"/>
      <c r="O10" s="374"/>
      <c r="P10" s="374"/>
      <c r="Q10" s="374"/>
      <c r="R10" s="374"/>
      <c r="S10" s="374"/>
      <c r="T10" s="374"/>
      <c r="U10" s="374"/>
      <c r="V10" s="374"/>
      <c r="W10" s="374"/>
      <c r="X10" s="374"/>
      <c r="Y10" s="374"/>
      <c r="Z10" s="374"/>
    </row>
    <row r="11" spans="1:26" s="248" customFormat="1">
      <c r="A11" s="890" t="s">
        <v>1109</v>
      </c>
      <c r="B11" s="890" t="s">
        <v>1110</v>
      </c>
      <c r="C11" s="890" t="s">
        <v>44</v>
      </c>
      <c r="D11" s="895"/>
      <c r="I11" s="521"/>
      <c r="J11" s="521"/>
      <c r="K11" s="521"/>
      <c r="L11" s="521"/>
      <c r="M11" s="521"/>
      <c r="N11" s="521"/>
      <c r="O11" s="521"/>
      <c r="P11" s="521"/>
      <c r="Q11" s="521"/>
      <c r="R11" s="521"/>
      <c r="S11" s="521"/>
      <c r="T11" s="521"/>
      <c r="U11" s="521"/>
      <c r="V11" s="521"/>
      <c r="W11" s="521"/>
      <c r="X11" s="521"/>
      <c r="Y11" s="521"/>
      <c r="Z11" s="521"/>
    </row>
    <row r="12" spans="1:26" s="248" customFormat="1">
      <c r="A12" s="890" t="s">
        <v>1111</v>
      </c>
      <c r="B12" s="890" t="s">
        <v>1112</v>
      </c>
      <c r="C12" s="890" t="s">
        <v>49</v>
      </c>
      <c r="D12" s="892" t="str">
        <f>HYPERLINK("#'P-DetalleVenta'!A16", 'P-DetalleVenta'!A16)</f>
        <v>P-DV-012</v>
      </c>
      <c r="I12" s="521"/>
      <c r="J12" s="521"/>
      <c r="K12" s="521"/>
      <c r="L12" s="521"/>
      <c r="M12" s="521"/>
      <c r="N12" s="521"/>
      <c r="O12" s="521"/>
      <c r="P12" s="521"/>
      <c r="Q12" s="521"/>
      <c r="R12" s="521"/>
      <c r="S12" s="521"/>
      <c r="T12" s="521"/>
      <c r="U12" s="521"/>
      <c r="V12" s="521"/>
      <c r="W12" s="521"/>
      <c r="X12" s="521"/>
      <c r="Y12" s="521"/>
      <c r="Z12" s="521"/>
    </row>
    <row r="13" spans="1:26" s="248" customFormat="1">
      <c r="A13" s="890" t="s">
        <v>1113</v>
      </c>
      <c r="B13" s="890" t="s">
        <v>1114</v>
      </c>
      <c r="C13" s="890" t="s">
        <v>44</v>
      </c>
      <c r="D13" s="891"/>
      <c r="I13" s="521"/>
      <c r="J13" s="521"/>
      <c r="K13" s="521"/>
      <c r="L13" s="521"/>
      <c r="M13" s="521"/>
      <c r="N13" s="521"/>
      <c r="O13" s="521"/>
      <c r="P13" s="521"/>
      <c r="Q13" s="521"/>
      <c r="R13" s="521"/>
      <c r="S13" s="521"/>
      <c r="T13" s="521"/>
      <c r="U13" s="521"/>
      <c r="V13" s="521"/>
      <c r="W13" s="521"/>
      <c r="X13" s="521"/>
      <c r="Y13" s="521"/>
      <c r="Z13" s="521"/>
    </row>
    <row r="14" spans="1:26" s="248" customFormat="1">
      <c r="A14" s="890" t="s">
        <v>1115</v>
      </c>
      <c r="B14" s="890" t="s">
        <v>1593</v>
      </c>
      <c r="C14" s="890" t="s">
        <v>44</v>
      </c>
      <c r="D14" s="891"/>
      <c r="E14" s="521"/>
      <c r="F14" s="521"/>
      <c r="G14" s="521"/>
      <c r="H14" s="521"/>
      <c r="I14" s="521"/>
      <c r="J14" s="521"/>
      <c r="K14" s="521"/>
      <c r="L14" s="521"/>
      <c r="M14" s="521"/>
      <c r="N14" s="521"/>
      <c r="O14" s="521"/>
      <c r="P14" s="521"/>
      <c r="Q14" s="521"/>
      <c r="R14" s="521"/>
      <c r="S14" s="521"/>
      <c r="T14" s="521"/>
      <c r="U14" s="521"/>
      <c r="V14" s="521"/>
      <c r="W14" s="521"/>
      <c r="X14" s="521"/>
      <c r="Y14" s="521"/>
      <c r="Z14" s="521"/>
    </row>
    <row r="15" spans="1:26" s="248" customFormat="1">
      <c r="A15" s="890" t="s">
        <v>1594</v>
      </c>
      <c r="B15" s="890" t="s">
        <v>1595</v>
      </c>
      <c r="C15" s="890" t="s">
        <v>44</v>
      </c>
      <c r="D15" s="891"/>
      <c r="E15" s="521"/>
      <c r="F15" s="521"/>
      <c r="G15" s="521"/>
      <c r="H15" s="521"/>
      <c r="I15" s="521"/>
      <c r="J15" s="521"/>
      <c r="K15" s="521"/>
      <c r="L15" s="521"/>
      <c r="M15" s="521"/>
      <c r="N15" s="521"/>
      <c r="O15" s="521"/>
      <c r="P15" s="521"/>
      <c r="Q15" s="521"/>
      <c r="R15" s="521"/>
      <c r="S15" s="521"/>
      <c r="T15" s="521"/>
      <c r="U15" s="521"/>
      <c r="V15" s="521"/>
      <c r="W15" s="521"/>
      <c r="X15" s="521"/>
      <c r="Y15" s="521"/>
      <c r="Z15" s="521"/>
    </row>
    <row r="16" spans="1:26" s="248" customFormat="1">
      <c r="A16" s="890" t="s">
        <v>1596</v>
      </c>
      <c r="B16" s="890" t="s">
        <v>1597</v>
      </c>
      <c r="C16" s="890" t="s">
        <v>58</v>
      </c>
      <c r="D16" s="892" t="str">
        <f>HYPERLINK("#'P-ConsumoVenta'!A5", 'P-ConsumoVenta'!A5)</f>
        <v>P-CV-001</v>
      </c>
      <c r="E16" s="521"/>
      <c r="F16" s="521"/>
      <c r="G16" s="521"/>
      <c r="H16" s="521"/>
      <c r="I16" s="521"/>
      <c r="J16" s="521"/>
      <c r="K16" s="521"/>
      <c r="L16" s="521"/>
      <c r="M16" s="521"/>
      <c r="N16" s="521"/>
      <c r="O16" s="521"/>
      <c r="P16" s="521"/>
      <c r="Q16" s="521"/>
      <c r="R16" s="521"/>
      <c r="S16" s="521"/>
      <c r="T16" s="521"/>
      <c r="U16" s="521"/>
      <c r="V16" s="521"/>
      <c r="W16" s="521"/>
      <c r="X16" s="521"/>
      <c r="Y16" s="521"/>
      <c r="Z16" s="521"/>
    </row>
    <row r="17" spans="1:26" s="248" customFormat="1">
      <c r="A17" s="890" t="s">
        <v>1598</v>
      </c>
      <c r="B17" s="890" t="s">
        <v>1599</v>
      </c>
      <c r="C17" s="890" t="s">
        <v>195</v>
      </c>
      <c r="D17" s="892" t="str">
        <f>HYPERLINK("#'P-MovimientoInventario'!A5", 'P-MovimientoInventario'!A5)</f>
        <v>P-MI-001</v>
      </c>
      <c r="E17" s="521"/>
      <c r="F17" s="521"/>
      <c r="G17" s="521"/>
      <c r="H17" s="521"/>
      <c r="I17" s="521"/>
      <c r="J17" s="521"/>
      <c r="K17" s="521"/>
      <c r="L17" s="521"/>
      <c r="M17" s="521"/>
      <c r="N17" s="521"/>
      <c r="O17" s="521"/>
      <c r="P17" s="521"/>
      <c r="Q17" s="521"/>
      <c r="R17" s="521"/>
      <c r="S17" s="521"/>
      <c r="T17" s="521"/>
      <c r="U17" s="521"/>
      <c r="V17" s="521"/>
      <c r="W17" s="521"/>
      <c r="X17" s="521"/>
      <c r="Y17" s="521"/>
      <c r="Z17" s="521"/>
    </row>
    <row r="18" spans="1:26">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 r="A999" s="73"/>
      <c r="B999" s="73"/>
      <c r="C999" s="73"/>
      <c r="D999" s="27"/>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2">
    <mergeCell ref="B3:C3"/>
    <mergeCell ref="B2:C2"/>
  </mergeCells>
  <hyperlinks>
    <hyperlink ref="A1" location="'Modelo de dominio'!A1" display="&lt;&lt;&lt;Modelo de Dominio" xr:uid="{00000000-0004-0000-4E00-000000000000}"/>
    <hyperlink ref="B1" location="'Objetos de dominio'!A1" display="&lt;&lt;&lt;Objetos de Dominio" xr:uid="{00000000-0004-0000-4E00-000001000000}"/>
    <hyperlink ref="B3" location="'Objetos de dominio'!B10" display="Objeto de dominio que representa cada una de las ventas en la  pizzeria " xr:uid="{00000000-0004-0000-4E00-000002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64">
    <tabColor theme="2"/>
    <outlinePr summaryBelow="0" summaryRight="0"/>
  </sheetPr>
  <dimension ref="A1:G39"/>
  <sheetViews>
    <sheetView topLeftCell="A3" zoomScale="88" workbookViewId="0">
      <selection activeCell="G41" sqref="G41"/>
    </sheetView>
  </sheetViews>
  <sheetFormatPr baseColWidth="10" defaultColWidth="12.625" defaultRowHeight="15.8" customHeight="1"/>
  <cols>
    <col min="1" max="1" width="12" customWidth="1"/>
    <col min="2" max="2" width="18.625" style="614" customWidth="1"/>
    <col min="3" max="3" width="43.875" customWidth="1"/>
    <col min="4" max="4" width="18.875" customWidth="1"/>
    <col min="5" max="5" width="22.625" style="614" customWidth="1"/>
    <col min="6" max="6" width="34.25" customWidth="1"/>
    <col min="7" max="7" width="23" bestFit="1" customWidth="1"/>
  </cols>
  <sheetData>
    <row r="1" spans="1:7" ht="18.7" customHeight="1">
      <c r="A1" s="76" t="s">
        <v>0</v>
      </c>
      <c r="B1" s="629"/>
      <c r="C1" s="201"/>
      <c r="D1" s="132" t="s">
        <v>1</v>
      </c>
      <c r="E1" s="225"/>
      <c r="F1" s="201"/>
    </row>
    <row r="2" spans="1:7" ht="89.5" customHeight="1">
      <c r="A2" s="233" t="s">
        <v>2</v>
      </c>
      <c r="B2" s="418" t="s">
        <v>3</v>
      </c>
      <c r="C2" s="233" t="s">
        <v>4</v>
      </c>
      <c r="D2" s="233" t="s">
        <v>5</v>
      </c>
      <c r="E2" s="233" t="s">
        <v>6</v>
      </c>
      <c r="F2" s="418" t="s">
        <v>7</v>
      </c>
      <c r="G2" s="419"/>
    </row>
    <row r="3" spans="1:7" ht="51.8" customHeight="1">
      <c r="A3" s="555" t="s">
        <v>8</v>
      </c>
      <c r="B3" s="420" t="s">
        <v>9</v>
      </c>
      <c r="C3" s="556" t="s">
        <v>10</v>
      </c>
      <c r="D3" s="556" t="s">
        <v>11</v>
      </c>
      <c r="E3" s="556" t="s">
        <v>12</v>
      </c>
      <c r="F3" s="420" t="s">
        <v>1156</v>
      </c>
      <c r="G3" s="421"/>
    </row>
    <row r="4" spans="1:7" ht="21.75" customHeight="1">
      <c r="A4" s="338" t="s">
        <v>14</v>
      </c>
      <c r="B4" s="338" t="s">
        <v>15</v>
      </c>
      <c r="C4" s="338" t="s">
        <v>15</v>
      </c>
      <c r="D4" s="338" t="s">
        <v>15</v>
      </c>
      <c r="E4" s="338" t="s">
        <v>15</v>
      </c>
      <c r="F4" s="338" t="s">
        <v>15</v>
      </c>
      <c r="G4" s="338"/>
    </row>
    <row r="5" spans="1:7" ht="12.75" customHeight="1">
      <c r="A5" s="217" t="s">
        <v>16</v>
      </c>
      <c r="B5" s="223" t="s">
        <v>17</v>
      </c>
      <c r="C5" s="422" t="s">
        <v>10</v>
      </c>
      <c r="D5" s="422" t="s">
        <v>11</v>
      </c>
      <c r="E5" s="422" t="s">
        <v>12</v>
      </c>
      <c r="F5" s="223" t="s">
        <v>76</v>
      </c>
      <c r="G5" s="336" t="s">
        <v>1129</v>
      </c>
    </row>
    <row r="6" spans="1:7" ht="16.5" customHeight="1">
      <c r="A6" s="218">
        <v>1</v>
      </c>
      <c r="B6" s="630">
        <f>'M-Compra'!C6</f>
        <v>46266</v>
      </c>
      <c r="C6" s="302">
        <f>HYPERLINK("#'M-TipoMovimiento'!A8", 'M-TipoMovimiento'!A8)</f>
        <v>99</v>
      </c>
      <c r="D6" s="302" t="str">
        <f>HYPERLINK("#'M-ClaseMovimiento'!B8", 'M-ClaseMovimiento'!B8)</f>
        <v>Entrada</v>
      </c>
      <c r="E6" s="302" t="str">
        <f>HYPERLINK("#'M-Lote'!I6", 'M-Lote'!I6)</f>
        <v>1 Queso</v>
      </c>
      <c r="F6" s="222">
        <f>IF(OR('M-DetalleCompra'!D7="g",'M-DetalleCompra'!D7="ml"),'M-DetalleCompra'!C7/1000,'M-DetalleCompra'!C7)</f>
        <v>10.199999999999999</v>
      </c>
      <c r="G6" s="562" t="str">
        <f t="shared" ref="G6:G32" si="0">C6&amp;" "&amp;E6</f>
        <v>99 1 Queso</v>
      </c>
    </row>
    <row r="7" spans="1:7" ht="12.75" customHeight="1">
      <c r="A7" s="218">
        <v>2</v>
      </c>
      <c r="B7" s="630">
        <f>'M-Compra'!C6</f>
        <v>46266</v>
      </c>
      <c r="C7" s="302">
        <f>HYPERLINK("#'M-TipoMovimiento'!A9", 'M-TipoMovimiento'!A9)</f>
        <v>100</v>
      </c>
      <c r="D7" s="302" t="str">
        <f>HYPERLINK("#'M-ClaseMovimiento'!B8", 'M-ClaseMovimiento'!B8)</f>
        <v>Entrada</v>
      </c>
      <c r="E7" s="302" t="str">
        <f>HYPERLINK("#'M-Lote'!I7", 'M-Lote'!I7)</f>
        <v>1 Albahaca</v>
      </c>
      <c r="F7" s="222">
        <f>IF(OR('M-DetalleCompra'!D8="g",'M-DetalleCompra'!D8="ml"),'M-DetalleCompra'!C8/1000,'M-DetalleCompra'!C8)</f>
        <v>10.3</v>
      </c>
      <c r="G7" s="562" t="str">
        <f t="shared" si="0"/>
        <v>100 1 Albahaca</v>
      </c>
    </row>
    <row r="8" spans="1:7" ht="12.75" customHeight="1">
      <c r="A8" s="218">
        <v>3</v>
      </c>
      <c r="B8" s="630">
        <f>'M-Compra'!C6</f>
        <v>46266</v>
      </c>
      <c r="C8" s="302">
        <f>HYPERLINK("#'M-TipoMovimiento'!A10", 'M-TipoMovimiento'!A10)</f>
        <v>101</v>
      </c>
      <c r="D8" s="302" t="str">
        <f>HYPERLINK("#'M-ClaseMovimiento'!B8", 'M-ClaseMovimiento'!B8)</f>
        <v>Entrada</v>
      </c>
      <c r="E8" s="302" t="str">
        <f>HYPERLINK("#'M-Lote'!I8", 'M-Lote'!I8)</f>
        <v>1 Peperoni</v>
      </c>
      <c r="F8" s="222">
        <f>IF(OR('M-DetalleCompra'!D9="g",'M-DetalleCompra'!D9="ml"),'M-DetalleCompra'!C9/1000,'M-DetalleCompra'!C9)</f>
        <v>12.5</v>
      </c>
      <c r="G8" s="562" t="str">
        <f t="shared" si="0"/>
        <v>101 1 Peperoni</v>
      </c>
    </row>
    <row r="9" spans="1:7" ht="12.75" customHeight="1">
      <c r="A9" s="218">
        <v>4</v>
      </c>
      <c r="B9" s="630">
        <f>'M-Compra'!C7</f>
        <v>46144</v>
      </c>
      <c r="C9" s="302">
        <f>HYPERLINK("#'M-TipoMovimiento'!A11", 'M-TipoMovimiento'!A11)</f>
        <v>102</v>
      </c>
      <c r="D9" s="302" t="str">
        <f>HYPERLINK("#'M-ClaseMovimiento'!B8", 'M-ClaseMovimiento'!B8)</f>
        <v>Entrada</v>
      </c>
      <c r="E9" s="302" t="str">
        <f>HYPERLINK("#'M-Lote'!I9", 'M-Lote'!I9)</f>
        <v>1 Aceite de oliva</v>
      </c>
      <c r="F9" s="222">
        <f>IF(OR('M-DetalleCompra'!D10="g",'M-DetalleCompra'!D10="ml"),'M-DetalleCompra'!C10/1000,'M-DetalleCompra'!C10)</f>
        <v>15.2</v>
      </c>
      <c r="G9" s="562" t="str">
        <f t="shared" si="0"/>
        <v>102 1 Aceite de oliva</v>
      </c>
    </row>
    <row r="10" spans="1:7" ht="12.75" customHeight="1">
      <c r="A10" s="218">
        <v>5</v>
      </c>
      <c r="B10" s="630">
        <f>'M-Compra'!C7</f>
        <v>46144</v>
      </c>
      <c r="C10" s="302">
        <f>HYPERLINK("#'M-TipoMovimiento'!A12", 'M-TipoMovimiento'!A12)</f>
        <v>103</v>
      </c>
      <c r="D10" s="302" t="str">
        <f>HYPERLINK("#'M-ClaseMovimiento'!B8", 'M-ClaseMovimiento'!B8)</f>
        <v>Entrada</v>
      </c>
      <c r="E10" s="302" t="str">
        <f>HYPERLINK("#'M-Lote'!I10", 'M-Lote'!I10)</f>
        <v>2 Aceite de oliva</v>
      </c>
      <c r="F10" s="222">
        <f>IF(OR('M-DetalleCompra'!D11="g",'M-DetalleCompra'!D11="ml"),'M-DetalleCompra'!C11/1000,'M-DetalleCompra'!C11)</f>
        <v>3</v>
      </c>
      <c r="G10" s="562" t="str">
        <f t="shared" si="0"/>
        <v>103 2 Aceite de oliva</v>
      </c>
    </row>
    <row r="11" spans="1:7" ht="12.75" customHeight="1">
      <c r="A11" s="218">
        <v>6</v>
      </c>
      <c r="B11" s="630">
        <f>'M-Compra'!C7</f>
        <v>46144</v>
      </c>
      <c r="C11" s="302">
        <f>HYPERLINK("#'M-TipoMovimiento'!A13", 'M-TipoMovimiento'!A13)</f>
        <v>104</v>
      </c>
      <c r="D11" s="302" t="str">
        <f>HYPERLINK("#'M-ClaseMovimiento'!B8", 'M-ClaseMovimiento'!B8)</f>
        <v>Entrada</v>
      </c>
      <c r="E11" s="302" t="str">
        <f>HYPERLINK("#'M-Lote'!I11", 'M-Lote'!I11)</f>
        <v>1 Masa de Pizza</v>
      </c>
      <c r="F11" s="222">
        <f>IF(OR('M-DetalleCompra'!D12="g",'M-DetalleCompra'!D12="ml"),'M-DetalleCompra'!C12/1000,'M-DetalleCompra'!C12)</f>
        <v>0.2</v>
      </c>
      <c r="G11" s="562" t="str">
        <f t="shared" si="0"/>
        <v>104 1 Masa de Pizza</v>
      </c>
    </row>
    <row r="12" spans="1:7" ht="12.75" customHeight="1">
      <c r="A12" s="218">
        <v>7</v>
      </c>
      <c r="B12" s="630">
        <f>'M-Compra'!C8</f>
        <v>46213</v>
      </c>
      <c r="C12" s="302">
        <f>HYPERLINK("#'M-TipoMovimiento'!A14", 'M-TipoMovimiento'!A14)</f>
        <v>105</v>
      </c>
      <c r="D12" s="302" t="str">
        <f>HYPERLINK("#'M-ClaseMovimiento'!B8", 'M-ClaseMovimiento'!B8)</f>
        <v>Entrada</v>
      </c>
      <c r="E12" s="302" t="str">
        <f>HYPERLINK("#'M-Lote'!I12", 'M-Lote'!I12)</f>
        <v>1 Pepsi 400 ml</v>
      </c>
      <c r="F12" s="222">
        <f>IF(OR('M-DetalleCompra'!D13="g",'M-DetalleCompra'!D13="ml"),'M-DetalleCompra'!C13/1000,'M-DetalleCompra'!C13)</f>
        <v>24</v>
      </c>
      <c r="G12" s="562" t="str">
        <f t="shared" si="0"/>
        <v>105 1 Pepsi 400 ml</v>
      </c>
    </row>
    <row r="13" spans="1:7" ht="12.75" customHeight="1">
      <c r="A13" s="218">
        <v>8</v>
      </c>
      <c r="B13" s="630">
        <f>'M-Compra'!C9</f>
        <v>46249</v>
      </c>
      <c r="C13" s="302">
        <f>HYPERLINK("#'M-TipoMovimiento'!A15", 'M-TipoMovimiento'!A15)</f>
        <v>106</v>
      </c>
      <c r="D13" s="302" t="str">
        <f>HYPERLINK("#'M-ClaseMovimiento'!B8", 'M-ClaseMovimiento'!B8)</f>
        <v>Entrada</v>
      </c>
      <c r="E13" s="302" t="str">
        <f>HYPERLINK("#'M-Lote'!I13", 'M-Lote'!I13)</f>
        <v>2 Masa de Pizza</v>
      </c>
      <c r="F13" s="222">
        <f>IF(OR('M-DetalleCompra'!D14="g",'M-DetalleCompra'!D14="ml"),'M-DetalleCompra'!C14/1000,'M-DetalleCompra'!C14)</f>
        <v>12</v>
      </c>
      <c r="G13" s="562" t="str">
        <f t="shared" si="0"/>
        <v>106 2 Masa de Pizza</v>
      </c>
    </row>
    <row r="14" spans="1:7" ht="12.75" customHeight="1">
      <c r="A14" s="218">
        <v>9</v>
      </c>
      <c r="B14" s="630">
        <f>'M-Compra'!C10</f>
        <v>46204</v>
      </c>
      <c r="C14" s="302">
        <f>HYPERLINK("#'M-TipoMovimiento'!A16", 'M-TipoMovimiento'!A16)</f>
        <v>107</v>
      </c>
      <c r="D14" s="302" t="str">
        <f>HYPERLINK("#'M-ClaseMovimiento'!B8", 'M-ClaseMovimiento'!B8)</f>
        <v>Entrada</v>
      </c>
      <c r="E14" s="302" t="str">
        <f>HYPERLINK("#'M-Lote'!I14", 'M-Lote'!I14)</f>
        <v>2 Queso</v>
      </c>
      <c r="F14" s="222">
        <f>IF(OR('M-DetalleCompra'!D15="g",'M-DetalleCompra'!D15="ml"),'M-DetalleCompra'!C15/1000,'M-DetalleCompra'!C15)</f>
        <v>0.15</v>
      </c>
      <c r="G14" s="562" t="str">
        <f t="shared" si="0"/>
        <v>107 2 Queso</v>
      </c>
    </row>
    <row r="15" spans="1:7" ht="12.75" customHeight="1">
      <c r="A15" s="218">
        <v>10</v>
      </c>
      <c r="B15" s="631">
        <f>'M-Compra'!C11</f>
        <v>46188</v>
      </c>
      <c r="C15" s="302">
        <f>HYPERLINK("#'M-TipoMovimiento'!A17", 'M-TipoMovimiento'!A17)</f>
        <v>108</v>
      </c>
      <c r="D15" s="302" t="str">
        <f>HYPERLINK("#'M-ClaseMovimiento'!B8", 'M-ClaseMovimiento'!B8)</f>
        <v>Entrada</v>
      </c>
      <c r="E15" s="302" t="str">
        <f>HYPERLINK("#'M-Lote'!I15", 'M-Lote'!I15)</f>
        <v>1 Salsa de Tomate</v>
      </c>
      <c r="F15" s="219">
        <f>IF(OR('M-DetalleCompra'!D16="g",'M-DetalleCompra'!D16="ml"),'M-DetalleCompra'!C16/1000,'M-DetalleCompra'!C16)</f>
        <v>10.5</v>
      </c>
      <c r="G15" s="562" t="str">
        <f t="shared" si="0"/>
        <v>108 1 Salsa de Tomate</v>
      </c>
    </row>
    <row r="16" spans="1:7" ht="12.75" customHeight="1">
      <c r="A16" s="218">
        <v>11</v>
      </c>
      <c r="B16" s="631">
        <f>'M-Venta'!B6</f>
        <v>46268</v>
      </c>
      <c r="C16" s="302">
        <f>HYPERLINK("#'M-TipoMovimiento'!A25", 'M-TipoMovimiento'!A25)</f>
        <v>153</v>
      </c>
      <c r="D16" s="302" t="str">
        <f>HYPERLINK("#'M-ClaseMovimiento'!B9", 'M-ClaseMovimiento'!B9)</f>
        <v>Salida</v>
      </c>
      <c r="E16" s="302" t="str">
        <f>HYPERLINK("#'M-Lote'!I11", 'M-Lote'!I11)</f>
        <v>1 Masa de Pizza</v>
      </c>
      <c r="F16" s="219">
        <f>'M-Lote'!E11</f>
        <v>0.2</v>
      </c>
      <c r="G16" s="562" t="str">
        <f t="shared" si="0"/>
        <v>153 1 Masa de Pizza</v>
      </c>
    </row>
    <row r="17" spans="1:7" ht="12.75" customHeight="1">
      <c r="A17" s="218">
        <v>12</v>
      </c>
      <c r="B17" s="631">
        <f>'M-Venta'!B6</f>
        <v>46268</v>
      </c>
      <c r="C17" s="302">
        <f>HYPERLINK("#'M-TipoMovimiento'!A25", 'M-TipoMovimiento'!A25)</f>
        <v>153</v>
      </c>
      <c r="D17" s="302" t="str">
        <f>HYPERLINK("#'M-ClaseMovimiento'!B9", 'M-ClaseMovimiento'!B9)</f>
        <v>Salida</v>
      </c>
      <c r="E17" s="302" t="str">
        <f>HYPERLINK("#'M-Lote'!I13", 'M-Lote'!I13)</f>
        <v>2 Masa de Pizza</v>
      </c>
      <c r="F17" s="219">
        <f>'M-DetalleReceta'!C6*'M-DetalleVenta'!C6/1000-F16</f>
        <v>0.14999999999999997</v>
      </c>
      <c r="G17" s="562" t="str">
        <f t="shared" si="0"/>
        <v>153 2 Masa de Pizza</v>
      </c>
    </row>
    <row r="18" spans="1:7" ht="12.75" customHeight="1">
      <c r="A18" s="218">
        <v>13</v>
      </c>
      <c r="B18" s="631">
        <f>'M-Venta'!B6</f>
        <v>46268</v>
      </c>
      <c r="C18" s="302">
        <f>HYPERLINK("#'M-TipoMovimiento'!A26", 'M-TipoMovimiento'!A26)</f>
        <v>154</v>
      </c>
      <c r="D18" s="302" t="str">
        <f>HYPERLINK("#'M-ClaseMovimiento'!B9", 'M-ClaseMovimiento'!B9)</f>
        <v>Salida</v>
      </c>
      <c r="E18" s="302" t="str">
        <f>HYPERLINK("#'M-Lote'!I15", 'M-Lote'!I15)</f>
        <v>1 Salsa de Tomate</v>
      </c>
      <c r="F18" s="219">
        <f>'M-DetalleReceta'!C7*'M-DetalleVenta'!C6/1000</f>
        <v>0.3</v>
      </c>
      <c r="G18" s="562" t="str">
        <f t="shared" si="0"/>
        <v>154 1 Salsa de Tomate</v>
      </c>
    </row>
    <row r="19" spans="1:7" ht="12.75" customHeight="1">
      <c r="A19" s="562">
        <v>14</v>
      </c>
      <c r="B19" s="632">
        <f>'M-Venta'!B6</f>
        <v>46268</v>
      </c>
      <c r="C19" s="302">
        <f>HYPERLINK("#'M-TipoMovimiento'!A27", 'M-TipoMovimiento'!A27)</f>
        <v>155</v>
      </c>
      <c r="D19" s="302" t="str">
        <f>HYPERLINK("#'M-ClaseMovimiento'!B9", 'M-ClaseMovimiento'!B9)</f>
        <v>Salida</v>
      </c>
      <c r="E19" s="302" t="str">
        <f>HYPERLINK("#'M-Lote'!I9", 'M-Lote'!I9)</f>
        <v>1 Aceite de oliva</v>
      </c>
      <c r="F19" s="562">
        <f>'M-DetalleReceta'!C8*'M-DetalleVenta'!C6/1000</f>
        <v>2E-3</v>
      </c>
      <c r="G19" s="562" t="str">
        <f t="shared" si="0"/>
        <v>155 1 Aceite de oliva</v>
      </c>
    </row>
    <row r="20" spans="1:7" ht="12.75" customHeight="1">
      <c r="A20" s="562">
        <v>15</v>
      </c>
      <c r="B20" s="632">
        <f>'M-Venta'!B6</f>
        <v>46268</v>
      </c>
      <c r="C20" s="302">
        <f>HYPERLINK("#'M-TipoMovimiento'!A28", 'M-TipoMovimiento'!A28)</f>
        <v>156</v>
      </c>
      <c r="D20" s="302" t="str">
        <f>HYPERLINK("#'M-ClaseMovimiento'!B9", 'M-ClaseMovimiento'!B9)</f>
        <v>Salida</v>
      </c>
      <c r="E20" s="302" t="str">
        <f>HYPERLINK("#'M-Lote'!I6", 'M-Lote'!I6)</f>
        <v>1 Queso</v>
      </c>
      <c r="F20" s="562">
        <f>'M-DetalleReceta'!C9*'M-DetalleVenta'!C6/1000</f>
        <v>0.1</v>
      </c>
      <c r="G20" s="562" t="str">
        <f t="shared" si="0"/>
        <v>156 1 Queso</v>
      </c>
    </row>
    <row r="21" spans="1:7" ht="12.75" customHeight="1">
      <c r="A21" s="562">
        <v>16</v>
      </c>
      <c r="B21" s="632">
        <f>'M-Venta'!B6</f>
        <v>46268</v>
      </c>
      <c r="C21" s="302">
        <f>HYPERLINK("#'M-TipoMovimiento'!A29", 'M-TipoMovimiento'!A29)</f>
        <v>157</v>
      </c>
      <c r="D21" s="302" t="str">
        <f>HYPERLINK("#'M-ClaseMovimiento'!B9", 'M-ClaseMovimiento'!B9)</f>
        <v>Salida</v>
      </c>
      <c r="E21" s="302" t="str">
        <f>HYPERLINK("#'M-Lote'!I7", 'M-Lote'!I7)</f>
        <v>1 Albahaca</v>
      </c>
      <c r="F21" s="562">
        <f>'M-DetalleReceta'!C10*'M-DetalleVenta'!C6/1000</f>
        <v>0.05</v>
      </c>
      <c r="G21" s="562" t="str">
        <f t="shared" si="0"/>
        <v>157 1 Albahaca</v>
      </c>
    </row>
    <row r="22" spans="1:7" ht="12.75" customHeight="1">
      <c r="A22" s="562">
        <v>17</v>
      </c>
      <c r="B22" s="632">
        <f>'M-Venta'!B7</f>
        <v>46268</v>
      </c>
      <c r="C22" s="302">
        <f>HYPERLINK("#'M-TipoMovimiento'!A30", 'M-TipoMovimiento'!A30)</f>
        <v>158</v>
      </c>
      <c r="D22" s="302" t="str">
        <f>HYPERLINK("#'M-ClaseMovimiento'!B9", 'M-ClaseMovimiento'!B9)</f>
        <v>Salida</v>
      </c>
      <c r="E22" s="302" t="str">
        <f>HYPERLINK("#'M-Lote'!I8", 'M-Lote'!I8)</f>
        <v>1 Peperoni</v>
      </c>
      <c r="F22" s="562">
        <f>'M-DetalleReceta'!C17*'M-DetalleVenta'!C7/1000</f>
        <v>0.16</v>
      </c>
      <c r="G22" s="562" t="str">
        <f t="shared" si="0"/>
        <v>158 1 Peperoni</v>
      </c>
    </row>
    <row r="23" spans="1:7" ht="12.75" customHeight="1">
      <c r="A23" s="562">
        <v>20</v>
      </c>
      <c r="B23" s="632">
        <f>'M-Cambio'!F7</f>
        <v>46274</v>
      </c>
      <c r="C23" s="302">
        <f>HYPERLINK("#'M-TipoMovimiento'!A31", 'M-TipoMovimiento'!A31)</f>
        <v>200</v>
      </c>
      <c r="D23" s="302" t="str">
        <f>HYPERLINK("#'M-ClaseMovimiento'!B8", 'M-ClaseMovimiento'!B8)</f>
        <v>Entrada</v>
      </c>
      <c r="E23" s="302" t="str">
        <f>HYPERLINK("#'M-Lote'!I16", 'M-Lote'!I16)</f>
        <v>2 Pepsi 400 ml</v>
      </c>
      <c r="F23" s="562">
        <f>IF(OR('M-Cambio'!D7="g",'M-Cambio'!D7="ml"),'M-Cambio'!C7/1000,'M-Cambio'!C7)</f>
        <v>24</v>
      </c>
      <c r="G23" s="562" t="str">
        <f t="shared" si="0"/>
        <v>200 2 Pepsi 400 ml</v>
      </c>
    </row>
    <row r="24" spans="1:7" ht="12.75" customHeight="1">
      <c r="A24" s="562">
        <v>21</v>
      </c>
      <c r="B24" s="632">
        <f>'M-Cambio'!F8</f>
        <v>46274</v>
      </c>
      <c r="C24" s="302">
        <f>HYPERLINK("#'M-TipoMovimiento'!A32", 'M-TipoMovimiento'!A32)</f>
        <v>201</v>
      </c>
      <c r="D24" s="302" t="str">
        <f>HYPERLINK("#'M-ClaseMovimiento'!B8", 'M-ClaseMovimiento'!B8)</f>
        <v>Entrada</v>
      </c>
      <c r="E24" s="302" t="str">
        <f>HYPERLINK("#'M-Lote'!I17", 'M-Lote'!I17)</f>
        <v>3 Aceite de oliva</v>
      </c>
      <c r="F24" s="562">
        <f>IF(OR('M-Cambio'!D8="g",'M-Cambio'!D8="ml"),'M-Cambio'!C8/1000,'M-Cambio'!C8)</f>
        <v>5</v>
      </c>
      <c r="G24" s="562" t="str">
        <f t="shared" si="0"/>
        <v>201 3 Aceite de oliva</v>
      </c>
    </row>
    <row r="25" spans="1:7" ht="12.75" customHeight="1">
      <c r="A25" s="562">
        <v>23</v>
      </c>
      <c r="B25" s="632">
        <f>'M-Compra'!C12</f>
        <v>46291</v>
      </c>
      <c r="C25" s="302">
        <f>HYPERLINK("#'M-TipoMovimiento'!A18", 'M-TipoMovimiento'!A18)</f>
        <v>109</v>
      </c>
      <c r="D25" s="302" t="str">
        <f>HYPERLINK("#'M-ClaseMovimiento'!B8", 'M-ClaseMovimiento'!B8)</f>
        <v>Entrada</v>
      </c>
      <c r="E25" s="302" t="str">
        <f>HYPERLINK("#'M-Lote'!I18", 'M-Lote'!I18)</f>
        <v>3 Queso</v>
      </c>
      <c r="F25" s="562">
        <f>IF(OR('M-DetalleCompra'!D17="g",'M-DetalleCompra'!D17="ml"),'M-DetalleCompra'!C17/1000,'M-DetalleCompra'!C17)</f>
        <v>0.3</v>
      </c>
      <c r="G25" s="562" t="str">
        <f t="shared" si="0"/>
        <v>109 3 Queso</v>
      </c>
    </row>
    <row r="26" spans="1:7" ht="12.75" customHeight="1">
      <c r="A26" s="562">
        <v>24</v>
      </c>
      <c r="B26" s="632">
        <f>'M-Compra'!C13</f>
        <v>46293</v>
      </c>
      <c r="C26" s="302">
        <f>HYPERLINK("#'M-TipoMovimiento'!A19", 'M-TipoMovimiento'!A19)</f>
        <v>110</v>
      </c>
      <c r="D26" s="302" t="str">
        <f>HYPERLINK("#'M-ClaseMovimiento'!B8", 'M-ClaseMovimiento'!B8)</f>
        <v>Entrada</v>
      </c>
      <c r="E26" s="302" t="str">
        <f>HYPERLINK("#'M-Lote'!I19", 'M-Lote'!I19)</f>
        <v>1 Jamón</v>
      </c>
      <c r="F26" s="562">
        <f>IF(OR('M-DetalleCompra'!D18="g",'M-DetalleCompra'!D18="ml"),'M-DetalleCompra'!C18/1000,'M-DetalleCompra'!C18)</f>
        <v>1</v>
      </c>
      <c r="G26" s="562" t="str">
        <f t="shared" si="0"/>
        <v>110 1 Jamón</v>
      </c>
    </row>
    <row r="27" spans="1:7" ht="12.75" customHeight="1">
      <c r="A27" s="562">
        <v>25</v>
      </c>
      <c r="B27" s="632">
        <f>'M-Compra'!C13</f>
        <v>46293</v>
      </c>
      <c r="C27" s="302">
        <f>HYPERLINK("#'M-TipoMovimiento'!A20", 'M-TipoMovimiento'!A20)</f>
        <v>111</v>
      </c>
      <c r="D27" s="302" t="str">
        <f>HYPERLINK("#'M-ClaseMovimiento'!B8", 'M-ClaseMovimiento'!B8)</f>
        <v>Entrada</v>
      </c>
      <c r="E27" s="302" t="str">
        <f>HYPERLINK("#'M-Lote'!I20", 'M-Lote'!I20)</f>
        <v>1 Piña</v>
      </c>
      <c r="F27" s="562">
        <f>IF(OR('M-DetalleCompra'!D19="g",'M-DetalleCompra'!D19="ml"),'M-DetalleCompra'!C19/1000,'M-DetalleCompra'!C19)</f>
        <v>1</v>
      </c>
      <c r="G27" s="562" t="str">
        <f t="shared" si="0"/>
        <v>111 1 Piña</v>
      </c>
    </row>
    <row r="28" spans="1:7" ht="12.75" customHeight="1">
      <c r="A28" s="562">
        <v>26</v>
      </c>
      <c r="B28" s="632">
        <f>'M-Compra'!C14</f>
        <v>46295</v>
      </c>
      <c r="C28" s="302">
        <f>HYPERLINK("#'M-TipoMovimiento'!A21", 'M-TipoMovimiento'!A21)</f>
        <v>112</v>
      </c>
      <c r="D28" s="302" t="str">
        <f>HYPERLINK("#'M-ClaseMovimiento'!B8", 'M-ClaseMovimiento'!B8)</f>
        <v>Entrada</v>
      </c>
      <c r="E28" s="302" t="str">
        <f>HYPERLINK("#'M-Lote'!I21", 'M-Lote'!I21)</f>
        <v>4 Queso</v>
      </c>
      <c r="F28" s="562">
        <f>IF(OR('M-DetalleCompra'!D20="g",'M-DetalleCompra'!D20="ml"),'M-DetalleCompra'!C20/1000,'M-DetalleCompra'!C20)</f>
        <v>0.5</v>
      </c>
      <c r="G28" s="562" t="str">
        <f t="shared" si="0"/>
        <v>112 4 Queso</v>
      </c>
    </row>
    <row r="29" spans="1:7" ht="12.75" customHeight="1">
      <c r="A29" s="562">
        <v>27</v>
      </c>
      <c r="B29" s="632">
        <f>'M-Venta'!B9</f>
        <v>46297</v>
      </c>
      <c r="C29" s="302">
        <f>HYPERLINK("#'M-TipoMovimiento'!A22", 'M-TipoMovimiento'!A22)</f>
        <v>150</v>
      </c>
      <c r="D29" s="302" t="str">
        <f>HYPERLINK("#'M-ClaseMovimiento'!B9", 'M-ClaseMovimiento'!B9)</f>
        <v>Salida</v>
      </c>
      <c r="E29" s="302" t="str">
        <f>HYPERLINK("#'M-Lote'!I18", 'M-Lote'!I18)</f>
        <v>3 Queso</v>
      </c>
      <c r="F29" s="562">
        <f>'M-Lote'!E18</f>
        <v>0.3</v>
      </c>
      <c r="G29" s="562" t="str">
        <f t="shared" si="0"/>
        <v>150 3 Queso</v>
      </c>
    </row>
    <row r="30" spans="1:7" ht="12.75" customHeight="1">
      <c r="A30" s="562">
        <v>28</v>
      </c>
      <c r="B30" s="632">
        <f>'M-Venta'!B9</f>
        <v>46297</v>
      </c>
      <c r="C30" s="302">
        <f>HYPERLINK("#'M-TipoMovimiento'!A22", 'M-TipoMovimiento'!A22)</f>
        <v>150</v>
      </c>
      <c r="D30" s="302" t="str">
        <f>HYPERLINK("#'M-ClaseMovimiento'!B9", 'M-ClaseMovimiento'!B9)</f>
        <v>Salida</v>
      </c>
      <c r="E30" s="302" t="str">
        <f>HYPERLINK("#'M-Lote'!I21", 'M-Lote'!I21)</f>
        <v>4 Queso</v>
      </c>
      <c r="F30" s="562">
        <f>'M-DetalleReceta'!C28*'M-DetalleVenta'!C10/1000-F29</f>
        <v>0.2</v>
      </c>
      <c r="G30" s="562" t="str">
        <f t="shared" si="0"/>
        <v>150 4 Queso</v>
      </c>
    </row>
    <row r="31" spans="1:7" ht="12.75" customHeight="1">
      <c r="A31" s="562">
        <v>29</v>
      </c>
      <c r="B31" s="632">
        <f>'M-Venta'!B9</f>
        <v>46297</v>
      </c>
      <c r="C31" s="302">
        <f>HYPERLINK("#'M-TipoMovimiento'!A23", 'M-TipoMovimiento'!A23)</f>
        <v>151</v>
      </c>
      <c r="D31" s="302" t="str">
        <f>HYPERLINK("#'M-ClaseMovimiento'!B9", 'M-ClaseMovimiento'!B9)</f>
        <v>Salida</v>
      </c>
      <c r="E31" s="302" t="str">
        <f>HYPERLINK("#'M-Lote'!I19", 'M-Lote'!I19)</f>
        <v>1 Jamón</v>
      </c>
      <c r="F31" s="562">
        <f>'M-DetalleReceta'!C29*'M-DetalleVenta'!C10/1000</f>
        <v>0.1</v>
      </c>
      <c r="G31" s="562" t="str">
        <f t="shared" si="0"/>
        <v>151 1 Jamón</v>
      </c>
    </row>
    <row r="32" spans="1:7" ht="12.75" customHeight="1">
      <c r="A32" s="562">
        <v>30</v>
      </c>
      <c r="B32" s="632">
        <f>'M-Venta'!B9</f>
        <v>46297</v>
      </c>
      <c r="C32" s="302">
        <f>HYPERLINK("#'M-TipoMovimiento'!A24", 'M-TipoMovimiento'!A24)</f>
        <v>152</v>
      </c>
      <c r="D32" s="302" t="str">
        <f>HYPERLINK("#'M-ClaseMovimiento'!B9", 'M-ClaseMovimiento'!B9)</f>
        <v>Salida</v>
      </c>
      <c r="E32" s="302" t="str">
        <f>HYPERLINK("#'M-Lote'!I20", 'M-Lote'!I20)</f>
        <v>1 Piña</v>
      </c>
      <c r="F32" s="562">
        <f>'M-DetalleReceta'!C30*'M-DetalleVenta'!C10/1000</f>
        <v>0.08</v>
      </c>
      <c r="G32" s="562" t="str">
        <f t="shared" si="0"/>
        <v>152 1 Piña</v>
      </c>
    </row>
    <row r="33" spans="1:6" ht="12.75" customHeight="1">
      <c r="A33" s="614"/>
      <c r="C33" s="614"/>
      <c r="D33" s="614"/>
      <c r="F33" s="614"/>
    </row>
    <row r="34" spans="1:6" ht="12.75" customHeight="1">
      <c r="A34" s="614"/>
      <c r="C34" s="614"/>
      <c r="D34" s="614"/>
      <c r="F34" s="614"/>
    </row>
    <row r="35" spans="1:6" ht="12.75" customHeight="1"/>
    <row r="36" spans="1:6" ht="12.75" customHeight="1"/>
    <row r="37" spans="1:6" ht="12.75" customHeight="1"/>
    <row r="38" spans="1:6" ht="12.75" customHeight="1"/>
    <row r="39" spans="1:6" ht="12.75" customHeight="1"/>
  </sheetData>
  <hyperlinks>
    <hyperlink ref="A1" location="'Modelo de dominio'!A1" display="&lt;&lt;&lt;Modelo de Dominio" xr:uid="{00000000-0004-0000-2500-000000000000}"/>
    <hyperlink ref="D1" location="'Objetos de dominio'!A1" display="&lt;&lt;&lt;Objetos de Dominio" xr:uid="{00000000-0004-0000-2500-000001000000}"/>
    <hyperlink ref="C5" location="'M-TipoMovimiento'!A1" display="TipoMovimiento" xr:uid="{00000000-0004-0000-2500-000002000000}"/>
    <hyperlink ref="D5" location="'M-ClaseMovimiento'!A1" display="ClaseMovimiento" xr:uid="{00000000-0004-0000-2500-000003000000}"/>
    <hyperlink ref="E5" location="'M-Lote'!A1" display="Lote" xr:uid="{00000000-0004-0000-2500-000004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65">
    <outlinePr summaryBelow="0" summaryRight="0"/>
  </sheetPr>
  <dimension ref="A1:Z58"/>
  <sheetViews>
    <sheetView topLeftCell="M20" zoomScale="69" workbookViewId="0">
      <selection activeCell="S49" sqref="S49"/>
    </sheetView>
  </sheetViews>
  <sheetFormatPr baseColWidth="10" defaultColWidth="12.625" defaultRowHeight="12.9"/>
  <cols>
    <col min="1" max="1" width="27.75" bestFit="1" customWidth="1"/>
    <col min="2" max="2" width="165" bestFit="1" customWidth="1"/>
    <col min="3" max="3" width="34.375" bestFit="1" customWidth="1"/>
    <col min="4" max="4" width="24" bestFit="1" customWidth="1"/>
    <col min="5" max="5" width="11.625" bestFit="1" customWidth="1"/>
    <col min="6" max="6" width="27" bestFit="1" customWidth="1"/>
    <col min="7" max="7" width="27.375" bestFit="1" customWidth="1"/>
    <col min="8" max="8" width="19.75" bestFit="1" customWidth="1"/>
    <col min="9" max="9" width="67.75" bestFit="1" customWidth="1"/>
    <col min="10" max="10" width="23.25" bestFit="1" customWidth="1"/>
    <col min="11" max="11" width="21.75" bestFit="1" customWidth="1"/>
    <col min="12" max="12" width="18.75" bestFit="1" customWidth="1"/>
    <col min="13" max="13" width="65.25" bestFit="1" customWidth="1"/>
    <col min="14" max="14" width="15.375" bestFit="1" customWidth="1"/>
    <col min="15" max="15" width="31.25" bestFit="1" customWidth="1"/>
    <col min="16" max="16" width="28.25" bestFit="1" customWidth="1"/>
    <col min="17" max="17" width="110.375" bestFit="1" customWidth="1"/>
    <col min="18" max="18" width="69.25" bestFit="1" customWidth="1"/>
    <col min="19" max="19" width="23.875" bestFit="1" customWidth="1"/>
    <col min="20" max="20" width="27.375" bestFit="1" customWidth="1"/>
    <col min="21" max="21" width="22.25" customWidth="1"/>
    <col min="22" max="22" width="36.25" customWidth="1"/>
    <col min="23" max="23" width="34.625" customWidth="1"/>
    <col min="24" max="24" width="34.25" customWidth="1"/>
    <col min="25" max="25" width="40.375" customWidth="1"/>
  </cols>
  <sheetData>
    <row r="1" spans="1:26" ht="13.75" customHeight="1">
      <c r="A1" s="2" t="s">
        <v>0</v>
      </c>
      <c r="B1" s="132" t="s">
        <v>1</v>
      </c>
      <c r="C1" s="25"/>
      <c r="D1" s="25"/>
      <c r="E1" s="25"/>
      <c r="F1" s="25"/>
      <c r="G1" s="25"/>
      <c r="H1" s="25"/>
      <c r="I1" s="25"/>
      <c r="J1" s="25"/>
      <c r="K1" s="25"/>
      <c r="L1" s="25"/>
      <c r="M1" s="25"/>
      <c r="N1" s="25"/>
      <c r="O1" s="25"/>
      <c r="P1" s="25"/>
      <c r="Q1" s="25"/>
      <c r="R1" s="25"/>
      <c r="S1" s="25"/>
      <c r="T1" s="25"/>
      <c r="U1" s="25"/>
    </row>
    <row r="2" spans="1:26" ht="14.3" customHeight="1">
      <c r="A2" s="149" t="s">
        <v>20</v>
      </c>
      <c r="B2" s="1474" t="s">
        <v>195</v>
      </c>
      <c r="C2" s="1035"/>
      <c r="D2" s="1035"/>
      <c r="E2" s="1035"/>
      <c r="F2" s="1035"/>
      <c r="G2" s="1035"/>
      <c r="H2" s="1035"/>
      <c r="I2" s="1035"/>
      <c r="J2" s="1035"/>
      <c r="K2" s="1035"/>
      <c r="L2" s="1035"/>
      <c r="M2" s="1035"/>
      <c r="N2" s="1035"/>
      <c r="O2" s="1035"/>
      <c r="P2" s="1035"/>
      <c r="Q2" s="1035"/>
      <c r="R2" s="1035"/>
      <c r="S2" s="1035"/>
      <c r="T2" s="1035"/>
      <c r="U2" s="1036"/>
    </row>
    <row r="3" spans="1:26" ht="14.3" customHeight="1">
      <c r="A3" s="149" t="s">
        <v>79</v>
      </c>
      <c r="B3" s="1476" t="str">
        <f>HYPERLINK("#'Objetos de dominio'!B14", 'Objetos de dominio'!B16)</f>
        <v>Es cada entrada o salida concreta de un lote, registrada en una fecha (FechaMovimiento). Lo genera una operación (TipoMovimiento), indica si suma o resta (ClaseMovimiento) y por el lote se sabe qué producto interno se movió. Si una operación usa varios lotes (FIFO), genera un movimiento por cada lote.</v>
      </c>
      <c r="C3" s="1035"/>
      <c r="D3" s="1035"/>
      <c r="E3" s="1035"/>
      <c r="F3" s="1035"/>
      <c r="G3" s="1035"/>
      <c r="H3" s="1035"/>
      <c r="I3" s="1035"/>
      <c r="J3" s="1035"/>
      <c r="K3" s="1035"/>
      <c r="L3" s="1035"/>
      <c r="M3" s="1035"/>
      <c r="N3" s="1035"/>
      <c r="O3" s="1035"/>
      <c r="P3" s="1035"/>
      <c r="Q3" s="1035"/>
      <c r="R3" s="1035"/>
      <c r="S3" s="1035"/>
      <c r="T3" s="1035"/>
      <c r="U3" s="1036"/>
    </row>
    <row r="4" spans="1:26" ht="14.3" customHeight="1">
      <c r="A4" s="729" t="s">
        <v>80</v>
      </c>
      <c r="B4" s="731" t="s">
        <v>81</v>
      </c>
      <c r="C4" s="110" t="s">
        <v>82</v>
      </c>
      <c r="D4" s="110" t="s">
        <v>8</v>
      </c>
      <c r="E4" s="110" t="s">
        <v>14</v>
      </c>
      <c r="F4" s="110" t="s">
        <v>83</v>
      </c>
      <c r="G4" s="110" t="s">
        <v>84</v>
      </c>
      <c r="H4" s="110" t="s">
        <v>85</v>
      </c>
      <c r="I4" s="110" t="s">
        <v>86</v>
      </c>
      <c r="J4" s="110" t="s">
        <v>87</v>
      </c>
      <c r="K4" s="110" t="s">
        <v>88</v>
      </c>
      <c r="L4" s="110" t="s">
        <v>89</v>
      </c>
      <c r="M4" s="110" t="s">
        <v>90</v>
      </c>
      <c r="N4" s="110" t="s">
        <v>91</v>
      </c>
      <c r="O4" s="110" t="s">
        <v>92</v>
      </c>
      <c r="P4" s="110" t="s">
        <v>93</v>
      </c>
      <c r="Q4" s="110" t="s">
        <v>94</v>
      </c>
      <c r="R4" s="110" t="s">
        <v>95</v>
      </c>
      <c r="S4" s="110" t="s">
        <v>96</v>
      </c>
      <c r="T4" s="110" t="s">
        <v>97</v>
      </c>
      <c r="U4" s="725" t="s">
        <v>98</v>
      </c>
      <c r="V4" s="686" t="str">
        <f>HYPERLINK("#'C-MovimientoInventario'!A21", 'C-MovimientoInventario'!A21)</f>
        <v>Registrar entrada de inventario por compra</v>
      </c>
      <c r="W4" s="709" t="str">
        <f>HYPERLINK("#'C-MovimientoInventario'!A30", 'C-MovimientoInventario'!A30)</f>
        <v>Registrar salida de inventario por venta</v>
      </c>
      <c r="X4" s="726" t="str">
        <f>HYPERLINK("#'C-MovimientoInventario'!A40", 'C-MovimientoInventario'!A40)</f>
        <v>Registrar movimientos por cambio de producto</v>
      </c>
      <c r="Y4" s="728" t="str">
        <f>HYPERLINK("#'C-MovimientoInventario'!A50", 'C-MovimientoInventario'!A50)</f>
        <v>Consultar movimientos de un lote</v>
      </c>
    </row>
    <row r="5" spans="1:26" ht="14.3" customHeight="1">
      <c r="A5" s="814" t="str">
        <f>HYPERLINK("#'M-MovimientoInventario'!A5", 'M-MovimientoInventario'!A5)</f>
        <v>Id</v>
      </c>
      <c r="B5" s="815" t="str">
        <f>HYPERLINK("#'M-MovimientoInventario'!A2", 'M-MovimientoInventario'!A2)</f>
        <v>Identificador unico de cada movimiento: una entrada o salida concreta de un lote</v>
      </c>
      <c r="C5" s="730" t="s">
        <v>15</v>
      </c>
      <c r="D5" s="150" t="s">
        <v>99</v>
      </c>
      <c r="E5" s="150" t="s">
        <v>15</v>
      </c>
      <c r="F5" s="150"/>
      <c r="G5" s="150"/>
      <c r="H5" s="150"/>
      <c r="I5" s="150"/>
      <c r="J5" s="150"/>
      <c r="K5" s="150"/>
      <c r="L5" s="150"/>
      <c r="M5" s="150"/>
      <c r="N5" s="150" t="s">
        <v>100</v>
      </c>
      <c r="O5" s="150" t="s">
        <v>100</v>
      </c>
      <c r="P5" s="150"/>
      <c r="Q5" s="150" t="s">
        <v>100</v>
      </c>
      <c r="R5" s="150" t="s">
        <v>100</v>
      </c>
      <c r="S5" s="150" t="s">
        <v>100</v>
      </c>
      <c r="T5" s="150"/>
      <c r="U5" s="150" t="s">
        <v>15</v>
      </c>
      <c r="V5" s="684" t="s">
        <v>101</v>
      </c>
      <c r="W5" s="687" t="s">
        <v>101</v>
      </c>
      <c r="X5" s="656" t="s">
        <v>101</v>
      </c>
      <c r="Y5" s="727" t="s">
        <v>274</v>
      </c>
    </row>
    <row r="6" spans="1:26" ht="14.3" customHeight="1">
      <c r="A6" s="814" t="str">
        <f>HYPERLINK("#'M-MovimientoInventario'!D5", 'M-MovimientoInventario'!D5)</f>
        <v>ClaseMovimiento</v>
      </c>
      <c r="B6" s="815" t="str">
        <f>HYPERLINK("#'M-MovimientoInventario'!D2", 'M-MovimientoInventario'!D2)</f>
        <v>Clase de movimiento: Entrada (suma al inventario) o Salida (resta del inventario)</v>
      </c>
      <c r="C6" s="730" t="s">
        <v>100</v>
      </c>
      <c r="D6" s="150" t="s">
        <v>11</v>
      </c>
      <c r="E6" s="150" t="s">
        <v>15</v>
      </c>
      <c r="F6" s="151"/>
      <c r="G6" s="151"/>
      <c r="H6" s="150"/>
      <c r="I6" s="150"/>
      <c r="J6" s="150"/>
      <c r="K6" s="150"/>
      <c r="L6" s="150"/>
      <c r="M6" s="152" t="s">
        <v>1189</v>
      </c>
      <c r="N6" s="150" t="s">
        <v>100</v>
      </c>
      <c r="O6" s="150" t="s">
        <v>100</v>
      </c>
      <c r="P6" s="150"/>
      <c r="Q6" s="150" t="s">
        <v>100</v>
      </c>
      <c r="R6" s="150" t="s">
        <v>100</v>
      </c>
      <c r="S6" s="150" t="s">
        <v>100</v>
      </c>
      <c r="T6" s="150"/>
      <c r="U6" s="150" t="s">
        <v>100</v>
      </c>
      <c r="V6" s="582" t="s">
        <v>101</v>
      </c>
      <c r="W6" s="557" t="s">
        <v>101</v>
      </c>
      <c r="X6" s="562" t="s">
        <v>101</v>
      </c>
      <c r="Y6" s="489" t="s">
        <v>278</v>
      </c>
    </row>
    <row r="7" spans="1:26" ht="14.3" customHeight="1">
      <c r="A7" s="814" t="str">
        <f>HYPERLINK("#'M-MovimientoInventario'!C5", 'M-MovimientoInventario'!C5)</f>
        <v>TipoMovimiento</v>
      </c>
      <c r="B7" s="815" t="str">
        <f>HYPERLINK("#'M-MovimientoInventario'!C2", 'M-MovimientoInventario'!C2)</f>
        <v>Codigo de la operacion (TipoMovimiento) que genero el movimiento; a traves de el se conoce la CategoriaOrigen y el documento de origen</v>
      </c>
      <c r="C7" s="730" t="s">
        <v>100</v>
      </c>
      <c r="D7" s="150" t="s">
        <v>10</v>
      </c>
      <c r="E7" s="150" t="s">
        <v>15</v>
      </c>
      <c r="F7" s="151"/>
      <c r="G7" s="151"/>
      <c r="H7" s="150"/>
      <c r="I7" s="150"/>
      <c r="J7" s="150"/>
      <c r="K7" s="150"/>
      <c r="L7" s="150"/>
      <c r="M7" s="152" t="s">
        <v>1190</v>
      </c>
      <c r="N7" s="150" t="s">
        <v>100</v>
      </c>
      <c r="O7" s="150" t="s">
        <v>100</v>
      </c>
      <c r="P7" s="150"/>
      <c r="Q7" s="150" t="s">
        <v>100</v>
      </c>
      <c r="R7" s="150" t="s">
        <v>100</v>
      </c>
      <c r="S7" s="150" t="s">
        <v>100</v>
      </c>
      <c r="T7" s="150"/>
      <c r="U7" s="150" t="s">
        <v>100</v>
      </c>
      <c r="V7" s="582" t="s">
        <v>101</v>
      </c>
      <c r="W7" s="557" t="s">
        <v>101</v>
      </c>
      <c r="X7" s="562" t="s">
        <v>101</v>
      </c>
      <c r="Y7" s="489" t="s">
        <v>278</v>
      </c>
    </row>
    <row r="8" spans="1:26" ht="14.3" customHeight="1">
      <c r="A8" s="814" t="str">
        <f>HYPERLINK("#'M-MovimientoInventario'!F5", 'M-MovimientoInventario'!F5)</f>
        <v>Cantidad</v>
      </c>
      <c r="B8" s="815" t="str">
        <f>HYPERLINK("#'M-MovimientoInventario'!F2", 'M-MovimientoInventario'!F2)</f>
        <v>Cantidad que entro o salio del lote, expresada en la unidad de medida del lote (kg, l o und)</v>
      </c>
      <c r="C8" s="730" t="s">
        <v>100</v>
      </c>
      <c r="D8" s="150" t="s">
        <v>13</v>
      </c>
      <c r="E8" s="150" t="s">
        <v>15</v>
      </c>
      <c r="F8" s="151"/>
      <c r="G8" s="151"/>
      <c r="H8" s="150">
        <v>4</v>
      </c>
      <c r="I8" s="150"/>
      <c r="J8" s="150" t="s">
        <v>104</v>
      </c>
      <c r="K8" s="150">
        <v>10000</v>
      </c>
      <c r="L8" s="150"/>
      <c r="M8" s="150" t="s">
        <v>1191</v>
      </c>
      <c r="N8" s="150" t="s">
        <v>100</v>
      </c>
      <c r="O8" s="150" t="s">
        <v>100</v>
      </c>
      <c r="P8" s="150"/>
      <c r="Q8" s="150" t="s">
        <v>100</v>
      </c>
      <c r="R8" s="150" t="s">
        <v>100</v>
      </c>
      <c r="S8" s="150" t="s">
        <v>100</v>
      </c>
      <c r="T8" s="150"/>
      <c r="U8" s="150" t="s">
        <v>100</v>
      </c>
      <c r="V8" s="582" t="s">
        <v>101</v>
      </c>
      <c r="W8" s="557" t="s">
        <v>101</v>
      </c>
      <c r="X8" s="562" t="s">
        <v>101</v>
      </c>
      <c r="Y8" s="489" t="s">
        <v>278</v>
      </c>
    </row>
    <row r="9" spans="1:26" ht="14.3" customHeight="1">
      <c r="A9" s="814" t="str">
        <f>HYPERLINK("#'M-MovimientoInventario'!B5", 'M-MovimientoInventario'!B5)</f>
        <v>FechaMovimiento</v>
      </c>
      <c r="B9" s="815" t="str">
        <f>HYPERLINK("#'M-MovimientoInventario'!B2", 'M-MovimientoInventario'!B2)</f>
        <v>Fecha en la que se registra el movimiento de inventario, correspondiente al momento en que se realiza la entrada o salida sobre el lote.</v>
      </c>
      <c r="C9" s="730" t="s">
        <v>100</v>
      </c>
      <c r="D9" s="150" t="s">
        <v>9</v>
      </c>
      <c r="E9" s="150" t="s">
        <v>15</v>
      </c>
      <c r="F9" s="151"/>
      <c r="G9" s="151"/>
      <c r="H9" s="150"/>
      <c r="I9" s="150"/>
      <c r="J9" s="150"/>
      <c r="K9" s="423"/>
      <c r="L9" s="150" t="s">
        <v>107</v>
      </c>
      <c r="M9" s="150" t="s">
        <v>1192</v>
      </c>
      <c r="N9" s="150" t="s">
        <v>100</v>
      </c>
      <c r="O9" s="150" t="s">
        <v>100</v>
      </c>
      <c r="P9" s="150"/>
      <c r="Q9" s="150" t="s">
        <v>100</v>
      </c>
      <c r="R9" s="150" t="s">
        <v>100</v>
      </c>
      <c r="S9" s="150" t="s">
        <v>100</v>
      </c>
      <c r="T9" s="150"/>
      <c r="U9" s="150" t="s">
        <v>100</v>
      </c>
      <c r="V9" s="582" t="s">
        <v>101</v>
      </c>
      <c r="W9" s="557" t="s">
        <v>101</v>
      </c>
      <c r="X9" s="562" t="s">
        <v>101</v>
      </c>
      <c r="Y9" s="489" t="s">
        <v>278</v>
      </c>
    </row>
    <row r="10" spans="1:26" ht="14.3" customHeight="1">
      <c r="A10" s="816" t="str">
        <f>HYPERLINK("#'M-MovimientoInventario'!E5", 'M-MovimientoInventario'!E5)</f>
        <v>Lote</v>
      </c>
      <c r="B10" s="817" t="str">
        <f>HYPERLINK("#'M-MovimientoInventario'!E2", 'M-MovimientoInventario'!E2)</f>
        <v>Lote sobre el que se realizo la entrada o salida. Por el lote se conoce el producto interno y la unidad de medida</v>
      </c>
      <c r="C10" s="730" t="s">
        <v>100</v>
      </c>
      <c r="D10" s="150" t="s">
        <v>12</v>
      </c>
      <c r="E10" s="150" t="s">
        <v>15</v>
      </c>
      <c r="F10" s="150"/>
      <c r="G10" s="150"/>
      <c r="H10" s="150"/>
      <c r="I10" s="150"/>
      <c r="J10" s="150"/>
      <c r="K10" s="150"/>
      <c r="L10" s="150"/>
      <c r="M10" s="150" t="s">
        <v>1193</v>
      </c>
      <c r="N10" s="150" t="s">
        <v>100</v>
      </c>
      <c r="O10" s="150" t="s">
        <v>100</v>
      </c>
      <c r="P10" s="150"/>
      <c r="Q10" s="150" t="s">
        <v>100</v>
      </c>
      <c r="R10" s="150" t="s">
        <v>100</v>
      </c>
      <c r="S10" s="150" t="s">
        <v>100</v>
      </c>
      <c r="T10" s="150"/>
      <c r="U10" s="150" t="s">
        <v>100</v>
      </c>
      <c r="V10" s="490" t="s">
        <v>101</v>
      </c>
      <c r="W10" s="491" t="s">
        <v>101</v>
      </c>
      <c r="X10" s="573" t="s">
        <v>101</v>
      </c>
      <c r="Y10" s="492" t="s">
        <v>278</v>
      </c>
      <c r="Z10" s="73"/>
    </row>
    <row r="13" spans="1:26" ht="14.3" customHeight="1">
      <c r="A13" s="111" t="s">
        <v>109</v>
      </c>
      <c r="B13" s="111" t="s">
        <v>79</v>
      </c>
      <c r="C13" s="111" t="s">
        <v>110</v>
      </c>
    </row>
    <row r="14" spans="1:26" ht="14.3" customHeight="1">
      <c r="A14" s="1345" t="s">
        <v>111</v>
      </c>
      <c r="B14" s="1475" t="s">
        <v>1194</v>
      </c>
      <c r="C14" s="818" t="str">
        <f>HYPERLINK("#'C-MovimientoInventario'!A7", 'C-MovimientoInventario'!A7)</f>
        <v>TipoMovimiento</v>
      </c>
    </row>
    <row r="15" spans="1:26" ht="13.6">
      <c r="A15" s="1089"/>
      <c r="B15" s="1078"/>
      <c r="C15" s="819" t="str">
        <f>HYPERLINK("#'C-MovimientoInventario'!A10", 'C-MovimientoInventario'!A10)</f>
        <v>Lote</v>
      </c>
    </row>
    <row r="18" spans="1:18" ht="13.75" customHeight="1" thickBot="1"/>
    <row r="19" spans="1:18" ht="14.3" customHeight="1">
      <c r="A19" s="1037" t="s">
        <v>113</v>
      </c>
      <c r="B19" s="1038"/>
      <c r="C19" s="1042" t="s">
        <v>79</v>
      </c>
      <c r="D19" s="1043"/>
      <c r="E19" s="1043"/>
      <c r="F19" s="1038"/>
      <c r="G19" s="1042" t="s">
        <v>114</v>
      </c>
      <c r="H19" s="1029"/>
      <c r="I19" s="1030"/>
      <c r="J19" s="1028" t="s">
        <v>115</v>
      </c>
      <c r="K19" s="1029"/>
      <c r="L19" s="1029"/>
      <c r="M19" s="1029"/>
      <c r="N19" s="1030"/>
      <c r="O19" s="1028" t="s">
        <v>116</v>
      </c>
      <c r="P19" s="1030"/>
      <c r="Q19" s="1028" t="s">
        <v>117</v>
      </c>
      <c r="R19" s="1030"/>
    </row>
    <row r="20" spans="1:18" ht="14.3" customHeight="1">
      <c r="A20" s="1039"/>
      <c r="B20" s="1040"/>
      <c r="C20" s="1044"/>
      <c r="D20" s="1045"/>
      <c r="E20" s="1045"/>
      <c r="F20" s="1040"/>
      <c r="G20" s="517" t="s">
        <v>118</v>
      </c>
      <c r="H20" s="517" t="s">
        <v>8</v>
      </c>
      <c r="I20" s="517" t="s">
        <v>79</v>
      </c>
      <c r="J20" s="691" t="s">
        <v>119</v>
      </c>
      <c r="K20" s="1034" t="s">
        <v>79</v>
      </c>
      <c r="L20" s="1035"/>
      <c r="M20" s="1035"/>
      <c r="N20" s="1036"/>
      <c r="O20" s="424" t="s">
        <v>120</v>
      </c>
      <c r="P20" s="544" t="s">
        <v>79</v>
      </c>
      <c r="Q20" s="544" t="s">
        <v>121</v>
      </c>
      <c r="R20" s="188" t="s">
        <v>122</v>
      </c>
    </row>
    <row r="21" spans="1:18" ht="76.75" customHeight="1">
      <c r="A21" s="1011" t="str">
        <f>HYPERLINK("#'C-MovimientoInventario'!V4", 'E-MovimientoInventario'!B7)</f>
        <v>Registrar entrada de inventario por compra</v>
      </c>
      <c r="B21" s="1012"/>
      <c r="C21" s="1011" t="str">
        <f>'E-MovimientoInventario'!C7</f>
        <v>Registrar el ingreso de las existencias recibidas como consecuencia de una compra válida, asociando la entrada con el lote correspondiente.</v>
      </c>
      <c r="D21" s="1017"/>
      <c r="E21" s="1017"/>
      <c r="F21" s="1012"/>
      <c r="G21" s="1020" t="s">
        <v>123</v>
      </c>
      <c r="H21" s="1020" t="s">
        <v>40</v>
      </c>
      <c r="I21" s="1211" t="s">
        <v>709</v>
      </c>
      <c r="J21" s="1214" t="s">
        <v>195</v>
      </c>
      <c r="K21" s="1208" t="s">
        <v>710</v>
      </c>
      <c r="L21" s="1017"/>
      <c r="M21" s="1017"/>
      <c r="N21" s="1012"/>
      <c r="O21" s="776" t="str">
        <f>HYPERLINK("#'P-MovimientoInventario'!A5", 'P-MovimientoInventario'!A5)</f>
        <v>P-MI-001</v>
      </c>
      <c r="P21" s="512" t="str">
        <f>'P-MovimientoInventario'!B5</f>
        <v>Asegurar que los datos requeridos para registrar un movimiento de inventario sean válidos de acuerdo con el tipo de movimiento, cantidad, fecha y demás información obligatoria.</v>
      </c>
      <c r="Q21" s="512" t="s">
        <v>1668</v>
      </c>
      <c r="R21" s="512" t="s">
        <v>127</v>
      </c>
    </row>
    <row r="22" spans="1:18" ht="25.5" customHeight="1">
      <c r="A22" s="1013"/>
      <c r="B22" s="1014"/>
      <c r="C22" s="1013"/>
      <c r="D22" s="1018"/>
      <c r="E22" s="1018"/>
      <c r="F22" s="1014"/>
      <c r="G22" s="1021"/>
      <c r="H22" s="1021"/>
      <c r="I22" s="1212"/>
      <c r="J22" s="1215"/>
      <c r="K22" s="1209"/>
      <c r="L22" s="1018"/>
      <c r="M22" s="1018"/>
      <c r="N22" s="1014"/>
      <c r="O22" s="776" t="str">
        <f>HYPERLINK("#'P-MovimientoInventario'!A6", 'P-MovimientoInventario'!A6)</f>
        <v>P-MI-002</v>
      </c>
      <c r="P22" s="512" t="str">
        <f>'P-MovimientoInventario'!B6</f>
        <v>Asegurar que la clase de movimiento sea valida para la operacion: Entrada para compras y para el lote de reemplazo de un cambio; Salida para ventas y para el lote que se devuelve en un cambio.</v>
      </c>
      <c r="Q22" s="512" t="s">
        <v>1669</v>
      </c>
      <c r="R22" s="512" t="s">
        <v>1670</v>
      </c>
    </row>
    <row r="23" spans="1:18" ht="64.55">
      <c r="A23" s="1013"/>
      <c r="B23" s="1014"/>
      <c r="C23" s="1013"/>
      <c r="D23" s="1018"/>
      <c r="E23" s="1018"/>
      <c r="F23" s="1014"/>
      <c r="G23" s="1021"/>
      <c r="H23" s="1021"/>
      <c r="I23" s="1212"/>
      <c r="J23" s="1215"/>
      <c r="K23" s="1209"/>
      <c r="L23" s="1018"/>
      <c r="M23" s="1018"/>
      <c r="N23" s="1014"/>
      <c r="O23" s="776" t="str">
        <f>HYPERLINK("#'P-MovimientoInventario'!A19", 'P-MovimientoInventario'!A19)</f>
        <v>P-MI-015</v>
      </c>
      <c r="P23" s="512" t="str">
        <f>'P-MovimientoInventario'!B19</f>
        <v>Asegurar que el TipoMovimiento del movimiento exista y pertenezca a una categoria de origen valida (Compra, Venta o Cambio).</v>
      </c>
      <c r="Q23" s="512" t="s">
        <v>1671</v>
      </c>
      <c r="R23" s="512" t="s">
        <v>1672</v>
      </c>
    </row>
    <row r="24" spans="1:18" ht="18.7" customHeight="1">
      <c r="A24" s="1013"/>
      <c r="B24" s="1014"/>
      <c r="C24" s="1013"/>
      <c r="D24" s="1018"/>
      <c r="E24" s="1018"/>
      <c r="F24" s="1014"/>
      <c r="G24" s="1021"/>
      <c r="H24" s="1021"/>
      <c r="I24" s="1212"/>
      <c r="J24" s="1215"/>
      <c r="K24" s="1209"/>
      <c r="L24" s="1018"/>
      <c r="M24" s="1018"/>
      <c r="N24" s="1014"/>
      <c r="O24" s="776" t="str">
        <f>HYPERLINK("#'P-MovimientoInventario'!A12", 'P-MovimientoInventario'!A12)</f>
        <v>P-MI-008</v>
      </c>
      <c r="P24" s="512" t="str">
        <f>'P-MovimientoInventario'!B12</f>
        <v>Asegurar que un movimiento de inventario relacionado con una compra corresponda a un detalle de compra valido y use su mismo TipoMovimiento.</v>
      </c>
      <c r="Q24" s="512" t="s">
        <v>1673</v>
      </c>
      <c r="R24" s="512" t="s">
        <v>1674</v>
      </c>
    </row>
    <row r="25" spans="1:18" ht="19.55" customHeight="1">
      <c r="A25" s="1013"/>
      <c r="B25" s="1014"/>
      <c r="C25" s="1013"/>
      <c r="D25" s="1018"/>
      <c r="E25" s="1018"/>
      <c r="F25" s="1014"/>
      <c r="G25" s="1021"/>
      <c r="H25" s="1021"/>
      <c r="I25" s="1212"/>
      <c r="J25" s="1215"/>
      <c r="K25" s="1209"/>
      <c r="L25" s="1018"/>
      <c r="M25" s="1018"/>
      <c r="N25" s="1014"/>
      <c r="O25" s="776" t="str">
        <f>HYPERLINK("#'P-MovimientoInventario'!A7", 'P-MovimientoInventario'!A7)</f>
        <v>P-MI-003</v>
      </c>
      <c r="P25" s="512" t="str">
        <f>'P-MovimientoInventario'!B7</f>
        <v>Asegurar que el lote sobre el cual se registra el movimiento exista en el sistema.</v>
      </c>
      <c r="Q25" s="512" t="s">
        <v>1675</v>
      </c>
      <c r="R25" s="512" t="s">
        <v>711</v>
      </c>
    </row>
    <row r="26" spans="1:18" ht="18.7" customHeight="1">
      <c r="A26" s="1013"/>
      <c r="B26" s="1014"/>
      <c r="C26" s="1013"/>
      <c r="D26" s="1018"/>
      <c r="E26" s="1018"/>
      <c r="F26" s="1014"/>
      <c r="G26" s="1021"/>
      <c r="H26" s="1021"/>
      <c r="I26" s="1212"/>
      <c r="J26" s="1215"/>
      <c r="K26" s="1209"/>
      <c r="L26" s="1018"/>
      <c r="M26" s="1018"/>
      <c r="N26" s="1014"/>
      <c r="O26" s="776" t="str">
        <f>HYPERLINK("#'P-MovimientoInventario'!A8", 'P-MovimientoInventario'!A8)</f>
        <v>P-MI-004</v>
      </c>
      <c r="P26" s="512" t="str">
        <f>'P-MovimientoInventario'!B8</f>
        <v>Asegurar que la cantidad registrada en un movimiento de inventario sea mayor que cero y como maximo 10.000.</v>
      </c>
      <c r="Q26" s="512" t="s">
        <v>1575</v>
      </c>
      <c r="R26" s="512" t="s">
        <v>1437</v>
      </c>
    </row>
    <row r="27" spans="1:18" ht="18" customHeight="1">
      <c r="A27" s="1013"/>
      <c r="B27" s="1014"/>
      <c r="C27" s="1013"/>
      <c r="D27" s="1018"/>
      <c r="E27" s="1018"/>
      <c r="F27" s="1014"/>
      <c r="G27" s="1021"/>
      <c r="H27" s="1021"/>
      <c r="I27" s="1212"/>
      <c r="J27" s="1215"/>
      <c r="K27" s="1209"/>
      <c r="L27" s="1018"/>
      <c r="M27" s="1018"/>
      <c r="N27" s="1014"/>
      <c r="O27" s="776" t="str">
        <f>HYPERLINK("#'P-MovimientoInventario'!A17", 'P-MovimientoInventario'!A17)</f>
        <v>P-MI-013</v>
      </c>
      <c r="P27" s="512" t="str">
        <f>'P-MovimientoInventario'!B17</f>
        <v>Asegurar que no exista otro movimiento de inventario con el mismo Codigo de operacion y el mismo Lote.</v>
      </c>
      <c r="Q27" s="512" t="s">
        <v>1676</v>
      </c>
      <c r="R27" s="512" t="s">
        <v>1283</v>
      </c>
    </row>
    <row r="28" spans="1:18" ht="16.5" customHeight="1">
      <c r="A28" s="1013"/>
      <c r="B28" s="1014"/>
      <c r="C28" s="1013"/>
      <c r="D28" s="1018"/>
      <c r="E28" s="1018"/>
      <c r="F28" s="1014"/>
      <c r="G28" s="1021"/>
      <c r="H28" s="1021"/>
      <c r="I28" s="1212"/>
      <c r="J28" s="1215"/>
      <c r="K28" s="1209"/>
      <c r="L28" s="1018"/>
      <c r="M28" s="1018"/>
      <c r="N28" s="1014"/>
      <c r="O28" s="776" t="str">
        <f>HYPERLINK("#'P-MovimientoInventario'!A15", 'P-MovimientoInventario'!A15)</f>
        <v>P-MI-011</v>
      </c>
      <c r="P28" s="512" t="str">
        <f>'P-MovimientoInventario'!B15</f>
        <v>La Cantidad del movimiento se copia de la operacion que lo genera y queda fija: del DetalleCompra para Compra, del ConsumoVenta para Venta (repartida entre los lotes por FIFO) y del Cambio para Cambio. No se recalcula despues, aunque la receta cambie.</v>
      </c>
      <c r="Q28" s="512" t="s">
        <v>1677</v>
      </c>
      <c r="R28" s="512" t="s">
        <v>1678</v>
      </c>
    </row>
    <row r="29" spans="1:18" ht="18.7" customHeight="1">
      <c r="A29" s="1015"/>
      <c r="B29" s="1016"/>
      <c r="C29" s="1015"/>
      <c r="D29" s="1019"/>
      <c r="E29" s="1019"/>
      <c r="F29" s="1016"/>
      <c r="G29" s="1022"/>
      <c r="H29" s="1022"/>
      <c r="I29" s="1213"/>
      <c r="J29" s="1215"/>
      <c r="K29" s="1210"/>
      <c r="L29" s="1019"/>
      <c r="M29" s="1019"/>
      <c r="N29" s="1016"/>
      <c r="O29" s="776" t="str">
        <f>HYPERLINK("#'P-MovimientoInventario'!A21", 'P-MovimientoInventario'!A21)</f>
        <v>P-MI-017</v>
      </c>
      <c r="P29" s="512" t="str">
        <f>'P-MovimientoInventario'!B21</f>
        <v>Al registrar un movimiento se actualiza el saldo del lote afectado y la cantidad total del inventario del producto interno.</v>
      </c>
      <c r="Q29" s="512" t="s">
        <v>1679</v>
      </c>
      <c r="R29" s="512" t="s">
        <v>1442</v>
      </c>
    </row>
    <row r="30" spans="1:18" ht="17.5" customHeight="1">
      <c r="A30" s="978" t="str">
        <f>HYPERLINK("#'C-MovimientoInventario'!W4", 'E-MovimientoInventario'!B16)</f>
        <v>Registrar salida de inventario por venta</v>
      </c>
      <c r="B30" s="979"/>
      <c r="C30" s="978" t="str">
        <f>'E-MovimientoInventario'!C16</f>
        <v>Registra la salida de los productos internos consumidos en una venta confirmada, descontandolos de los lotes por FIFO.</v>
      </c>
      <c r="D30" s="984"/>
      <c r="E30" s="984"/>
      <c r="F30" s="979"/>
      <c r="G30" s="996" t="s">
        <v>123</v>
      </c>
      <c r="H30" s="996" t="s">
        <v>58</v>
      </c>
      <c r="I30" s="996" t="s">
        <v>1680</v>
      </c>
      <c r="J30" s="997" t="s">
        <v>195</v>
      </c>
      <c r="K30" s="978" t="s">
        <v>712</v>
      </c>
      <c r="L30" s="984"/>
      <c r="M30" s="984"/>
      <c r="N30" s="979"/>
      <c r="O30" s="793" t="str">
        <f>HYPERLINK("#'P-MovimientoInventario'!A5", 'P-MovimientoInventario'!A5)</f>
        <v>P-MI-001</v>
      </c>
      <c r="P30" s="587" t="str">
        <f>'P-MovimientoInventario'!B5</f>
        <v>Asegurar que los datos requeridos para registrar un movimiento de inventario sean válidos de acuerdo con el tipo de movimiento, cantidad, fecha y demás información obligatoria.</v>
      </c>
      <c r="Q30" s="587" t="s">
        <v>1668</v>
      </c>
      <c r="R30" s="587" t="s">
        <v>127</v>
      </c>
    </row>
    <row r="31" spans="1:18" ht="18.7" customHeight="1">
      <c r="A31" s="980"/>
      <c r="B31" s="981"/>
      <c r="C31" s="980"/>
      <c r="D31" s="985"/>
      <c r="E31" s="985"/>
      <c r="F31" s="981"/>
      <c r="G31" s="997"/>
      <c r="H31" s="997"/>
      <c r="I31" s="997"/>
      <c r="J31" s="997"/>
      <c r="K31" s="980"/>
      <c r="L31" s="985"/>
      <c r="M31" s="985"/>
      <c r="N31" s="981"/>
      <c r="O31" s="793" t="str">
        <f>HYPERLINK("#'P-MovimientoInventario'!A6", 'P-MovimientoInventario'!A6)</f>
        <v>P-MI-002</v>
      </c>
      <c r="P31" s="587" t="str">
        <f>'P-MovimientoInventario'!B6</f>
        <v>Asegurar que la clase de movimiento sea valida para la operacion: Entrada para compras y para el lote de reemplazo de un cambio; Salida para ventas y para el lote que se devuelve en un cambio.</v>
      </c>
      <c r="Q31" s="587" t="s">
        <v>1669</v>
      </c>
      <c r="R31" s="587" t="s">
        <v>1670</v>
      </c>
    </row>
    <row r="32" spans="1:18" ht="29.25" customHeight="1">
      <c r="A32" s="980"/>
      <c r="B32" s="981"/>
      <c r="C32" s="980"/>
      <c r="D32" s="985"/>
      <c r="E32" s="985"/>
      <c r="F32" s="981"/>
      <c r="G32" s="997"/>
      <c r="H32" s="997"/>
      <c r="I32" s="997"/>
      <c r="J32" s="997"/>
      <c r="K32" s="980"/>
      <c r="L32" s="985"/>
      <c r="M32" s="985"/>
      <c r="N32" s="981"/>
      <c r="O32" s="793" t="str">
        <f>HYPERLINK("#'P-MovimientoInventario'!A19", 'P-MovimientoInventario'!A19)</f>
        <v>P-MI-015</v>
      </c>
      <c r="P32" s="587" t="str">
        <f>'P-MovimientoInventario'!B19</f>
        <v>Asegurar que el TipoMovimiento del movimiento exista y pertenezca a una categoria de origen valida (Compra, Venta o Cambio).</v>
      </c>
      <c r="Q32" s="587" t="s">
        <v>1671</v>
      </c>
      <c r="R32" s="587" t="s">
        <v>1672</v>
      </c>
    </row>
    <row r="33" spans="1:18" ht="20.25" customHeight="1">
      <c r="A33" s="980"/>
      <c r="B33" s="981"/>
      <c r="C33" s="980"/>
      <c r="D33" s="985"/>
      <c r="E33" s="985"/>
      <c r="F33" s="981"/>
      <c r="G33" s="997"/>
      <c r="H33" s="997"/>
      <c r="I33" s="997"/>
      <c r="J33" s="997"/>
      <c r="K33" s="980"/>
      <c r="L33" s="985"/>
      <c r="M33" s="985"/>
      <c r="N33" s="981"/>
      <c r="O33" s="793" t="str">
        <f>HYPERLINK("#'P-MovimientoInventario'!A13", 'P-MovimientoInventario'!A13)</f>
        <v>P-MI-009</v>
      </c>
      <c r="P33" s="587" t="str">
        <f>'P-MovimientoInventario'!B13</f>
        <v>Asegurar que un movimiento de Salida por venta corresponda a un consumo de venta valido y use su mismo TipoMovimiento.</v>
      </c>
      <c r="Q33" s="587" t="s">
        <v>1681</v>
      </c>
      <c r="R33" s="587" t="s">
        <v>1682</v>
      </c>
    </row>
    <row r="34" spans="1:18" ht="17.5" customHeight="1">
      <c r="A34" s="980"/>
      <c r="B34" s="981"/>
      <c r="C34" s="980"/>
      <c r="D34" s="985"/>
      <c r="E34" s="985"/>
      <c r="F34" s="981"/>
      <c r="G34" s="997"/>
      <c r="H34" s="997"/>
      <c r="I34" s="997"/>
      <c r="J34" s="997"/>
      <c r="K34" s="980"/>
      <c r="L34" s="985"/>
      <c r="M34" s="985"/>
      <c r="N34" s="981"/>
      <c r="O34" s="793" t="str">
        <f>HYPERLINK("#'P-MovimientoInventario'!A20", 'P-MovimientoInventario'!A20)</f>
        <v>P-MI-016</v>
      </c>
      <c r="P34" s="587" t="str">
        <f>'P-MovimientoInventario'!B20</f>
        <v>Asegurar que las salidas por venta se tomen por FIFO: primero del lote mas antiguo con saldo disponible del producto interno, pasando al siguiente lote cuando el saldo no alcance.</v>
      </c>
      <c r="Q34" s="587" t="s">
        <v>1683</v>
      </c>
      <c r="R34" s="587" t="s">
        <v>1285</v>
      </c>
    </row>
    <row r="35" spans="1:18" ht="18" customHeight="1">
      <c r="A35" s="980"/>
      <c r="B35" s="981"/>
      <c r="C35" s="980"/>
      <c r="D35" s="985"/>
      <c r="E35" s="985"/>
      <c r="F35" s="981"/>
      <c r="G35" s="997"/>
      <c r="H35" s="997"/>
      <c r="I35" s="997"/>
      <c r="J35" s="997"/>
      <c r="K35" s="980"/>
      <c r="L35" s="985"/>
      <c r="M35" s="985"/>
      <c r="N35" s="981"/>
      <c r="O35" s="793" t="str">
        <f>HYPERLINK("#'P-MovimientoInventario'!A7", 'P-MovimientoInventario'!A7)</f>
        <v>P-MI-003</v>
      </c>
      <c r="P35" s="587" t="str">
        <f>'P-MovimientoInventario'!B7</f>
        <v>Asegurar que el lote sobre el cual se registra el movimiento exista en el sistema.</v>
      </c>
      <c r="Q35" s="587" t="s">
        <v>1675</v>
      </c>
      <c r="R35" s="587" t="s">
        <v>711</v>
      </c>
    </row>
    <row r="36" spans="1:18" ht="16.5" customHeight="1">
      <c r="A36" s="980"/>
      <c r="B36" s="981"/>
      <c r="C36" s="980"/>
      <c r="D36" s="985"/>
      <c r="E36" s="985"/>
      <c r="F36" s="981"/>
      <c r="G36" s="997"/>
      <c r="H36" s="997"/>
      <c r="I36" s="997"/>
      <c r="J36" s="997"/>
      <c r="K36" s="980"/>
      <c r="L36" s="985"/>
      <c r="M36" s="985"/>
      <c r="N36" s="981"/>
      <c r="O36" s="793" t="str">
        <f>HYPERLINK("#'P-MovimientoInventario'!A8", 'P-MovimientoInventario'!A8)</f>
        <v>P-MI-004</v>
      </c>
      <c r="P36" s="587" t="str">
        <f>'P-MovimientoInventario'!B8</f>
        <v>Asegurar que la cantidad registrada en un movimiento de inventario sea mayor que cero y como maximo 10.000.</v>
      </c>
      <c r="Q36" s="587" t="s">
        <v>1575</v>
      </c>
      <c r="R36" s="587" t="s">
        <v>1437</v>
      </c>
    </row>
    <row r="37" spans="1:18" ht="18.7" customHeight="1">
      <c r="A37" s="980"/>
      <c r="B37" s="981"/>
      <c r="C37" s="980"/>
      <c r="D37" s="985"/>
      <c r="E37" s="985"/>
      <c r="F37" s="981"/>
      <c r="G37" s="997"/>
      <c r="H37" s="997"/>
      <c r="I37" s="997"/>
      <c r="J37" s="997"/>
      <c r="K37" s="980"/>
      <c r="L37" s="985"/>
      <c r="M37" s="985"/>
      <c r="N37" s="981"/>
      <c r="O37" s="793" t="str">
        <f>HYPERLINK("#'P-MovimientoInventario'!A17", 'P-MovimientoInventario'!A17)</f>
        <v>P-MI-013</v>
      </c>
      <c r="P37" s="587" t="str">
        <f>'P-MovimientoInventario'!B17</f>
        <v>Asegurar que no exista otro movimiento de inventario con el mismo Codigo de operacion y el mismo Lote.</v>
      </c>
      <c r="Q37" s="587" t="s">
        <v>1676</v>
      </c>
      <c r="R37" s="587" t="s">
        <v>1283</v>
      </c>
    </row>
    <row r="38" spans="1:18" ht="18" customHeight="1">
      <c r="A38" s="980"/>
      <c r="B38" s="981"/>
      <c r="C38" s="980"/>
      <c r="D38" s="985"/>
      <c r="E38" s="985"/>
      <c r="F38" s="981"/>
      <c r="G38" s="997"/>
      <c r="H38" s="997"/>
      <c r="I38" s="997"/>
      <c r="J38" s="997"/>
      <c r="K38" s="980"/>
      <c r="L38" s="985"/>
      <c r="M38" s="985"/>
      <c r="N38" s="981"/>
      <c r="O38" s="793" t="str">
        <f>HYPERLINK("#'P-MovimientoInventario'!A15", 'P-MovimientoInventario'!A15)</f>
        <v>P-MI-011</v>
      </c>
      <c r="P38" s="587" t="str">
        <f>'P-MovimientoInventario'!B15</f>
        <v>La Cantidad del movimiento se copia de la operacion que lo genera y queda fija: del DetalleCompra para Compra, del ConsumoVenta para Venta (repartida entre los lotes por FIFO) y del Cambio para Cambio. No se recalcula despues, aunque la receta cambie.</v>
      </c>
      <c r="Q38" s="587" t="s">
        <v>1677</v>
      </c>
      <c r="R38" s="587" t="s">
        <v>1678</v>
      </c>
    </row>
    <row r="39" spans="1:18" ht="18.7" customHeight="1">
      <c r="A39" s="982"/>
      <c r="B39" s="983"/>
      <c r="C39" s="982"/>
      <c r="D39" s="986"/>
      <c r="E39" s="986"/>
      <c r="F39" s="983"/>
      <c r="G39" s="998"/>
      <c r="H39" s="998"/>
      <c r="I39" s="998"/>
      <c r="J39" s="998"/>
      <c r="K39" s="982"/>
      <c r="L39" s="986"/>
      <c r="M39" s="986"/>
      <c r="N39" s="983"/>
      <c r="O39" s="793" t="str">
        <f>HYPERLINK("#'P-MovimientoInventario'!A21", 'P-MovimientoInventario'!A21)</f>
        <v>P-MI-017</v>
      </c>
      <c r="P39" s="587" t="str">
        <f>'P-MovimientoInventario'!B21</f>
        <v>Al registrar un movimiento se actualiza el saldo del lote afectado y la cantidad total del inventario del producto interno.</v>
      </c>
      <c r="Q39" s="587" t="s">
        <v>1679</v>
      </c>
      <c r="R39" s="587" t="s">
        <v>1442</v>
      </c>
    </row>
    <row r="40" spans="1:18" ht="13.75" customHeight="1">
      <c r="A40" s="1477" t="str">
        <f>HYPERLINK("#'C-MovimientoInventario'!X4", 'E-MovimientoInventario'!B26)</f>
        <v>Registrar movimientos por cambio de producto</v>
      </c>
      <c r="B40" s="1478"/>
      <c r="C40" s="1477" t="str">
        <f>'E-MovimientoInventario'!C26</f>
        <v>Cuando se registra el cambio de un producto no perecedero, registra la Salida del lote que se devuelve al proveedor y la Entrada del lote de reemplazo, con el TipoMovimiento del cambio.</v>
      </c>
      <c r="D40" s="1481"/>
      <c r="E40" s="1481"/>
      <c r="F40" s="1478"/>
      <c r="G40" s="1483" t="s">
        <v>123</v>
      </c>
      <c r="H40" s="1483" t="s">
        <v>713</v>
      </c>
      <c r="I40" s="1483" t="s">
        <v>714</v>
      </c>
      <c r="J40" s="1483" t="s">
        <v>195</v>
      </c>
      <c r="K40" s="1477" t="s">
        <v>715</v>
      </c>
      <c r="L40" s="1481"/>
      <c r="M40" s="1481"/>
      <c r="N40" s="1478"/>
      <c r="O40" s="820" t="str">
        <f>HYPERLINK("#'P-MovimientoInventario'!A5", 'P-MovimientoInventario'!A5)</f>
        <v>P-MI-001</v>
      </c>
      <c r="P40" s="586" t="str">
        <f>'P-MovimientoInventario'!B5</f>
        <v>Asegurar que los datos requeridos para registrar un movimiento de inventario sean válidos de acuerdo con el tipo de movimiento, cantidad, fecha y demás información obligatoria.</v>
      </c>
      <c r="Q40" s="586" t="s">
        <v>1668</v>
      </c>
      <c r="R40" s="586" t="s">
        <v>127</v>
      </c>
    </row>
    <row r="41" spans="1:18" ht="14.95" customHeight="1">
      <c r="A41" s="1479"/>
      <c r="B41" s="1480"/>
      <c r="C41" s="1479"/>
      <c r="D41" s="1482"/>
      <c r="E41" s="1482"/>
      <c r="F41" s="1480"/>
      <c r="G41" s="1484"/>
      <c r="H41" s="1484"/>
      <c r="I41" s="1484"/>
      <c r="J41" s="1484"/>
      <c r="K41" s="1479"/>
      <c r="L41" s="1482"/>
      <c r="M41" s="1482"/>
      <c r="N41" s="1480"/>
      <c r="O41" s="820" t="str">
        <f>HYPERLINK("#'P-MovimientoInventario'!A6", 'P-MovimientoInventario'!A6)</f>
        <v>P-MI-002</v>
      </c>
      <c r="P41" s="586" t="str">
        <f>'P-MovimientoInventario'!B6</f>
        <v>Asegurar que la clase de movimiento sea valida para la operacion: Entrada para compras y para el lote de reemplazo de un cambio; Salida para ventas y para el lote que se devuelve en un cambio.</v>
      </c>
      <c r="Q41" s="586" t="s">
        <v>1669</v>
      </c>
      <c r="R41" s="586" t="s">
        <v>1670</v>
      </c>
    </row>
    <row r="42" spans="1:18" ht="12.75" customHeight="1">
      <c r="A42" s="1479"/>
      <c r="B42" s="1480"/>
      <c r="C42" s="1479"/>
      <c r="D42" s="1482"/>
      <c r="E42" s="1482"/>
      <c r="F42" s="1480"/>
      <c r="G42" s="1484"/>
      <c r="H42" s="1484"/>
      <c r="I42" s="1484"/>
      <c r="J42" s="1484"/>
      <c r="K42" s="1479"/>
      <c r="L42" s="1482"/>
      <c r="M42" s="1482"/>
      <c r="N42" s="1480"/>
      <c r="O42" s="820" t="str">
        <f>HYPERLINK("#'P-MovimientoInventario'!A19", 'P-MovimientoInventario'!A19)</f>
        <v>P-MI-015</v>
      </c>
      <c r="P42" s="586" t="str">
        <f>'P-MovimientoInventario'!B19</f>
        <v>Asegurar que el TipoMovimiento del movimiento exista y pertenezca a una categoria de origen valida (Compra, Venta o Cambio).</v>
      </c>
      <c r="Q42" s="586" t="s">
        <v>1671</v>
      </c>
      <c r="R42" s="586" t="s">
        <v>1672</v>
      </c>
    </row>
    <row r="43" spans="1:18" ht="19.55" customHeight="1">
      <c r="A43" s="1479"/>
      <c r="B43" s="1480"/>
      <c r="C43" s="1479"/>
      <c r="D43" s="1482"/>
      <c r="E43" s="1482"/>
      <c r="F43" s="1480"/>
      <c r="G43" s="1484"/>
      <c r="H43" s="1484"/>
      <c r="I43" s="1484"/>
      <c r="J43" s="1484"/>
      <c r="K43" s="1479"/>
      <c r="L43" s="1482"/>
      <c r="M43" s="1482"/>
      <c r="N43" s="1480"/>
      <c r="O43" s="820" t="str">
        <f>HYPERLINK("#'P-MovimientoInventario'!A16", 'P-MovimientoInventario'!A16)</f>
        <v>P-MI-012</v>
      </c>
      <c r="P43" s="586" t="str">
        <f>'P-MovimientoInventario'!B16</f>
        <v>Asegurar que un movimiento de inventario relacionado con un Cambio corresponda a un registro de Cambio valido y existente.</v>
      </c>
      <c r="Q43" s="586" t="s">
        <v>1684</v>
      </c>
      <c r="R43" s="586" t="s">
        <v>1685</v>
      </c>
    </row>
    <row r="44" spans="1:18" ht="18" customHeight="1">
      <c r="A44" s="1479"/>
      <c r="B44" s="1480"/>
      <c r="C44" s="1479"/>
      <c r="D44" s="1482"/>
      <c r="E44" s="1482"/>
      <c r="F44" s="1480"/>
      <c r="G44" s="1484"/>
      <c r="H44" s="1484"/>
      <c r="I44" s="1484"/>
      <c r="J44" s="1484"/>
      <c r="K44" s="1479"/>
      <c r="L44" s="1482"/>
      <c r="M44" s="1482"/>
      <c r="N44" s="1480"/>
      <c r="O44" s="820" t="str">
        <f>HYPERLINK("#'P-MovimientoInventario'!A18", 'P-MovimientoInventario'!A18)</f>
        <v>P-MI-014</v>
      </c>
      <c r="P44" s="586" t="str">
        <f>'P-MovimientoInventario'!B18</f>
        <v>Asegurar que un movimiento con categoria de origen Cambio solo se genere para un producto interno no perecedero.</v>
      </c>
      <c r="Q44" s="586" t="s">
        <v>1686</v>
      </c>
      <c r="R44" s="586" t="s">
        <v>1687</v>
      </c>
    </row>
    <row r="45" spans="1:18" ht="14.95" customHeight="1">
      <c r="A45" s="1479"/>
      <c r="B45" s="1480"/>
      <c r="C45" s="1479"/>
      <c r="D45" s="1482"/>
      <c r="E45" s="1482"/>
      <c r="F45" s="1480"/>
      <c r="G45" s="1484"/>
      <c r="H45" s="1484"/>
      <c r="I45" s="1484"/>
      <c r="J45" s="1484"/>
      <c r="K45" s="1479"/>
      <c r="L45" s="1482"/>
      <c r="M45" s="1482"/>
      <c r="N45" s="1480"/>
      <c r="O45" s="820" t="str">
        <f>HYPERLINK("#'P-MovimientoInventario'!A7", 'P-MovimientoInventario'!A7)</f>
        <v>P-MI-003</v>
      </c>
      <c r="P45" s="586" t="str">
        <f>'P-MovimientoInventario'!B7</f>
        <v>Asegurar que el lote sobre el cual se registra el movimiento exista en el sistema.</v>
      </c>
      <c r="Q45" s="586" t="s">
        <v>1675</v>
      </c>
      <c r="R45" s="586" t="s">
        <v>711</v>
      </c>
    </row>
    <row r="46" spans="1:18" ht="14.95" customHeight="1">
      <c r="A46" s="1479"/>
      <c r="B46" s="1480"/>
      <c r="C46" s="1479"/>
      <c r="D46" s="1482"/>
      <c r="E46" s="1482"/>
      <c r="F46" s="1480"/>
      <c r="G46" s="1484"/>
      <c r="H46" s="1484"/>
      <c r="I46" s="1484"/>
      <c r="J46" s="1484"/>
      <c r="K46" s="1479"/>
      <c r="L46" s="1482"/>
      <c r="M46" s="1482"/>
      <c r="N46" s="1480"/>
      <c r="O46" s="820" t="str">
        <f>HYPERLINK("#'P-MovimientoInventario'!A8", 'P-MovimientoInventario'!A8)</f>
        <v>P-MI-004</v>
      </c>
      <c r="P46" s="586" t="str">
        <f>'P-MovimientoInventario'!B8</f>
        <v>Asegurar que la cantidad registrada en un movimiento de inventario sea mayor que cero y como maximo 10.000.</v>
      </c>
      <c r="Q46" s="586" t="s">
        <v>1575</v>
      </c>
      <c r="R46" s="586" t="s">
        <v>1437</v>
      </c>
    </row>
    <row r="47" spans="1:18" ht="14.3" customHeight="1">
      <c r="A47" s="1479"/>
      <c r="B47" s="1480"/>
      <c r="C47" s="1479"/>
      <c r="D47" s="1482"/>
      <c r="E47" s="1482"/>
      <c r="F47" s="1480"/>
      <c r="G47" s="1484"/>
      <c r="H47" s="1484"/>
      <c r="I47" s="1484"/>
      <c r="J47" s="1484"/>
      <c r="K47" s="1479"/>
      <c r="L47" s="1482"/>
      <c r="M47" s="1482"/>
      <c r="N47" s="1480"/>
      <c r="O47" s="820" t="str">
        <f>HYPERLINK("#'P-MovimientoInventario'!A17", 'P-MovimientoInventario'!A17)</f>
        <v>P-MI-013</v>
      </c>
      <c r="P47" s="586" t="str">
        <f>'P-MovimientoInventario'!B17</f>
        <v>Asegurar que no exista otro movimiento de inventario con el mismo Codigo de operacion y el mismo Lote.</v>
      </c>
      <c r="Q47" s="586" t="s">
        <v>1676</v>
      </c>
      <c r="R47" s="586" t="s">
        <v>1283</v>
      </c>
    </row>
    <row r="48" spans="1:18" ht="19.55" customHeight="1">
      <c r="A48" s="1479"/>
      <c r="B48" s="1480"/>
      <c r="C48" s="1479"/>
      <c r="D48" s="1482"/>
      <c r="E48" s="1482"/>
      <c r="F48" s="1480"/>
      <c r="G48" s="1484"/>
      <c r="H48" s="1484"/>
      <c r="I48" s="1484"/>
      <c r="J48" s="1484"/>
      <c r="K48" s="1479"/>
      <c r="L48" s="1482"/>
      <c r="M48" s="1482"/>
      <c r="N48" s="1480"/>
      <c r="O48" s="820" t="str">
        <f>HYPERLINK("#'P-MovimientoInventario'!A15", 'P-MovimientoInventario'!A15)</f>
        <v>P-MI-011</v>
      </c>
      <c r="P48" s="586" t="str">
        <f>'P-MovimientoInventario'!B15</f>
        <v>La Cantidad del movimiento se copia de la operacion que lo genera y queda fija: del DetalleCompra para Compra, del ConsumoVenta para Venta (repartida entre los lotes por FIFO) y del Cambio para Cambio. No se recalcula despues, aunque la receta cambie.</v>
      </c>
      <c r="Q48" s="586" t="s">
        <v>1677</v>
      </c>
      <c r="R48" s="586" t="s">
        <v>1678</v>
      </c>
    </row>
    <row r="49" spans="1:18">
      <c r="A49" s="1479"/>
      <c r="B49" s="1480"/>
      <c r="C49" s="1479"/>
      <c r="D49" s="1482"/>
      <c r="E49" s="1482"/>
      <c r="F49" s="1480"/>
      <c r="G49" s="1484"/>
      <c r="H49" s="1484"/>
      <c r="I49" s="1484"/>
      <c r="J49" s="1484"/>
      <c r="K49" s="1479"/>
      <c r="L49" s="1482"/>
      <c r="M49" s="1482"/>
      <c r="N49" s="1480"/>
      <c r="O49" s="820" t="str">
        <f>HYPERLINK("#'P-MovimientoInventario'!A21", 'P-MovimientoInventario'!A21)</f>
        <v>P-MI-017</v>
      </c>
      <c r="P49" s="862" t="str">
        <f>'P-MovimientoInventario'!B21</f>
        <v>Al registrar un movimiento se actualiza el saldo del lote afectado y la cantidad total del inventario del producto interno.</v>
      </c>
      <c r="Q49" s="862" t="s">
        <v>1679</v>
      </c>
      <c r="R49" s="862" t="s">
        <v>1442</v>
      </c>
    </row>
    <row r="50" spans="1:18" ht="26.5" customHeight="1">
      <c r="A50" s="1485" t="str">
        <f>HYPERLINK("#'C-MovimientoInventario'!Y4", 'E-MovimientoInventario'!B36)</f>
        <v>Consultar movimientos de un lote</v>
      </c>
      <c r="B50" s="1485"/>
      <c r="C50" s="1485" t="str">
        <f>'E-MovimientoInventario'!C36</f>
        <v>Permite consultar las entradas y salidas registradas sobre un lote, para conocer la trazabilidad de sus existencias.</v>
      </c>
      <c r="D50" s="1485"/>
      <c r="E50" s="1485"/>
      <c r="F50" s="1485"/>
      <c r="G50" s="1485" t="s">
        <v>16</v>
      </c>
      <c r="H50" s="1485" t="s">
        <v>299</v>
      </c>
      <c r="I50" s="1485" t="s">
        <v>1688</v>
      </c>
      <c r="J50" s="1485" t="s">
        <v>1689</v>
      </c>
      <c r="K50" s="1485" t="s">
        <v>1690</v>
      </c>
      <c r="L50" s="1485"/>
      <c r="M50" s="1485"/>
      <c r="N50" s="1485"/>
      <c r="O50" s="896" t="str">
        <f>HYPERLINK("#'P-MovimientoInventario'!A7", 'P-MovimientoInventario'!A7)</f>
        <v>P-MI-003</v>
      </c>
      <c r="P50" s="588" t="str">
        <f>'P-MovimientoInventario'!B7</f>
        <v>Asegurar que el lote sobre el cual se registra el movimiento exista en el sistema.</v>
      </c>
      <c r="Q50" s="588" t="s">
        <v>1691</v>
      </c>
      <c r="R50" s="588" t="s">
        <v>679</v>
      </c>
    </row>
    <row r="51" spans="1:18" ht="17.5" customHeight="1">
      <c r="A51" s="1485"/>
      <c r="B51" s="1485"/>
      <c r="C51" s="1485"/>
      <c r="D51" s="1485"/>
      <c r="E51" s="1485"/>
      <c r="F51" s="1485"/>
      <c r="G51" s="1485"/>
      <c r="H51" s="1485"/>
      <c r="I51" s="1485"/>
      <c r="J51" s="1485"/>
      <c r="K51" s="1485"/>
      <c r="L51" s="1485"/>
      <c r="M51" s="1485"/>
      <c r="N51" s="1485"/>
      <c r="O51" s="896" t="str">
        <f>HYPERLINK("#'P-MovimientoInventario'!A9", 'P-MovimientoInventario'!A9)</f>
        <v>P-MI-005</v>
      </c>
      <c r="P51" s="588" t="str">
        <f>'P-MovimientoInventario'!B9</f>
        <v>El retiro de producto de un lote por vencimiento no es un movimiento de inventario: se registra como SalidaLote, que descuenta el saldo del lote.</v>
      </c>
      <c r="Q51" s="588" t="s">
        <v>1692</v>
      </c>
      <c r="R51" s="588" t="s">
        <v>1693</v>
      </c>
    </row>
    <row r="53" spans="1:18" ht="11.25" customHeight="1"/>
    <row r="54" spans="1:18" ht="5.3" hidden="1" customHeight="1"/>
    <row r="55" spans="1:18" ht="12.75" hidden="1" customHeight="1"/>
    <row r="56" spans="1:18" ht="12.75" hidden="1" customHeight="1"/>
    <row r="57" spans="1:18" ht="12.75" hidden="1" customHeight="1"/>
    <row r="58" spans="1:18" ht="12.75" hidden="1" customHeight="1"/>
  </sheetData>
  <mergeCells count="39">
    <mergeCell ref="A50:B51"/>
    <mergeCell ref="C50:F51"/>
    <mergeCell ref="K50:N51"/>
    <mergeCell ref="G50:G51"/>
    <mergeCell ref="H50:H51"/>
    <mergeCell ref="I50:I51"/>
    <mergeCell ref="J50:J51"/>
    <mergeCell ref="A40:B49"/>
    <mergeCell ref="C40:F49"/>
    <mergeCell ref="K40:N49"/>
    <mergeCell ref="G40:G49"/>
    <mergeCell ref="H40:H49"/>
    <mergeCell ref="I40:I49"/>
    <mergeCell ref="J40:J49"/>
    <mergeCell ref="A30:B39"/>
    <mergeCell ref="C30:F39"/>
    <mergeCell ref="K30:N39"/>
    <mergeCell ref="G30:G39"/>
    <mergeCell ref="H30:H39"/>
    <mergeCell ref="I30:I39"/>
    <mergeCell ref="J30:J39"/>
    <mergeCell ref="A21:B29"/>
    <mergeCell ref="C21:F29"/>
    <mergeCell ref="K21:N29"/>
    <mergeCell ref="G21:G29"/>
    <mergeCell ref="H21:H29"/>
    <mergeCell ref="I21:I29"/>
    <mergeCell ref="J21:J29"/>
    <mergeCell ref="K20:N20"/>
    <mergeCell ref="B14:B15"/>
    <mergeCell ref="B3:U3"/>
    <mergeCell ref="A19:B20"/>
    <mergeCell ref="C19:F20"/>
    <mergeCell ref="A14:A15"/>
    <mergeCell ref="B2:U2"/>
    <mergeCell ref="O19:P19"/>
    <mergeCell ref="G19:I19"/>
    <mergeCell ref="Q19:R19"/>
    <mergeCell ref="J19:N19"/>
  </mergeCells>
  <hyperlinks>
    <hyperlink ref="A1" location="'Modelo de dominio'!A1" display="&lt;&lt;&lt;Modelo de Dominio" xr:uid="{00000000-0004-0000-2600-000000000000}"/>
    <hyperlink ref="B1" location="'Objetos de dominio'!A1" display="&lt;&lt;&lt;Objetos de Dominio" xr:uid="{00000000-0004-0000-2600-000001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66">
    <outlinePr summaryBelow="0" summaryRight="0"/>
  </sheetPr>
  <dimension ref="A1:WQJ981"/>
  <sheetViews>
    <sheetView zoomScale="56" workbookViewId="0">
      <selection activeCell="J36" sqref="A36:J37"/>
    </sheetView>
  </sheetViews>
  <sheetFormatPr baseColWidth="10" defaultColWidth="12.625" defaultRowHeight="12.9"/>
  <cols>
    <col min="1" max="1" width="17" bestFit="1" customWidth="1"/>
    <col min="2" max="2" width="36.125" bestFit="1" customWidth="1"/>
    <col min="3" max="3" width="128.375" bestFit="1" customWidth="1"/>
    <col min="4" max="4" width="26.375" bestFit="1" customWidth="1"/>
    <col min="5" max="5" width="24.75" bestFit="1" customWidth="1"/>
    <col min="6" max="6" width="79.375" bestFit="1" customWidth="1"/>
    <col min="7" max="7" width="17.375" bestFit="1" customWidth="1"/>
    <col min="8" max="8" width="13.75" bestFit="1" customWidth="1"/>
    <col min="9" max="9" width="37.125" bestFit="1" customWidth="1"/>
    <col min="10" max="10" width="19.875" bestFit="1" customWidth="1"/>
  </cols>
  <sheetData>
    <row r="1" spans="1:25 16000:16000">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16000:16000" ht="13.75" customHeight="1">
      <c r="A2" s="62" t="s">
        <v>209</v>
      </c>
      <c r="B2" s="1489" t="s">
        <v>195</v>
      </c>
      <c r="C2" s="1032"/>
      <c r="D2" s="1032"/>
      <c r="E2" s="1032"/>
      <c r="F2" s="1032"/>
      <c r="G2" s="1032"/>
      <c r="H2" s="1032"/>
      <c r="I2" s="1032"/>
      <c r="J2" s="1033"/>
      <c r="K2" s="73"/>
      <c r="L2" s="73"/>
      <c r="M2" s="73"/>
      <c r="N2" s="73"/>
      <c r="O2" s="73"/>
      <c r="P2" s="73"/>
      <c r="Q2" s="73"/>
      <c r="R2" s="73"/>
      <c r="S2" s="73"/>
      <c r="T2" s="73"/>
      <c r="U2" s="73"/>
      <c r="V2" s="73"/>
      <c r="W2" s="73"/>
      <c r="X2" s="73"/>
      <c r="Y2" s="73"/>
    </row>
    <row r="3" spans="1:25 16000:16000" ht="13.75" customHeight="1">
      <c r="A3" s="63" t="s">
        <v>210</v>
      </c>
      <c r="B3" s="1111" t="str">
        <f>'C-MovimientoInventario'!B3</f>
        <v>Es cada entrada o salida concreta de un lote, registrada en una fecha (FechaMovimiento). Lo genera una operación (TipoMovimiento), indica si suma o resta (ClaseMovimiento) y por el lote se sabe qué producto interno se movió. Si una operación usa varios lotes (FIFO), genera un movimiento por cada lote.</v>
      </c>
      <c r="C3" s="1032"/>
      <c r="D3" s="1032"/>
      <c r="E3" s="1032"/>
      <c r="F3" s="1032"/>
      <c r="G3" s="1032"/>
      <c r="H3" s="1032"/>
      <c r="I3" s="1032"/>
      <c r="J3" s="1033"/>
      <c r="K3" s="73"/>
      <c r="L3" s="73"/>
      <c r="M3" s="73"/>
      <c r="N3" s="73"/>
      <c r="O3" s="73"/>
      <c r="P3" s="73"/>
      <c r="Q3" s="73"/>
      <c r="R3" s="73"/>
      <c r="S3" s="73"/>
      <c r="T3" s="73"/>
      <c r="U3" s="73"/>
      <c r="V3" s="73"/>
      <c r="W3" s="73"/>
      <c r="X3" s="73"/>
      <c r="Y3" s="73"/>
    </row>
    <row r="4" spans="1:25 16000:16000" ht="13.75" customHeight="1">
      <c r="A4" s="589" t="s">
        <v>211</v>
      </c>
      <c r="B4" s="1064" t="s">
        <v>212</v>
      </c>
      <c r="C4" s="1033"/>
      <c r="D4" s="64" t="s">
        <v>213</v>
      </c>
      <c r="E4" s="1069" t="s">
        <v>214</v>
      </c>
      <c r="F4" s="1033"/>
      <c r="G4" s="65" t="s">
        <v>215</v>
      </c>
      <c r="H4" s="387" t="s">
        <v>216</v>
      </c>
      <c r="I4" s="386" t="s">
        <v>217</v>
      </c>
      <c r="J4" s="388" t="s">
        <v>218</v>
      </c>
      <c r="K4" s="73"/>
      <c r="L4" s="73"/>
      <c r="M4" s="73"/>
      <c r="N4" s="73"/>
      <c r="O4" s="73"/>
      <c r="P4" s="73"/>
      <c r="Q4" s="73"/>
      <c r="R4" s="73"/>
      <c r="S4" s="73"/>
      <c r="T4" s="73"/>
      <c r="U4" s="73"/>
      <c r="V4" s="73"/>
      <c r="W4" s="73"/>
      <c r="X4" s="73"/>
      <c r="Y4" s="73"/>
    </row>
    <row r="5" spans="1:25 16000:16000" ht="13.75" customHeight="1">
      <c r="A5" s="1071" t="s">
        <v>211</v>
      </c>
      <c r="B5" s="1064" t="s">
        <v>219</v>
      </c>
      <c r="C5" s="1064" t="s">
        <v>79</v>
      </c>
      <c r="D5" s="1070" t="s">
        <v>220</v>
      </c>
      <c r="E5" s="1069" t="s">
        <v>221</v>
      </c>
      <c r="F5" s="1033"/>
      <c r="G5" s="65" t="s">
        <v>222</v>
      </c>
      <c r="H5" s="1067" t="s">
        <v>223</v>
      </c>
      <c r="I5" s="1068" t="s">
        <v>224</v>
      </c>
      <c r="J5" s="1065" t="s">
        <v>225</v>
      </c>
      <c r="K5" s="73"/>
      <c r="L5" s="73"/>
      <c r="M5" s="73"/>
      <c r="N5" s="73"/>
      <c r="O5" s="73"/>
      <c r="P5" s="73"/>
      <c r="Q5" s="73"/>
      <c r="R5" s="73"/>
      <c r="S5" s="73"/>
      <c r="T5" s="73"/>
      <c r="U5" s="73"/>
      <c r="V5" s="73"/>
      <c r="W5" s="73"/>
      <c r="X5" s="73"/>
      <c r="Y5" s="73"/>
    </row>
    <row r="6" spans="1:25 16000:16000" ht="13.75" customHeight="1">
      <c r="A6" s="1066"/>
      <c r="B6" s="1066"/>
      <c r="C6" s="1066"/>
      <c r="D6" s="1066"/>
      <c r="E6" s="124" t="s">
        <v>226</v>
      </c>
      <c r="F6" s="124" t="s">
        <v>79</v>
      </c>
      <c r="G6" s="525" t="s">
        <v>227</v>
      </c>
      <c r="H6" s="1066"/>
      <c r="I6" s="1066"/>
      <c r="J6" s="1066"/>
      <c r="K6" s="73"/>
      <c r="L6" s="73"/>
      <c r="M6" s="73"/>
      <c r="N6" s="73"/>
      <c r="O6" s="73"/>
      <c r="P6" s="73"/>
      <c r="Q6" s="73"/>
      <c r="R6" s="73"/>
      <c r="S6" s="73"/>
      <c r="T6" s="73"/>
      <c r="U6" s="73"/>
      <c r="V6" s="73"/>
      <c r="W6" s="73"/>
      <c r="X6" s="73"/>
      <c r="Y6" s="73"/>
    </row>
    <row r="7" spans="1:25 16000:16000" s="248" customFormat="1" ht="12.9" customHeight="1">
      <c r="A7" s="1490" t="s">
        <v>509</v>
      </c>
      <c r="B7" s="1490" t="s">
        <v>716</v>
      </c>
      <c r="C7" s="1490" t="s">
        <v>717</v>
      </c>
      <c r="D7" s="1490" t="s">
        <v>195</v>
      </c>
      <c r="E7" s="1493" t="s">
        <v>40</v>
      </c>
      <c r="F7" s="1493" t="s">
        <v>709</v>
      </c>
      <c r="G7" s="821" t="str">
        <f>HYPERLINK("#'P-MovimientoInventario'!A5", "P-MI-001")</f>
        <v>P-MI-001</v>
      </c>
      <c r="H7" s="1490"/>
      <c r="I7" s="1490" t="s">
        <v>710</v>
      </c>
      <c r="J7" s="1490"/>
      <c r="K7" s="129"/>
      <c r="L7" s="129"/>
      <c r="M7" s="129"/>
      <c r="N7" s="129"/>
      <c r="O7" s="129"/>
      <c r="P7" s="129"/>
      <c r="Q7" s="129"/>
      <c r="R7" s="129"/>
      <c r="S7" s="129"/>
      <c r="T7" s="129"/>
      <c r="U7" s="129"/>
      <c r="V7" s="129"/>
      <c r="W7" s="129"/>
      <c r="X7" s="129"/>
      <c r="Y7" s="129"/>
      <c r="WQJ7"/>
    </row>
    <row r="8" spans="1:25 16000:16000" s="248" customFormat="1">
      <c r="A8" s="1491"/>
      <c r="B8" s="1491"/>
      <c r="C8" s="1491"/>
      <c r="D8" s="1491"/>
      <c r="E8" s="1491"/>
      <c r="F8" s="1491"/>
      <c r="G8" s="821" t="str">
        <f>HYPERLINK("#'P-MovimientoInventario'!A6", "P-MI-002")</f>
        <v>P-MI-002</v>
      </c>
      <c r="H8" s="1491"/>
      <c r="I8" s="1491"/>
      <c r="J8" s="1491"/>
      <c r="K8" s="129"/>
      <c r="L8" s="129"/>
      <c r="M8" s="129"/>
      <c r="N8" s="129"/>
      <c r="O8" s="129"/>
      <c r="P8" s="129"/>
      <c r="Q8" s="129"/>
      <c r="R8" s="129"/>
      <c r="S8" s="129"/>
      <c r="T8" s="129"/>
      <c r="U8" s="129"/>
      <c r="V8" s="129"/>
      <c r="W8" s="129"/>
      <c r="X8" s="129"/>
      <c r="Y8" s="129"/>
      <c r="WQJ8"/>
    </row>
    <row r="9" spans="1:25 16000:16000" s="248" customFormat="1">
      <c r="A9" s="1491"/>
      <c r="B9" s="1491"/>
      <c r="C9" s="1491"/>
      <c r="D9" s="1491"/>
      <c r="E9" s="1491"/>
      <c r="F9" s="1491"/>
      <c r="G9" s="821" t="str">
        <f>HYPERLINK("#'P-MovimientoInventario'!A19", "P-MI-015")</f>
        <v>P-MI-015</v>
      </c>
      <c r="H9" s="1491"/>
      <c r="I9" s="1491"/>
      <c r="J9" s="1491"/>
      <c r="WQJ9"/>
    </row>
    <row r="10" spans="1:25 16000:16000" s="248" customFormat="1">
      <c r="A10" s="1491"/>
      <c r="B10" s="1491"/>
      <c r="C10" s="1491"/>
      <c r="D10" s="1491"/>
      <c r="E10" s="1491"/>
      <c r="F10" s="1491"/>
      <c r="G10" s="821" t="str">
        <f>HYPERLINK("#'P-MovimientoInventario'!A12", "P-MI-008")</f>
        <v>P-MI-008</v>
      </c>
      <c r="H10" s="1491"/>
      <c r="I10" s="1491"/>
      <c r="J10" s="1491"/>
      <c r="K10" s="129"/>
      <c r="L10" s="129"/>
      <c r="M10" s="129"/>
      <c r="N10" s="129"/>
      <c r="O10" s="129"/>
      <c r="P10" s="129"/>
      <c r="Q10" s="129"/>
      <c r="R10" s="129"/>
      <c r="S10" s="129"/>
      <c r="T10" s="129"/>
      <c r="U10" s="129"/>
      <c r="V10" s="129"/>
      <c r="W10" s="129"/>
      <c r="X10" s="129"/>
      <c r="Y10" s="129"/>
      <c r="WQJ10"/>
    </row>
    <row r="11" spans="1:25 16000:16000" s="248" customFormat="1">
      <c r="A11" s="1491"/>
      <c r="B11" s="1491"/>
      <c r="C11" s="1491"/>
      <c r="D11" s="1491"/>
      <c r="E11" s="1491"/>
      <c r="F11" s="1491"/>
      <c r="G11" s="821" t="str">
        <f>HYPERLINK("#'P-MovimientoInventario'!A7", "P-MI-003")</f>
        <v>P-MI-003</v>
      </c>
      <c r="H11" s="1491"/>
      <c r="I11" s="1491"/>
      <c r="J11" s="1491"/>
      <c r="K11" s="129"/>
      <c r="L11" s="129"/>
      <c r="M11" s="129"/>
      <c r="N11" s="129"/>
      <c r="O11" s="129"/>
      <c r="P11" s="129"/>
      <c r="Q11" s="129"/>
      <c r="R11" s="129"/>
      <c r="S11" s="129"/>
      <c r="T11" s="129"/>
      <c r="U11" s="129"/>
      <c r="V11" s="129"/>
      <c r="W11" s="129"/>
      <c r="X11" s="129"/>
      <c r="Y11" s="129"/>
      <c r="WQJ11"/>
    </row>
    <row r="12" spans="1:25 16000:16000" s="248" customFormat="1">
      <c r="A12" s="1491"/>
      <c r="B12" s="1491"/>
      <c r="C12" s="1491"/>
      <c r="D12" s="1491"/>
      <c r="E12" s="1491"/>
      <c r="F12" s="1491"/>
      <c r="G12" s="821" t="str">
        <f>HYPERLINK("#'P-MovimientoInventario'!A8", "P-MI-004")</f>
        <v>P-MI-004</v>
      </c>
      <c r="H12" s="1491"/>
      <c r="I12" s="1491"/>
      <c r="J12" s="1491"/>
      <c r="K12" s="129"/>
      <c r="L12" s="129"/>
      <c r="M12" s="129"/>
      <c r="N12" s="129"/>
      <c r="O12" s="129"/>
      <c r="P12" s="129"/>
      <c r="Q12" s="129"/>
      <c r="R12" s="129"/>
      <c r="S12" s="129"/>
      <c r="T12" s="129"/>
      <c r="U12" s="129"/>
      <c r="V12" s="129"/>
      <c r="W12" s="129"/>
      <c r="X12" s="129"/>
      <c r="Y12" s="129"/>
      <c r="WQJ12"/>
    </row>
    <row r="13" spans="1:25 16000:16000">
      <c r="A13" s="1491"/>
      <c r="B13" s="1491"/>
      <c r="C13" s="1491"/>
      <c r="D13" s="1491"/>
      <c r="E13" s="1491"/>
      <c r="F13" s="1491"/>
      <c r="G13" s="821" t="str">
        <f>HYPERLINK("#'P-MovimientoInventario'!A17", "P-MI-013")</f>
        <v>P-MI-013</v>
      </c>
      <c r="H13" s="1491"/>
      <c r="I13" s="1491"/>
      <c r="J13" s="1491"/>
      <c r="K13" s="129"/>
      <c r="L13" s="129"/>
      <c r="M13" s="129"/>
      <c r="N13" s="129"/>
      <c r="O13" s="129"/>
      <c r="P13" s="129"/>
      <c r="Q13" s="129"/>
      <c r="R13" s="129"/>
      <c r="S13" s="129"/>
      <c r="T13" s="129"/>
      <c r="U13" s="129"/>
      <c r="V13" s="129"/>
      <c r="W13" s="129"/>
      <c r="X13" s="129"/>
      <c r="Y13" s="129"/>
    </row>
    <row r="14" spans="1:25 16000:16000">
      <c r="A14" s="1491"/>
      <c r="B14" s="1491"/>
      <c r="C14" s="1491"/>
      <c r="D14" s="1491"/>
      <c r="E14" s="1491"/>
      <c r="F14" s="1491"/>
      <c r="G14" s="821" t="str">
        <f>HYPERLINK("#'P-MovimientoInventario'!A15", "P-MI-011")</f>
        <v>P-MI-011</v>
      </c>
      <c r="H14" s="1491"/>
      <c r="I14" s="1491"/>
      <c r="J14" s="1491"/>
      <c r="K14" s="73"/>
      <c r="L14" s="73"/>
      <c r="M14" s="73"/>
      <c r="N14" s="73"/>
      <c r="O14" s="73"/>
      <c r="P14" s="73"/>
      <c r="Q14" s="73"/>
      <c r="R14" s="73"/>
      <c r="S14" s="73"/>
      <c r="T14" s="73"/>
      <c r="U14" s="73"/>
      <c r="V14" s="73"/>
      <c r="W14" s="73"/>
      <c r="X14" s="73"/>
      <c r="Y14" s="73"/>
    </row>
    <row r="15" spans="1:25 16000:16000">
      <c r="A15" s="1492"/>
      <c r="B15" s="1492"/>
      <c r="C15" s="1492"/>
      <c r="D15" s="1492"/>
      <c r="E15" s="1492"/>
      <c r="F15" s="1492"/>
      <c r="G15" s="821" t="str">
        <f>HYPERLINK("#'P-MovimientoInventario'!A21", "P-MI-017")</f>
        <v>P-MI-017</v>
      </c>
      <c r="H15" s="1492"/>
      <c r="I15" s="1492"/>
      <c r="J15" s="1492"/>
      <c r="K15" s="73"/>
      <c r="L15" s="73"/>
      <c r="M15" s="73"/>
      <c r="N15" s="73"/>
      <c r="O15" s="73"/>
      <c r="P15" s="73"/>
      <c r="Q15" s="73"/>
      <c r="R15" s="73"/>
      <c r="S15" s="73"/>
      <c r="T15" s="73"/>
      <c r="U15" s="73"/>
      <c r="V15" s="73"/>
      <c r="W15" s="73"/>
      <c r="X15" s="73"/>
      <c r="Y15" s="73"/>
    </row>
    <row r="16" spans="1:25 16000:16000">
      <c r="A16" s="1056" t="s">
        <v>509</v>
      </c>
      <c r="B16" s="1056" t="s">
        <v>718</v>
      </c>
      <c r="C16" s="1056" t="s">
        <v>1658</v>
      </c>
      <c r="D16" s="1056" t="s">
        <v>195</v>
      </c>
      <c r="E16" s="1056" t="s">
        <v>1659</v>
      </c>
      <c r="F16" s="1056" t="s">
        <v>1660</v>
      </c>
      <c r="G16" s="897" t="str">
        <f>HYPERLINK("#'P-MovimientoInventario'!A5", "P-MI-001")</f>
        <v>P-MI-001</v>
      </c>
      <c r="H16" s="1056"/>
      <c r="I16" s="1056" t="s">
        <v>712</v>
      </c>
      <c r="J16" s="1472"/>
      <c r="K16" s="73"/>
      <c r="L16" s="73"/>
      <c r="M16" s="73"/>
      <c r="N16" s="73"/>
      <c r="O16" s="73"/>
      <c r="P16" s="73"/>
      <c r="Q16" s="73"/>
      <c r="R16" s="73"/>
      <c r="S16" s="73"/>
      <c r="T16" s="73"/>
      <c r="U16" s="73"/>
      <c r="V16" s="73"/>
      <c r="W16" s="73"/>
      <c r="X16" s="73"/>
      <c r="Y16" s="73"/>
    </row>
    <row r="17" spans="1:25 16000:16000" ht="12.9" customHeight="1">
      <c r="A17" s="1057"/>
      <c r="B17" s="1057"/>
      <c r="C17" s="1057"/>
      <c r="D17" s="1057"/>
      <c r="E17" s="1057"/>
      <c r="F17" s="1057"/>
      <c r="G17" s="897" t="str">
        <f>HYPERLINK("#'P-MovimientoInventario'!A6", "P-MI-002")</f>
        <v>P-MI-002</v>
      </c>
      <c r="H17" s="1057"/>
      <c r="I17" s="1057"/>
      <c r="J17" s="1473"/>
      <c r="K17" s="73"/>
      <c r="L17" s="73"/>
      <c r="M17" s="73"/>
      <c r="N17" s="73"/>
      <c r="O17" s="73"/>
      <c r="P17" s="73"/>
      <c r="Q17" s="73"/>
      <c r="R17" s="73"/>
      <c r="S17" s="73"/>
      <c r="T17" s="73"/>
      <c r="U17" s="73"/>
      <c r="V17" s="73"/>
      <c r="W17" s="73"/>
      <c r="X17" s="73"/>
      <c r="Y17" s="73"/>
    </row>
    <row r="18" spans="1:25 16000:16000">
      <c r="A18" s="1057"/>
      <c r="B18" s="1057"/>
      <c r="C18" s="1057"/>
      <c r="D18" s="1057"/>
      <c r="E18" s="1057"/>
      <c r="F18" s="1057"/>
      <c r="G18" s="897" t="str">
        <f>HYPERLINK("#'P-MovimientoInventario'!A19", "P-MI-015")</f>
        <v>P-MI-015</v>
      </c>
      <c r="H18" s="1057"/>
      <c r="I18" s="1057"/>
      <c r="J18" s="1473"/>
      <c r="K18" s="73"/>
      <c r="L18" s="73"/>
      <c r="M18" s="73"/>
      <c r="N18" s="73"/>
      <c r="O18" s="73"/>
      <c r="P18" s="73"/>
      <c r="Q18" s="73"/>
      <c r="R18" s="73"/>
      <c r="S18" s="73"/>
      <c r="T18" s="73"/>
      <c r="U18" s="73"/>
      <c r="V18" s="73"/>
      <c r="W18" s="73"/>
      <c r="X18" s="73"/>
      <c r="Y18" s="73"/>
    </row>
    <row r="19" spans="1:25 16000:16000">
      <c r="A19" s="1057"/>
      <c r="B19" s="1057"/>
      <c r="C19" s="1057"/>
      <c r="D19" s="1057"/>
      <c r="E19" s="1057"/>
      <c r="F19" s="1057"/>
      <c r="G19" s="897" t="str">
        <f>HYPERLINK("#'P-MovimientoInventario'!A13", "P-MI-009")</f>
        <v>P-MI-009</v>
      </c>
      <c r="H19" s="1057"/>
      <c r="I19" s="1057"/>
      <c r="J19" s="1473"/>
      <c r="K19" s="73"/>
      <c r="L19" s="73"/>
      <c r="M19" s="73"/>
      <c r="N19" s="73"/>
      <c r="O19" s="73"/>
      <c r="P19" s="73"/>
      <c r="Q19" s="73"/>
      <c r="R19" s="73"/>
      <c r="S19" s="73"/>
      <c r="T19" s="73"/>
      <c r="U19" s="73"/>
      <c r="V19" s="73"/>
      <c r="W19" s="73"/>
      <c r="X19" s="73"/>
      <c r="Y19" s="73"/>
    </row>
    <row r="20" spans="1:25 16000:16000">
      <c r="A20" s="1057"/>
      <c r="B20" s="1057"/>
      <c r="C20" s="1057"/>
      <c r="D20" s="1057"/>
      <c r="E20" s="1057"/>
      <c r="F20" s="1057"/>
      <c r="G20" s="897" t="str">
        <f>HYPERLINK("#'P-MovimientoInventario'!A20", "P-MI-016")</f>
        <v>P-MI-016</v>
      </c>
      <c r="H20" s="1057"/>
      <c r="I20" s="1057"/>
      <c r="J20" s="1473"/>
      <c r="K20" s="73"/>
      <c r="L20" s="73"/>
      <c r="M20" s="73"/>
      <c r="N20" s="73"/>
      <c r="O20" s="73"/>
      <c r="P20" s="73"/>
      <c r="Q20" s="73"/>
      <c r="R20" s="73"/>
      <c r="S20" s="73"/>
      <c r="T20" s="73"/>
      <c r="U20" s="73"/>
      <c r="V20" s="73"/>
      <c r="W20" s="73"/>
      <c r="X20" s="73"/>
      <c r="Y20" s="73"/>
    </row>
    <row r="21" spans="1:25 16000:16000">
      <c r="A21" s="1057"/>
      <c r="B21" s="1057"/>
      <c r="C21" s="1057"/>
      <c r="D21" s="1057"/>
      <c r="E21" s="1057"/>
      <c r="F21" s="1057"/>
      <c r="G21" s="897" t="str">
        <f>HYPERLINK("#'P-MovimientoInventario'!A7", "P-MI-003")</f>
        <v>P-MI-003</v>
      </c>
      <c r="H21" s="1057"/>
      <c r="I21" s="1057"/>
      <c r="J21" s="1473"/>
      <c r="K21" s="73"/>
      <c r="L21" s="73"/>
      <c r="M21" s="73"/>
      <c r="N21" s="73"/>
      <c r="O21" s="73"/>
      <c r="P21" s="73"/>
      <c r="Q21" s="73"/>
      <c r="R21" s="73"/>
      <c r="S21" s="73"/>
      <c r="T21" s="73"/>
      <c r="U21" s="73"/>
      <c r="V21" s="73"/>
      <c r="W21" s="73"/>
      <c r="X21" s="73"/>
      <c r="Y21" s="73"/>
    </row>
    <row r="22" spans="1:25 16000:16000">
      <c r="A22" s="1057"/>
      <c r="B22" s="1057"/>
      <c r="C22" s="1057"/>
      <c r="D22" s="1057"/>
      <c r="E22" s="1057"/>
      <c r="F22" s="1057"/>
      <c r="G22" s="897" t="str">
        <f>HYPERLINK("#'P-MovimientoInventario'!A8", "P-MI-004")</f>
        <v>P-MI-004</v>
      </c>
      <c r="H22" s="1057"/>
      <c r="I22" s="1057"/>
      <c r="J22" s="1473"/>
      <c r="K22" s="73"/>
      <c r="L22" s="73"/>
      <c r="M22" s="73"/>
      <c r="N22" s="73"/>
      <c r="O22" s="73"/>
      <c r="P22" s="73"/>
      <c r="Q22" s="73"/>
      <c r="R22" s="73"/>
      <c r="S22" s="73"/>
      <c r="T22" s="73"/>
      <c r="U22" s="73"/>
      <c r="V22" s="73"/>
      <c r="W22" s="73"/>
      <c r="X22" s="73"/>
      <c r="Y22" s="73"/>
    </row>
    <row r="23" spans="1:25 16000:16000">
      <c r="A23" s="1057"/>
      <c r="B23" s="1057"/>
      <c r="C23" s="1057"/>
      <c r="D23" s="1057"/>
      <c r="E23" s="1057"/>
      <c r="F23" s="1057"/>
      <c r="G23" s="897" t="str">
        <f>HYPERLINK("#'P-MovimientoInventario'!A17", "P-MI-013")</f>
        <v>P-MI-013</v>
      </c>
      <c r="H23" s="1057"/>
      <c r="I23" s="1057"/>
      <c r="J23" s="1473"/>
    </row>
    <row r="24" spans="1:25 16000:16000">
      <c r="A24" s="1057"/>
      <c r="B24" s="1057"/>
      <c r="C24" s="1057"/>
      <c r="D24" s="1057"/>
      <c r="E24" s="1057"/>
      <c r="F24" s="1057"/>
      <c r="G24" s="897" t="str">
        <f>HYPERLINK("#'P-MovimientoInventario'!A15", "P-MI-011")</f>
        <v>P-MI-011</v>
      </c>
      <c r="H24" s="1057"/>
      <c r="I24" s="1057"/>
      <c r="J24" s="1473"/>
      <c r="K24" s="73"/>
      <c r="L24" s="73"/>
      <c r="M24" s="73"/>
      <c r="N24" s="73"/>
      <c r="O24" s="73"/>
      <c r="P24" s="73"/>
      <c r="Q24" s="73"/>
      <c r="R24" s="73"/>
      <c r="S24" s="73"/>
      <c r="T24" s="73"/>
      <c r="U24" s="73"/>
      <c r="V24" s="73"/>
      <c r="W24" s="73"/>
      <c r="X24" s="73"/>
      <c r="Y24" s="73"/>
    </row>
    <row r="25" spans="1:25 16000:16000">
      <c r="A25" s="1058"/>
      <c r="B25" s="1058"/>
      <c r="C25" s="1058"/>
      <c r="D25" s="1058"/>
      <c r="E25" s="1058"/>
      <c r="F25" s="1058"/>
      <c r="G25" s="897" t="str">
        <f>HYPERLINK("#'P-MovimientoInventario'!A21", "P-MI-017")</f>
        <v>P-MI-017</v>
      </c>
      <c r="H25" s="1058"/>
      <c r="I25" s="1058"/>
      <c r="J25" s="1138"/>
      <c r="K25" s="73"/>
      <c r="L25" s="73"/>
      <c r="M25" s="73"/>
      <c r="N25" s="73"/>
      <c r="O25" s="73"/>
      <c r="P25" s="73"/>
      <c r="Q25" s="73"/>
      <c r="R25" s="73"/>
      <c r="S25" s="73"/>
      <c r="T25" s="73"/>
      <c r="U25" s="73"/>
      <c r="V25" s="73"/>
      <c r="W25" s="73"/>
      <c r="X25" s="73"/>
      <c r="Y25" s="73"/>
    </row>
    <row r="26" spans="1:25 16000:16000" ht="25.85" customHeight="1">
      <c r="A26" s="1486" t="s">
        <v>509</v>
      </c>
      <c r="B26" s="1486" t="s">
        <v>1661</v>
      </c>
      <c r="C26" s="1486" t="s">
        <v>1662</v>
      </c>
      <c r="D26" s="1486" t="s">
        <v>195</v>
      </c>
      <c r="E26" s="1486" t="s">
        <v>713</v>
      </c>
      <c r="F26" s="1486" t="s">
        <v>714</v>
      </c>
      <c r="G26" s="756" t="str">
        <f>HYPERLINK("#'P-MovimientoInventario'!A5", "P-MI-001")</f>
        <v>P-MI-001</v>
      </c>
      <c r="H26" s="1486"/>
      <c r="I26" s="1486" t="s">
        <v>715</v>
      </c>
      <c r="J26" s="1469"/>
      <c r="K26" s="73"/>
      <c r="L26" s="73"/>
      <c r="M26" s="73"/>
      <c r="N26" s="73"/>
      <c r="O26" s="73"/>
      <c r="P26" s="73"/>
      <c r="Q26" s="73"/>
      <c r="R26" s="73"/>
      <c r="S26" s="73"/>
      <c r="T26" s="73"/>
      <c r="U26" s="73"/>
      <c r="V26" s="73"/>
      <c r="W26" s="73"/>
      <c r="X26" s="73"/>
      <c r="Y26" s="73"/>
    </row>
    <row r="27" spans="1:25 16000:16000" s="84" customFormat="1" ht="12.9" customHeight="1">
      <c r="A27" s="1487"/>
      <c r="B27" s="1487"/>
      <c r="C27" s="1487"/>
      <c r="D27" s="1487"/>
      <c r="E27" s="1487"/>
      <c r="F27" s="1487"/>
      <c r="G27" s="756" t="str">
        <f>HYPERLINK("#'P-MovimientoInventario'!A6", "P-MI-002")</f>
        <v>P-MI-002</v>
      </c>
      <c r="H27" s="1487"/>
      <c r="I27" s="1487"/>
      <c r="J27" s="1470"/>
      <c r="K27" s="524"/>
      <c r="L27" s="524"/>
      <c r="M27" s="524"/>
      <c r="N27" s="524"/>
      <c r="O27" s="524"/>
      <c r="P27" s="524"/>
      <c r="Q27" s="524"/>
      <c r="R27" s="524"/>
      <c r="S27" s="524"/>
      <c r="T27" s="524"/>
      <c r="U27" s="524"/>
      <c r="V27" s="524"/>
      <c r="W27" s="524"/>
      <c r="X27" s="524"/>
      <c r="Y27" s="524"/>
      <c r="WQJ27"/>
    </row>
    <row r="28" spans="1:25 16000:16000" s="84" customFormat="1">
      <c r="A28" s="1487"/>
      <c r="B28" s="1487"/>
      <c r="C28" s="1487"/>
      <c r="D28" s="1487"/>
      <c r="E28" s="1487"/>
      <c r="F28" s="1487"/>
      <c r="G28" s="756" t="str">
        <f>HYPERLINK("#'P-MovimientoInventario'!A19", "P-MI-015")</f>
        <v>P-MI-015</v>
      </c>
      <c r="H28" s="1487"/>
      <c r="I28" s="1487"/>
      <c r="J28" s="1470"/>
      <c r="K28" s="524"/>
      <c r="L28" s="524"/>
      <c r="M28" s="524"/>
      <c r="N28" s="524"/>
      <c r="O28" s="524"/>
      <c r="P28" s="524"/>
      <c r="Q28" s="524"/>
      <c r="R28" s="524"/>
      <c r="S28" s="524"/>
      <c r="T28" s="524"/>
      <c r="U28" s="524"/>
      <c r="V28" s="524"/>
      <c r="W28" s="524"/>
      <c r="X28" s="524"/>
      <c r="Y28" s="524"/>
      <c r="WQJ28"/>
    </row>
    <row r="29" spans="1:25 16000:16000" s="84" customFormat="1">
      <c r="A29" s="1487"/>
      <c r="B29" s="1487"/>
      <c r="C29" s="1487"/>
      <c r="D29" s="1487"/>
      <c r="E29" s="1487"/>
      <c r="F29" s="1487"/>
      <c r="G29" s="756" t="str">
        <f>HYPERLINK("#'P-MovimientoInventario'!A16", "P-MI-012")</f>
        <v>P-MI-012</v>
      </c>
      <c r="H29" s="1487"/>
      <c r="I29" s="1487"/>
      <c r="J29" s="1470"/>
      <c r="K29" s="524"/>
      <c r="L29" s="524"/>
      <c r="M29" s="524"/>
      <c r="N29" s="524"/>
      <c r="O29" s="524"/>
      <c r="P29" s="524"/>
      <c r="Q29" s="524"/>
      <c r="R29" s="524"/>
      <c r="S29" s="524"/>
      <c r="T29" s="524"/>
      <c r="U29" s="524"/>
      <c r="V29" s="524"/>
      <c r="W29" s="524"/>
      <c r="X29" s="524"/>
      <c r="Y29" s="524"/>
      <c r="WQJ29"/>
    </row>
    <row r="30" spans="1:25 16000:16000" s="84" customFormat="1">
      <c r="A30" s="1487"/>
      <c r="B30" s="1487"/>
      <c r="C30" s="1487"/>
      <c r="D30" s="1487"/>
      <c r="E30" s="1487"/>
      <c r="F30" s="1487"/>
      <c r="G30" s="756" t="str">
        <f>HYPERLINK("#'P-MovimientoInventario'!A18", "P-MI-014")</f>
        <v>P-MI-014</v>
      </c>
      <c r="H30" s="1487"/>
      <c r="I30" s="1487"/>
      <c r="J30" s="1470"/>
      <c r="WQJ30"/>
    </row>
    <row r="31" spans="1:25 16000:16000" s="84" customFormat="1">
      <c r="A31" s="1487"/>
      <c r="B31" s="1487"/>
      <c r="C31" s="1487"/>
      <c r="D31" s="1487"/>
      <c r="E31" s="1487"/>
      <c r="F31" s="1487"/>
      <c r="G31" s="756" t="str">
        <f>HYPERLINK("#'P-MovimientoInventario'!A7", "P-MI-003")</f>
        <v>P-MI-003</v>
      </c>
      <c r="H31" s="1487"/>
      <c r="I31" s="1487"/>
      <c r="J31" s="1470"/>
      <c r="K31" s="524"/>
      <c r="L31" s="524"/>
      <c r="M31" s="524"/>
      <c r="N31" s="524"/>
      <c r="O31" s="524"/>
      <c r="P31" s="524"/>
      <c r="Q31" s="524"/>
      <c r="R31" s="524"/>
      <c r="S31" s="524"/>
      <c r="T31" s="524"/>
      <c r="U31" s="524"/>
      <c r="V31" s="524"/>
      <c r="W31" s="524"/>
      <c r="X31" s="524"/>
      <c r="Y31" s="524"/>
      <c r="WQJ31"/>
    </row>
    <row r="32" spans="1:25 16000:16000" s="84" customFormat="1">
      <c r="A32" s="1487"/>
      <c r="B32" s="1487"/>
      <c r="C32" s="1487"/>
      <c r="D32" s="1487"/>
      <c r="E32" s="1487"/>
      <c r="F32" s="1487"/>
      <c r="G32" s="756" t="str">
        <f>HYPERLINK("#'P-MovimientoInventario'!A8", "P-MI-004")</f>
        <v>P-MI-004</v>
      </c>
      <c r="H32" s="1487"/>
      <c r="I32" s="1487"/>
      <c r="J32" s="1470"/>
      <c r="K32" s="524"/>
      <c r="L32" s="524"/>
      <c r="M32" s="524"/>
      <c r="N32" s="524"/>
      <c r="O32" s="524"/>
      <c r="P32" s="524"/>
      <c r="Q32" s="524"/>
      <c r="R32" s="524"/>
      <c r="S32" s="524"/>
      <c r="T32" s="524"/>
      <c r="U32" s="524"/>
      <c r="V32" s="524"/>
      <c r="W32" s="524"/>
      <c r="X32" s="524"/>
      <c r="Y32" s="524"/>
      <c r="WQJ32"/>
    </row>
    <row r="33" spans="1:25 16000:16000" s="84" customFormat="1">
      <c r="A33" s="1487"/>
      <c r="B33" s="1487"/>
      <c r="C33" s="1487"/>
      <c r="D33" s="1487"/>
      <c r="E33" s="1487"/>
      <c r="F33" s="1487"/>
      <c r="G33" s="756" t="str">
        <f>HYPERLINK("#'P-MovimientoInventario'!A17", "P-MI-013")</f>
        <v>P-MI-013</v>
      </c>
      <c r="H33" s="1487"/>
      <c r="I33" s="1487"/>
      <c r="J33" s="1470"/>
      <c r="K33" s="524"/>
      <c r="L33" s="524"/>
      <c r="M33" s="524"/>
      <c r="N33" s="524"/>
      <c r="O33" s="524"/>
      <c r="P33" s="524"/>
      <c r="Q33" s="524"/>
      <c r="R33" s="524"/>
      <c r="S33" s="524"/>
      <c r="T33" s="524"/>
      <c r="U33" s="524"/>
      <c r="V33" s="524"/>
      <c r="W33" s="524"/>
      <c r="X33" s="524"/>
      <c r="Y33" s="524"/>
      <c r="WQJ33"/>
    </row>
    <row r="34" spans="1:25 16000:16000" s="84" customFormat="1">
      <c r="A34" s="1487"/>
      <c r="B34" s="1487"/>
      <c r="C34" s="1487"/>
      <c r="D34" s="1487"/>
      <c r="E34" s="1487"/>
      <c r="F34" s="1487"/>
      <c r="G34" s="756" t="str">
        <f>HYPERLINK("#'P-MovimientoInventario'!A15", "P-MI-011")</f>
        <v>P-MI-011</v>
      </c>
      <c r="H34" s="1487"/>
      <c r="I34" s="1487"/>
      <c r="J34" s="1470"/>
      <c r="K34" s="524"/>
      <c r="L34" s="524"/>
      <c r="M34" s="524"/>
      <c r="N34" s="524"/>
      <c r="O34" s="524"/>
      <c r="P34" s="524"/>
      <c r="Q34" s="524"/>
      <c r="R34" s="524"/>
      <c r="S34" s="524"/>
      <c r="T34" s="524"/>
      <c r="U34" s="524"/>
      <c r="V34" s="524"/>
      <c r="W34" s="524"/>
      <c r="X34" s="524"/>
      <c r="Y34" s="524"/>
      <c r="WQJ34"/>
    </row>
    <row r="35" spans="1:25 16000:16000" s="84" customFormat="1">
      <c r="A35" s="1488"/>
      <c r="B35" s="1488"/>
      <c r="C35" s="1488"/>
      <c r="D35" s="1488"/>
      <c r="E35" s="1488"/>
      <c r="F35" s="1488"/>
      <c r="G35" s="756" t="str">
        <f>HYPERLINK("#'P-MovimientoInventario'!A21", "P-MI-017")</f>
        <v>P-MI-017</v>
      </c>
      <c r="H35" s="1488"/>
      <c r="I35" s="1488"/>
      <c r="J35" s="1471"/>
      <c r="K35" s="524"/>
      <c r="L35" s="524"/>
      <c r="M35" s="524"/>
      <c r="N35" s="524"/>
      <c r="O35" s="524"/>
      <c r="P35" s="524"/>
      <c r="Q35" s="524"/>
      <c r="R35" s="524"/>
      <c r="S35" s="524"/>
      <c r="T35" s="524"/>
      <c r="U35" s="524"/>
      <c r="V35" s="524"/>
      <c r="W35" s="524"/>
      <c r="X35" s="524"/>
      <c r="Y35" s="524"/>
      <c r="WQJ35"/>
    </row>
    <row r="36" spans="1:25 16000:16000" s="84" customFormat="1">
      <c r="A36" s="1494" t="s">
        <v>228</v>
      </c>
      <c r="B36" s="1494" t="s">
        <v>1663</v>
      </c>
      <c r="C36" s="1494" t="s">
        <v>1664</v>
      </c>
      <c r="D36" s="1494"/>
      <c r="E36" s="1494" t="s">
        <v>1665</v>
      </c>
      <c r="F36" s="1494" t="s">
        <v>1666</v>
      </c>
      <c r="G36" s="794" t="str">
        <f>HYPERLINK("#'P-MovimientoInventario'!A7", "P-MI-003")</f>
        <v>P-MI-003</v>
      </c>
      <c r="H36" s="1494"/>
      <c r="I36" s="1494" t="s">
        <v>1667</v>
      </c>
      <c r="J36" s="1494"/>
      <c r="K36" s="524"/>
      <c r="L36" s="524"/>
      <c r="M36" s="524"/>
      <c r="N36" s="524"/>
      <c r="O36" s="524"/>
      <c r="P36" s="524"/>
      <c r="Q36" s="524"/>
      <c r="R36" s="524"/>
      <c r="S36" s="524"/>
      <c r="T36" s="524"/>
      <c r="U36" s="524"/>
      <c r="V36" s="524"/>
      <c r="W36" s="524"/>
      <c r="X36" s="524"/>
      <c r="Y36" s="524"/>
      <c r="WQJ36"/>
    </row>
    <row r="37" spans="1:25 16000:16000">
      <c r="A37" s="1495"/>
      <c r="B37" s="1495"/>
      <c r="C37" s="1495"/>
      <c r="D37" s="1495"/>
      <c r="E37" s="1495"/>
      <c r="F37" s="1495"/>
      <c r="G37" s="794" t="str">
        <f>HYPERLINK("#'P-MovimientoInventario'!A9", "P-MI-005")</f>
        <v>P-MI-005</v>
      </c>
      <c r="H37" s="1495"/>
      <c r="I37" s="1495"/>
      <c r="J37" s="1495"/>
      <c r="K37" s="73"/>
      <c r="L37" s="73"/>
      <c r="M37" s="73"/>
      <c r="N37" s="73"/>
      <c r="O37" s="73"/>
      <c r="P37" s="73"/>
      <c r="Q37" s="73"/>
      <c r="R37" s="73"/>
      <c r="S37" s="73"/>
      <c r="T37" s="73"/>
      <c r="U37" s="73"/>
      <c r="V37" s="73"/>
      <c r="W37" s="73"/>
      <c r="X37" s="73"/>
      <c r="Y37" s="73"/>
    </row>
    <row r="38" spans="1:25 16000:16000">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16000:16000">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16000:16000">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16000:16000">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16000:16000">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16000:16000">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16000:16000">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16000:16000">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16000:16000">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16000:16000">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16000:16000">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sheetData>
  <mergeCells count="48">
    <mergeCell ref="J26:J35"/>
    <mergeCell ref="A36:A37"/>
    <mergeCell ref="B36:B37"/>
    <mergeCell ref="C36:C37"/>
    <mergeCell ref="D36:D37"/>
    <mergeCell ref="E36:E37"/>
    <mergeCell ref="F36:F37"/>
    <mergeCell ref="H36:H37"/>
    <mergeCell ref="I36:I37"/>
    <mergeCell ref="J36:J37"/>
    <mergeCell ref="A26:A35"/>
    <mergeCell ref="B26:B35"/>
    <mergeCell ref="C26:C35"/>
    <mergeCell ref="D26:D35"/>
    <mergeCell ref="E26:E35"/>
    <mergeCell ref="F26:F35"/>
    <mergeCell ref="J16:J25"/>
    <mergeCell ref="E4:F4"/>
    <mergeCell ref="E5:F5"/>
    <mergeCell ref="A5:A6"/>
    <mergeCell ref="F7:F15"/>
    <mergeCell ref="H7:H15"/>
    <mergeCell ref="A7:A15"/>
    <mergeCell ref="B7:B15"/>
    <mergeCell ref="C7:C15"/>
    <mergeCell ref="D7:D15"/>
    <mergeCell ref="E7:E15"/>
    <mergeCell ref="A16:A25"/>
    <mergeCell ref="B16:B25"/>
    <mergeCell ref="C16:C25"/>
    <mergeCell ref="D16:D25"/>
    <mergeCell ref="E16:E25"/>
    <mergeCell ref="H26:H35"/>
    <mergeCell ref="I26:I35"/>
    <mergeCell ref="B5:B6"/>
    <mergeCell ref="D5:D6"/>
    <mergeCell ref="B2:J2"/>
    <mergeCell ref="B3:J3"/>
    <mergeCell ref="H5:H6"/>
    <mergeCell ref="J5:J6"/>
    <mergeCell ref="B4:C4"/>
    <mergeCell ref="C5:C6"/>
    <mergeCell ref="I5:I6"/>
    <mergeCell ref="I7:I15"/>
    <mergeCell ref="J7:J15"/>
    <mergeCell ref="F16:F25"/>
    <mergeCell ref="H16:H25"/>
    <mergeCell ref="I16:I25"/>
  </mergeCells>
  <hyperlinks>
    <hyperlink ref="A1" location="'Modelo de dominio'!A1" display="&lt;&lt;&lt;Modelo de Dominio" xr:uid="{00000000-0004-0000-2700-000000000000}"/>
    <hyperlink ref="B1" location="'Objetos de dominio'!A1" display="&lt;&lt;&lt;Objetos de Dominio" xr:uid="{00000000-0004-0000-2700-000001000000}"/>
    <hyperlink ref="B3" location="'Objetos de dominio'!B16" display="Objeto de dominio que registra los movimientos que tiene el inventario" xr:uid="{00000000-0004-0000-2700-000002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67">
    <outlinePr summaryBelow="0" summaryRight="0"/>
  </sheetPr>
  <dimension ref="A1:Z999"/>
  <sheetViews>
    <sheetView workbookViewId="0">
      <selection sqref="A1:XFD1048576"/>
    </sheetView>
  </sheetViews>
  <sheetFormatPr baseColWidth="10" defaultColWidth="12.625" defaultRowHeight="12.9"/>
  <cols>
    <col min="1" max="1" width="17.625" bestFit="1" customWidth="1"/>
    <col min="2" max="2" width="216.125" bestFit="1" customWidth="1"/>
    <col min="3" max="3" width="19.5" bestFit="1" customWidth="1"/>
    <col min="4" max="4" width="19.125" bestFit="1" customWidth="1"/>
    <col min="7" max="7" width="132.75"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3.6">
      <c r="A2" s="54" t="s">
        <v>233</v>
      </c>
      <c r="B2" s="1112" t="s">
        <v>195</v>
      </c>
      <c r="C2" s="1033"/>
      <c r="E2" s="73"/>
      <c r="F2" s="73"/>
      <c r="G2" s="73"/>
      <c r="H2" s="73"/>
      <c r="I2" s="73"/>
      <c r="J2" s="73"/>
      <c r="K2" s="73"/>
      <c r="L2" s="73"/>
      <c r="M2" s="73"/>
      <c r="N2" s="73"/>
      <c r="O2" s="73"/>
      <c r="P2" s="73"/>
      <c r="Q2" s="73"/>
      <c r="R2" s="73"/>
      <c r="S2" s="73"/>
      <c r="T2" s="73"/>
      <c r="U2" s="73"/>
      <c r="V2" s="73"/>
      <c r="W2" s="73"/>
      <c r="X2" s="73"/>
      <c r="Y2" s="73"/>
      <c r="Z2" s="73"/>
    </row>
    <row r="3" spans="1:26" ht="13.6">
      <c r="A3" s="54" t="s">
        <v>21</v>
      </c>
      <c r="B3" s="1111" t="str">
        <f>'C-MovimientoInventario'!B3</f>
        <v>Es cada entrada o salida concreta de un lote, registrada en una fecha (FechaMovimiento). Lo genera una operación (TipoMovimiento), indica si suma o resta (ClaseMovimiento) y por el lote se sabe qué producto interno se movió. Si una operación usa varios lotes (FIFO), genera un movimiento por cada lote.</v>
      </c>
      <c r="C3" s="1033"/>
      <c r="E3" s="73"/>
      <c r="F3" s="73"/>
      <c r="G3" s="73"/>
      <c r="H3" s="73"/>
      <c r="I3" s="73"/>
      <c r="J3" s="73"/>
      <c r="K3" s="73"/>
      <c r="L3" s="73"/>
      <c r="M3" s="73"/>
      <c r="N3" s="73"/>
      <c r="O3" s="73"/>
      <c r="P3" s="73"/>
      <c r="Q3" s="73"/>
      <c r="R3" s="73"/>
      <c r="S3" s="73"/>
      <c r="T3" s="73"/>
      <c r="U3" s="73"/>
      <c r="V3" s="73"/>
      <c r="W3" s="73"/>
      <c r="X3" s="73"/>
      <c r="Y3" s="73"/>
      <c r="Z3" s="73"/>
    </row>
    <row r="4" spans="1:26" ht="13.6">
      <c r="A4" s="326" t="s">
        <v>234</v>
      </c>
      <c r="B4" s="326" t="s">
        <v>235</v>
      </c>
      <c r="C4" s="326" t="s">
        <v>236</v>
      </c>
      <c r="D4" s="326" t="s">
        <v>237</v>
      </c>
      <c r="E4" s="73"/>
      <c r="F4" s="73"/>
      <c r="G4" s="73"/>
      <c r="H4" s="73"/>
      <c r="I4" s="73"/>
      <c r="J4" s="73"/>
      <c r="K4" s="73"/>
      <c r="L4" s="73"/>
      <c r="M4" s="73"/>
      <c r="N4" s="73"/>
      <c r="O4" s="73"/>
      <c r="P4" s="73"/>
      <c r="Q4" s="73"/>
      <c r="R4" s="73"/>
      <c r="S4" s="73"/>
      <c r="T4" s="73"/>
      <c r="U4" s="73"/>
      <c r="V4" s="73"/>
      <c r="W4" s="73"/>
      <c r="X4" s="73"/>
      <c r="Y4" s="73"/>
      <c r="Z4" s="73"/>
    </row>
    <row r="5" spans="1:26">
      <c r="A5" s="573" t="s">
        <v>719</v>
      </c>
      <c r="B5" s="573" t="s">
        <v>720</v>
      </c>
      <c r="C5" s="573" t="s">
        <v>195</v>
      </c>
      <c r="D5" s="220"/>
      <c r="E5" s="73"/>
      <c r="J5" s="73"/>
      <c r="K5" s="73"/>
      <c r="L5" s="73"/>
      <c r="M5" s="73"/>
      <c r="N5" s="73"/>
      <c r="O5" s="73"/>
      <c r="P5" s="73"/>
      <c r="Q5" s="73"/>
      <c r="R5" s="73"/>
      <c r="S5" s="73"/>
      <c r="T5" s="73"/>
      <c r="U5" s="73"/>
      <c r="V5" s="73"/>
      <c r="W5" s="73"/>
      <c r="X5" s="73"/>
      <c r="Y5" s="73"/>
      <c r="Z5" s="73"/>
    </row>
    <row r="6" spans="1:26">
      <c r="A6" s="573" t="s">
        <v>721</v>
      </c>
      <c r="B6" s="573" t="s">
        <v>1646</v>
      </c>
      <c r="C6" s="573" t="s">
        <v>11</v>
      </c>
      <c r="D6" s="796" t="str">
        <f>HYPERLINK("#'P-ClaseMovimiento'!A5", 'P-ClaseMovimiento'!A5)</f>
        <v>P-CM-001</v>
      </c>
      <c r="E6" s="73"/>
      <c r="J6" s="73"/>
      <c r="K6" s="73"/>
      <c r="L6" s="73"/>
      <c r="M6" s="73"/>
      <c r="N6" s="73"/>
      <c r="O6" s="73"/>
      <c r="P6" s="73"/>
      <c r="Q6" s="73"/>
      <c r="R6" s="73"/>
      <c r="S6" s="73"/>
      <c r="T6" s="73"/>
      <c r="U6" s="73"/>
      <c r="V6" s="73"/>
      <c r="W6" s="73"/>
      <c r="X6" s="73"/>
      <c r="Y6" s="73"/>
      <c r="Z6" s="73"/>
    </row>
    <row r="7" spans="1:26">
      <c r="A7" s="573" t="s">
        <v>722</v>
      </c>
      <c r="B7" s="573" t="s">
        <v>723</v>
      </c>
      <c r="C7" s="573" t="s">
        <v>12</v>
      </c>
      <c r="D7" s="796" t="str">
        <f>HYPERLINK("#'P-Lote'!A12", 'P-Lote'!A12)</f>
        <v>P-LOT-008</v>
      </c>
      <c r="E7" s="73"/>
      <c r="J7" s="73"/>
      <c r="K7" s="73"/>
      <c r="L7" s="73"/>
      <c r="M7" s="73"/>
      <c r="N7" s="73"/>
      <c r="O7" s="73"/>
      <c r="P7" s="73"/>
      <c r="Q7" s="73"/>
      <c r="R7" s="73"/>
      <c r="S7" s="73"/>
      <c r="T7" s="73"/>
      <c r="U7" s="73"/>
      <c r="V7" s="73"/>
      <c r="W7" s="73"/>
      <c r="X7" s="73"/>
      <c r="Y7" s="73"/>
      <c r="Z7" s="73"/>
    </row>
    <row r="8" spans="1:26">
      <c r="A8" s="573" t="s">
        <v>724</v>
      </c>
      <c r="B8" s="573" t="s">
        <v>1647</v>
      </c>
      <c r="C8" s="573" t="s">
        <v>195</v>
      </c>
      <c r="D8" s="220"/>
      <c r="E8" s="73"/>
      <c r="J8" s="73"/>
      <c r="K8" s="73"/>
      <c r="L8" s="73"/>
      <c r="M8" s="73"/>
      <c r="N8" s="73"/>
      <c r="O8" s="73"/>
      <c r="P8" s="73"/>
      <c r="Q8" s="73"/>
      <c r="R8" s="73"/>
      <c r="S8" s="73"/>
      <c r="T8" s="73"/>
      <c r="U8" s="73"/>
      <c r="V8" s="73"/>
      <c r="W8" s="73"/>
      <c r="X8" s="73"/>
      <c r="Y8" s="73"/>
      <c r="Z8" s="73"/>
    </row>
    <row r="9" spans="1:26">
      <c r="A9" s="573" t="s">
        <v>725</v>
      </c>
      <c r="B9" s="573" t="s">
        <v>1648</v>
      </c>
      <c r="C9" s="573" t="s">
        <v>60</v>
      </c>
      <c r="D9" s="796" t="str">
        <f>HYPERLINK("#'P-SalidaLote'!A5", 'P-SalidaLote'!A5)</f>
        <v>P-SL-001</v>
      </c>
      <c r="E9" s="73"/>
      <c r="J9" s="73"/>
      <c r="K9" s="73"/>
      <c r="L9" s="73"/>
      <c r="M9" s="73"/>
      <c r="N9" s="73"/>
      <c r="O9" s="73"/>
      <c r="P9" s="73"/>
      <c r="Q9" s="73"/>
      <c r="R9" s="73"/>
      <c r="S9" s="73"/>
      <c r="T9" s="73"/>
      <c r="U9" s="73"/>
      <c r="V9" s="73"/>
      <c r="W9" s="73"/>
      <c r="X9" s="73"/>
      <c r="Y9" s="73"/>
      <c r="Z9" s="73"/>
    </row>
    <row r="10" spans="1:26">
      <c r="A10" s="573" t="s">
        <v>726</v>
      </c>
      <c r="B10" s="573" t="s">
        <v>727</v>
      </c>
      <c r="C10" s="573" t="s">
        <v>195</v>
      </c>
      <c r="D10" s="220"/>
      <c r="E10" s="73"/>
      <c r="J10" s="73"/>
      <c r="K10" s="73"/>
      <c r="L10" s="73"/>
      <c r="M10" s="73"/>
      <c r="N10" s="73"/>
      <c r="O10" s="73"/>
      <c r="P10" s="73"/>
      <c r="Q10" s="73"/>
      <c r="R10" s="73"/>
      <c r="S10" s="73"/>
      <c r="T10" s="73"/>
      <c r="U10" s="73"/>
      <c r="V10" s="73"/>
      <c r="W10" s="73"/>
      <c r="X10" s="73"/>
      <c r="Y10" s="73"/>
      <c r="Z10" s="73"/>
    </row>
    <row r="11" spans="1:26">
      <c r="A11" s="573" t="s">
        <v>728</v>
      </c>
      <c r="B11" s="573" t="s">
        <v>729</v>
      </c>
      <c r="C11" s="573" t="s">
        <v>12</v>
      </c>
      <c r="D11" s="796" t="str">
        <f>HYPERLINK("#'P-Lote'!A12", 'P-Lote'!A12)</f>
        <v>P-LOT-008</v>
      </c>
      <c r="E11" s="73"/>
      <c r="J11" s="73"/>
      <c r="K11" s="73"/>
      <c r="L11" s="73"/>
      <c r="M11" s="73"/>
      <c r="N11" s="73"/>
      <c r="O11" s="73"/>
      <c r="P11" s="73"/>
      <c r="Q11" s="73"/>
      <c r="R11" s="73"/>
      <c r="S11" s="73"/>
      <c r="T11" s="73"/>
      <c r="U11" s="73"/>
      <c r="V11" s="73"/>
      <c r="W11" s="73"/>
      <c r="X11" s="73"/>
      <c r="Y11" s="73"/>
      <c r="Z11" s="73"/>
    </row>
    <row r="12" spans="1:26">
      <c r="A12" s="573" t="s">
        <v>730</v>
      </c>
      <c r="B12" s="573" t="s">
        <v>1649</v>
      </c>
      <c r="C12" s="573" t="s">
        <v>40</v>
      </c>
      <c r="D12" s="796" t="str">
        <f>HYPERLINK("#'P-DetalleCompra'!A14", 'P-DetalleCompra'!A14)</f>
        <v>P-DC-010</v>
      </c>
      <c r="E12" s="73"/>
      <c r="J12" s="73"/>
      <c r="K12" s="73"/>
      <c r="L12" s="73"/>
      <c r="M12" s="73"/>
      <c r="N12" s="73"/>
      <c r="O12" s="73"/>
      <c r="P12" s="73"/>
      <c r="Q12" s="73"/>
      <c r="R12" s="73"/>
      <c r="S12" s="73"/>
      <c r="T12" s="73"/>
      <c r="U12" s="73"/>
      <c r="V12" s="73"/>
      <c r="W12" s="73"/>
      <c r="X12" s="73"/>
      <c r="Y12" s="73"/>
      <c r="Z12" s="73"/>
    </row>
    <row r="13" spans="1:26">
      <c r="A13" s="573" t="s">
        <v>731</v>
      </c>
      <c r="B13" s="573" t="s">
        <v>1650</v>
      </c>
      <c r="C13" s="573" t="s">
        <v>58</v>
      </c>
      <c r="D13" s="796" t="str">
        <f>HYPERLINK("#'P-ConsumoVenta'!A5", 'P-ConsumoVenta'!A5)</f>
        <v>P-CV-001</v>
      </c>
      <c r="E13" s="73"/>
      <c r="J13" s="73"/>
      <c r="K13" s="73"/>
      <c r="L13" s="73"/>
      <c r="M13" s="73"/>
      <c r="N13" s="73"/>
      <c r="O13" s="73"/>
      <c r="P13" s="73"/>
      <c r="Q13" s="73"/>
      <c r="R13" s="73"/>
      <c r="S13" s="73"/>
      <c r="T13" s="73"/>
      <c r="U13" s="73"/>
      <c r="V13" s="73"/>
      <c r="W13" s="73"/>
      <c r="X13" s="73"/>
      <c r="Y13" s="73"/>
      <c r="Z13" s="73"/>
    </row>
    <row r="14" spans="1:26">
      <c r="A14" s="573" t="s">
        <v>732</v>
      </c>
      <c r="B14" s="287" t="s">
        <v>1651</v>
      </c>
      <c r="C14" s="573" t="s">
        <v>195</v>
      </c>
      <c r="D14" s="220"/>
      <c r="E14" s="73"/>
      <c r="F14" s="73"/>
      <c r="G14" s="73"/>
      <c r="H14" s="73"/>
      <c r="I14" s="73"/>
      <c r="J14" s="73"/>
      <c r="K14" s="73"/>
      <c r="L14" s="73"/>
      <c r="M14" s="73"/>
      <c r="N14" s="73"/>
      <c r="O14" s="73"/>
      <c r="P14" s="73"/>
      <c r="Q14" s="73"/>
      <c r="R14" s="73"/>
      <c r="S14" s="73"/>
      <c r="T14" s="73"/>
      <c r="U14" s="73"/>
      <c r="V14" s="73"/>
      <c r="W14" s="73"/>
      <c r="X14" s="73"/>
      <c r="Y14" s="73"/>
      <c r="Z14" s="73"/>
    </row>
    <row r="15" spans="1:26">
      <c r="A15" s="573" t="s">
        <v>733</v>
      </c>
      <c r="B15" s="562" t="s">
        <v>1652</v>
      </c>
      <c r="C15" s="562" t="s">
        <v>195</v>
      </c>
      <c r="D15" s="215"/>
      <c r="E15" s="73"/>
      <c r="F15" s="73"/>
      <c r="G15" s="73"/>
      <c r="H15" s="73"/>
      <c r="I15" s="73"/>
      <c r="J15" s="73"/>
      <c r="K15" s="73"/>
      <c r="L15" s="73"/>
      <c r="M15" s="73"/>
      <c r="N15" s="73"/>
      <c r="O15" s="73"/>
      <c r="P15" s="73"/>
      <c r="Q15" s="73"/>
      <c r="R15" s="73"/>
      <c r="S15" s="73"/>
      <c r="T15" s="73"/>
      <c r="U15" s="73"/>
      <c r="V15" s="73"/>
      <c r="W15" s="73"/>
      <c r="X15" s="73"/>
      <c r="Y15" s="73"/>
      <c r="Z15" s="73"/>
    </row>
    <row r="16" spans="1:26">
      <c r="A16" s="573" t="s">
        <v>734</v>
      </c>
      <c r="B16" s="573" t="s">
        <v>735</v>
      </c>
      <c r="C16" s="573" t="s">
        <v>53</v>
      </c>
      <c r="D16" s="796" t="str">
        <f>HYPERLINK("#'P-Cambio'!A12", 'P-Cambio'!A12)</f>
        <v>P-CAM-008</v>
      </c>
      <c r="E16" s="73"/>
      <c r="F16" s="73"/>
      <c r="G16" s="73"/>
      <c r="H16" s="73"/>
      <c r="I16" s="73"/>
      <c r="J16" s="73"/>
      <c r="K16" s="73"/>
      <c r="L16" s="73"/>
      <c r="M16" s="73"/>
      <c r="N16" s="73"/>
      <c r="O16" s="73"/>
      <c r="P16" s="73"/>
      <c r="Q16" s="73"/>
      <c r="R16" s="73"/>
      <c r="S16" s="73"/>
      <c r="T16" s="73"/>
      <c r="U16" s="73"/>
      <c r="V16" s="73"/>
      <c r="W16" s="73"/>
      <c r="X16" s="73"/>
      <c r="Y16" s="73"/>
      <c r="Z16" s="73"/>
    </row>
    <row r="17" spans="1:26">
      <c r="A17" s="573" t="s">
        <v>736</v>
      </c>
      <c r="B17" s="573" t="s">
        <v>737</v>
      </c>
      <c r="C17" s="573" t="s">
        <v>195</v>
      </c>
      <c r="D17" s="220"/>
      <c r="E17" s="73"/>
      <c r="F17" s="73"/>
      <c r="G17" s="73"/>
      <c r="H17" s="73"/>
      <c r="I17" s="73"/>
      <c r="J17" s="73"/>
      <c r="K17" s="73"/>
      <c r="L17" s="73"/>
      <c r="M17" s="73"/>
      <c r="N17" s="73"/>
      <c r="O17" s="73"/>
      <c r="P17" s="73"/>
      <c r="Q17" s="73"/>
      <c r="R17" s="73"/>
      <c r="S17" s="73"/>
      <c r="T17" s="73"/>
      <c r="U17" s="73"/>
      <c r="V17" s="73"/>
      <c r="W17" s="73"/>
      <c r="X17" s="73"/>
      <c r="Y17" s="73"/>
      <c r="Z17" s="73"/>
    </row>
    <row r="18" spans="1:26">
      <c r="A18" s="573" t="s">
        <v>738</v>
      </c>
      <c r="B18" s="573" t="s">
        <v>1653</v>
      </c>
      <c r="C18" s="573" t="s">
        <v>195</v>
      </c>
      <c r="D18" s="220" t="str">
        <f>HYPERLINK("#'P-Cambio'!A7", 'P-Cambio'!A7)</f>
        <v>P-CAM-003</v>
      </c>
      <c r="E18" s="73"/>
      <c r="F18" s="73"/>
      <c r="G18" s="73"/>
      <c r="H18" s="73"/>
      <c r="I18" s="73"/>
      <c r="J18" s="73"/>
      <c r="K18" s="73"/>
      <c r="L18" s="73"/>
      <c r="M18" s="73"/>
      <c r="N18" s="73"/>
      <c r="O18" s="73"/>
      <c r="P18" s="73"/>
      <c r="Q18" s="73"/>
      <c r="R18" s="73"/>
      <c r="S18" s="73"/>
      <c r="T18" s="73"/>
      <c r="U18" s="73"/>
      <c r="V18" s="73"/>
      <c r="W18" s="73"/>
      <c r="X18" s="73"/>
      <c r="Y18" s="73"/>
      <c r="Z18" s="73"/>
    </row>
    <row r="19" spans="1:26">
      <c r="A19" s="573" t="s">
        <v>739</v>
      </c>
      <c r="B19" s="573" t="s">
        <v>1654</v>
      </c>
      <c r="C19" s="573" t="s">
        <v>10</v>
      </c>
      <c r="D19" s="796" t="str">
        <f>HYPERLINK("#'P-TipoMovimiento'!A7", 'P-TipoMovimiento'!A7)</f>
        <v>P-TMV-003</v>
      </c>
      <c r="E19" s="73"/>
      <c r="F19" s="73"/>
      <c r="G19" s="73"/>
      <c r="H19" s="73"/>
      <c r="I19" s="73"/>
      <c r="J19" s="73"/>
      <c r="K19" s="73"/>
      <c r="L19" s="73"/>
      <c r="M19" s="73"/>
      <c r="N19" s="73"/>
      <c r="O19" s="73"/>
      <c r="P19" s="73"/>
      <c r="Q19" s="73"/>
      <c r="R19" s="73"/>
      <c r="S19" s="73"/>
      <c r="T19" s="73"/>
      <c r="U19" s="73"/>
      <c r="V19" s="73"/>
      <c r="W19" s="73"/>
      <c r="X19" s="73"/>
      <c r="Y19" s="73"/>
      <c r="Z19" s="73"/>
    </row>
    <row r="20" spans="1:26">
      <c r="A20" s="573" t="s">
        <v>740</v>
      </c>
      <c r="B20" s="573" t="s">
        <v>1655</v>
      </c>
      <c r="C20" s="573" t="s">
        <v>12</v>
      </c>
      <c r="D20" s="796"/>
      <c r="E20" s="73"/>
      <c r="F20" s="73"/>
      <c r="G20" s="73"/>
      <c r="H20" s="73"/>
      <c r="I20" s="73"/>
      <c r="J20" s="73"/>
      <c r="K20" s="73"/>
      <c r="L20" s="73"/>
      <c r="M20" s="73"/>
      <c r="N20" s="73"/>
      <c r="O20" s="73"/>
      <c r="P20" s="73"/>
      <c r="Q20" s="73"/>
      <c r="R20" s="73"/>
      <c r="S20" s="73"/>
      <c r="T20" s="73"/>
      <c r="U20" s="73"/>
      <c r="V20" s="73"/>
      <c r="W20" s="73"/>
      <c r="X20" s="73"/>
      <c r="Y20" s="73"/>
      <c r="Z20" s="73"/>
    </row>
    <row r="21" spans="1:26">
      <c r="A21" s="573" t="s">
        <v>1656</v>
      </c>
      <c r="B21" s="573" t="s">
        <v>1657</v>
      </c>
      <c r="C21" s="573" t="s">
        <v>12</v>
      </c>
      <c r="D21" s="796" t="str">
        <f>HYPERLINK("#'P-Lote'!A11", 'P-Lote'!A11)</f>
        <v>P-LOT-007</v>
      </c>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3.6">
      <c r="A999" s="73"/>
      <c r="B999" s="73"/>
      <c r="C999" s="73"/>
      <c r="D999" s="27"/>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2">
    <mergeCell ref="B3:C3"/>
    <mergeCell ref="B2:C2"/>
  </mergeCells>
  <hyperlinks>
    <hyperlink ref="A1" location="'Modelo de dominio'!A1" display="&lt;&lt;&lt;Modelo de Dominio" xr:uid="{00000000-0004-0000-2800-000000000000}"/>
    <hyperlink ref="B1" location="'Objetos de dominio'!A1" display="&lt;&lt;&lt;Objetos de Dominio" xr:uid="{00000000-0004-0000-2800-000001000000}"/>
    <hyperlink ref="B3" location="'Objetos de dominio'!B16" display="Objeto de dominio que registra los movimientos que tiene el inventario" xr:uid="{00000000-0004-0000-2800-000002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48">
    <outlinePr summaryBelow="0" summaryRight="0"/>
  </sheetPr>
  <dimension ref="A1:G20"/>
  <sheetViews>
    <sheetView zoomScale="86" zoomScaleNormal="115" workbookViewId="0">
      <selection activeCell="G20" sqref="G20"/>
    </sheetView>
  </sheetViews>
  <sheetFormatPr baseColWidth="10" defaultColWidth="12.625" defaultRowHeight="15.8" customHeight="1"/>
  <cols>
    <col min="1" max="1" width="13.125" customWidth="1"/>
    <col min="2" max="2" width="32.75" customWidth="1"/>
    <col min="3" max="3" width="20.875" customWidth="1"/>
    <col min="4" max="4" width="35.375" customWidth="1"/>
    <col min="5" max="5" width="24.25" customWidth="1"/>
    <col min="6" max="6" width="42.375" customWidth="1"/>
    <col min="7" max="7" width="37.75" bestFit="1" customWidth="1"/>
  </cols>
  <sheetData>
    <row r="1" spans="1:7" ht="12.75" customHeight="1">
      <c r="A1" s="76" t="s">
        <v>0</v>
      </c>
      <c r="B1" s="132" t="s">
        <v>1</v>
      </c>
      <c r="C1" s="201"/>
    </row>
    <row r="2" spans="1:7" ht="66.25" customHeight="1">
      <c r="A2" s="92" t="s">
        <v>531</v>
      </c>
      <c r="B2" s="148" t="s">
        <v>532</v>
      </c>
      <c r="C2" s="92" t="s">
        <v>533</v>
      </c>
      <c r="D2" s="92" t="s">
        <v>534</v>
      </c>
      <c r="E2" s="92" t="s">
        <v>535</v>
      </c>
      <c r="F2" s="148"/>
    </row>
    <row r="3" spans="1:7" ht="69.8" customHeight="1">
      <c r="A3" s="78" t="s">
        <v>8</v>
      </c>
      <c r="B3" s="79" t="s">
        <v>42</v>
      </c>
      <c r="C3" s="79" t="s">
        <v>261</v>
      </c>
      <c r="D3" s="79" t="s">
        <v>9</v>
      </c>
      <c r="E3" s="79" t="s">
        <v>9</v>
      </c>
      <c r="F3" s="79"/>
    </row>
    <row r="4" spans="1:7" ht="12.75" customHeight="1">
      <c r="A4" s="80" t="s">
        <v>14</v>
      </c>
      <c r="B4" s="80" t="s">
        <v>15</v>
      </c>
      <c r="C4" s="80" t="s">
        <v>15</v>
      </c>
      <c r="D4" s="80" t="s">
        <v>15</v>
      </c>
      <c r="E4" s="80" t="s">
        <v>100</v>
      </c>
      <c r="F4" s="80" t="s">
        <v>15</v>
      </c>
      <c r="G4" s="80" t="s">
        <v>15</v>
      </c>
    </row>
    <row r="5" spans="1:7" ht="12.75" customHeight="1">
      <c r="A5" s="87" t="s">
        <v>16</v>
      </c>
      <c r="B5" s="208" t="s">
        <v>42</v>
      </c>
      <c r="C5" s="81" t="s">
        <v>536</v>
      </c>
      <c r="D5" s="109" t="s">
        <v>537</v>
      </c>
      <c r="E5" s="81" t="s">
        <v>538</v>
      </c>
      <c r="F5" s="89" t="s">
        <v>111</v>
      </c>
      <c r="G5" s="89" t="s">
        <v>1061</v>
      </c>
    </row>
    <row r="6" spans="1:7" ht="12.75" customHeight="1">
      <c r="A6" s="98">
        <v>1</v>
      </c>
      <c r="B6" s="288" t="str">
        <f>HYPERLINK("#'M-Producto'!I8", 'M-Producto'!I8)</f>
        <v>Margarita Grande</v>
      </c>
      <c r="C6" s="81">
        <v>25000</v>
      </c>
      <c r="D6" s="397">
        <v>45741</v>
      </c>
      <c r="E6" s="398" t="s">
        <v>360</v>
      </c>
      <c r="F6" s="81" t="str">
        <f t="shared" ref="F6:F19" si="0">CONCATENATE(B6, " ",TEXT(D6,"dd/mm/yyyy") )</f>
        <v>Margarita Grande 25/03/2025</v>
      </c>
      <c r="G6" s="81" t="str">
        <f t="shared" ref="G6:G18" si="1">CONCATENATE(B6, " ",TEXT(E6,"dd/mm/yyyy") )</f>
        <v>Margarita Grande 01/01/1000</v>
      </c>
    </row>
    <row r="7" spans="1:7" s="614" customFormat="1" ht="12.75" customHeight="1">
      <c r="A7" s="206">
        <v>2</v>
      </c>
      <c r="B7" s="288" t="str">
        <f>HYPERLINK("#'M-Producto'!I9", 'M-Producto'!I9)</f>
        <v>Peperoni Mediana</v>
      </c>
      <c r="C7" s="205">
        <v>20000</v>
      </c>
      <c r="D7" s="397">
        <v>45775</v>
      </c>
      <c r="E7" s="399">
        <v>45862</v>
      </c>
      <c r="F7" s="81" t="str">
        <f t="shared" si="0"/>
        <v>Peperoni Mediana 28/04/2025</v>
      </c>
      <c r="G7" s="81" t="str">
        <f t="shared" si="1"/>
        <v>Peperoni Mediana 24/07/2025</v>
      </c>
    </row>
    <row r="8" spans="1:7" ht="12.75" customHeight="1">
      <c r="A8" s="98">
        <v>3</v>
      </c>
      <c r="B8" s="288" t="str">
        <f>HYPERLINK("#'M-Producto'!I9", 'M-Producto'!I9)</f>
        <v>Peperoni Mediana</v>
      </c>
      <c r="C8" s="81">
        <v>23000</v>
      </c>
      <c r="D8" s="397">
        <v>46228</v>
      </c>
      <c r="E8" s="398" t="s">
        <v>360</v>
      </c>
      <c r="F8" s="81" t="str">
        <f t="shared" si="0"/>
        <v>Peperoni Mediana 25/07/2026</v>
      </c>
      <c r="G8" s="81" t="str">
        <f t="shared" si="1"/>
        <v>Peperoni Mediana 01/01/1000</v>
      </c>
    </row>
    <row r="9" spans="1:7" ht="12.75" customHeight="1">
      <c r="A9" s="206">
        <v>4</v>
      </c>
      <c r="B9" s="288" t="str">
        <f>HYPERLINK("#'M-Producto'!I10", 'M-Producto'!I10)</f>
        <v>Margarita y Hawaiana Pequeña</v>
      </c>
      <c r="C9" s="81">
        <v>30000</v>
      </c>
      <c r="D9" s="397">
        <v>46198</v>
      </c>
      <c r="E9" s="398" t="s">
        <v>360</v>
      </c>
      <c r="F9" s="81" t="str">
        <f t="shared" si="0"/>
        <v>Margarita y Hawaiana Pequeña 25/06/2026</v>
      </c>
      <c r="G9" s="81" t="str">
        <f t="shared" si="1"/>
        <v>Margarita y Hawaiana Pequeña 01/01/1000</v>
      </c>
    </row>
    <row r="10" spans="1:7" s="614" customFormat="1" ht="12.75" customHeight="1">
      <c r="A10" s="216">
        <v>5</v>
      </c>
      <c r="B10" s="288" t="str">
        <f>HYPERLINK("#'M-Producto'!I11", 'M-Producto'!I11)</f>
        <v>Extra Queso</v>
      </c>
      <c r="C10" s="213">
        <v>5000</v>
      </c>
      <c r="D10" s="397">
        <v>46199</v>
      </c>
      <c r="E10" s="398" t="s">
        <v>360</v>
      </c>
      <c r="F10" s="81" t="str">
        <f t="shared" si="0"/>
        <v>Extra Queso 26/06/2026</v>
      </c>
      <c r="G10" s="81" t="str">
        <f t="shared" si="1"/>
        <v>Extra Queso 01/01/1000</v>
      </c>
    </row>
    <row r="11" spans="1:7" ht="12.75" customHeight="1">
      <c r="A11" s="98">
        <v>6</v>
      </c>
      <c r="B11" s="288" t="str">
        <f>HYPERLINK("#'M-Producto'!I12", 'M-Producto'!I12)</f>
        <v>Extra Piña</v>
      </c>
      <c r="C11" s="81">
        <v>4000</v>
      </c>
      <c r="D11" s="397">
        <v>46200</v>
      </c>
      <c r="E11" s="399">
        <v>46227</v>
      </c>
      <c r="F11" s="81" t="str">
        <f t="shared" si="0"/>
        <v>Extra Piña 27/06/2026</v>
      </c>
      <c r="G11" s="81" t="str">
        <f t="shared" si="1"/>
        <v>Extra Piña 24/07/2026</v>
      </c>
    </row>
    <row r="12" spans="1:7" s="614" customFormat="1" ht="12.75" customHeight="1">
      <c r="A12" s="98">
        <v>7</v>
      </c>
      <c r="B12" s="288" t="str">
        <f>HYPERLINK("#'M-Producto'!I12", 'M-Producto'!I12)</f>
        <v>Extra Piña</v>
      </c>
      <c r="C12" s="205">
        <v>6000</v>
      </c>
      <c r="D12" s="397">
        <v>46228</v>
      </c>
      <c r="E12" s="398" t="s">
        <v>360</v>
      </c>
      <c r="F12" s="81" t="str">
        <f t="shared" si="0"/>
        <v>Extra Piña 25/07/2026</v>
      </c>
      <c r="G12" s="81" t="str">
        <f t="shared" si="1"/>
        <v>Extra Piña 01/01/1000</v>
      </c>
    </row>
    <row r="13" spans="1:7" ht="12.75" customHeight="1">
      <c r="A13" s="206">
        <v>8</v>
      </c>
      <c r="B13" s="288" t="str">
        <f>HYPERLINK("#'M-Producto'!I13", 'M-Producto'!I13)</f>
        <v>Extra Peperoni</v>
      </c>
      <c r="C13" s="81">
        <v>9000</v>
      </c>
      <c r="D13" s="397">
        <v>46259</v>
      </c>
      <c r="E13" s="398" t="s">
        <v>360</v>
      </c>
      <c r="F13" s="81" t="str">
        <f t="shared" si="0"/>
        <v>Extra Peperoni 25/08/2026</v>
      </c>
      <c r="G13" s="81" t="str">
        <f t="shared" si="1"/>
        <v>Extra Peperoni 01/01/1000</v>
      </c>
    </row>
    <row r="14" spans="1:7" ht="12.75" customHeight="1">
      <c r="A14" s="98">
        <v>9</v>
      </c>
      <c r="B14" s="288" t="str">
        <f>HYPERLINK("#'M-Producto'!I14", 'M-Producto'!I14)</f>
        <v>Jugo Hit Mora 200 ml</v>
      </c>
      <c r="C14" s="81">
        <v>4000</v>
      </c>
      <c r="D14" s="397">
        <v>46260</v>
      </c>
      <c r="E14" s="398" t="s">
        <v>360</v>
      </c>
      <c r="F14" s="81" t="str">
        <f t="shared" si="0"/>
        <v>Jugo Hit Mora 200 ml 26/08/2026</v>
      </c>
      <c r="G14" s="81" t="str">
        <f t="shared" si="1"/>
        <v>Jugo Hit Mora 200 ml 01/01/1000</v>
      </c>
    </row>
    <row r="15" spans="1:7" ht="12.75" customHeight="1">
      <c r="A15" s="206">
        <v>10</v>
      </c>
      <c r="B15" s="288" t="str">
        <f>HYPERLINK("#'M-Producto'!I15", 'M-Producto'!I15)</f>
        <v>Pepsi 400 ml</v>
      </c>
      <c r="C15" s="81">
        <v>6000</v>
      </c>
      <c r="D15" s="397">
        <v>46261</v>
      </c>
      <c r="E15" s="398" t="s">
        <v>360</v>
      </c>
      <c r="F15" s="81" t="str">
        <f t="shared" si="0"/>
        <v>Pepsi 400 ml 27/08/2026</v>
      </c>
      <c r="G15" s="81" t="str">
        <f t="shared" si="1"/>
        <v>Pepsi 400 ml 01/01/1000</v>
      </c>
    </row>
    <row r="16" spans="1:7" ht="12.75" customHeight="1">
      <c r="A16" s="98">
        <v>11</v>
      </c>
      <c r="B16" s="288" t="str">
        <f>HYPERLINK("#'M-Producto'!I16", 'M-Producto'!I16)</f>
        <v>Monster 473 ml</v>
      </c>
      <c r="C16" s="81">
        <v>5200</v>
      </c>
      <c r="D16" s="397">
        <v>46262</v>
      </c>
      <c r="E16" s="398" t="s">
        <v>360</v>
      </c>
      <c r="F16" s="81" t="str">
        <f t="shared" si="0"/>
        <v>Monster 473 ml 28/08/2026</v>
      </c>
      <c r="G16" s="81" t="str">
        <f t="shared" si="1"/>
        <v>Monster 473 ml 01/01/1000</v>
      </c>
    </row>
    <row r="17" spans="1:7" ht="12.75" customHeight="1">
      <c r="A17" s="98">
        <v>12</v>
      </c>
      <c r="B17" s="288" t="str">
        <f>HYPERLINK("#'M-Producto'!I17", 'M-Producto'!I17)</f>
        <v>Colombiana 400 ml</v>
      </c>
      <c r="C17" s="81">
        <v>4500</v>
      </c>
      <c r="D17" s="400">
        <v>46279</v>
      </c>
      <c r="E17" s="398" t="s">
        <v>360</v>
      </c>
      <c r="F17" s="81" t="str">
        <f t="shared" si="0"/>
        <v>Colombiana 400 ml 14/09/2026</v>
      </c>
      <c r="G17" s="81" t="str">
        <f t="shared" si="1"/>
        <v>Colombiana 400 ml 01/01/1000</v>
      </c>
    </row>
    <row r="18" spans="1:7" ht="12.75" customHeight="1">
      <c r="A18" s="206">
        <v>13</v>
      </c>
      <c r="B18" s="288" t="str">
        <f>HYPERLINK("#'M-Producto'!I18", 'M-Producto'!I18)</f>
        <v>Mr tea 300 ml</v>
      </c>
      <c r="C18" s="81">
        <v>4500</v>
      </c>
      <c r="D18" s="400">
        <v>45940</v>
      </c>
      <c r="E18" s="398" t="s">
        <v>360</v>
      </c>
      <c r="F18" s="81" t="str">
        <f t="shared" si="0"/>
        <v>Mr tea 300 ml 10/10/2025</v>
      </c>
      <c r="G18" s="81" t="str">
        <f t="shared" si="1"/>
        <v>Mr tea 300 ml 01/01/1000</v>
      </c>
    </row>
    <row r="19" spans="1:7" ht="12.75" customHeight="1">
      <c r="A19" s="206">
        <v>14</v>
      </c>
      <c r="B19" s="288" t="str">
        <f>HYPERLINK("#'M-Producto'!I19", 'M-Producto'!I19)</f>
        <v>Hawaiana Grande</v>
      </c>
      <c r="C19" s="81">
        <v>35000</v>
      </c>
      <c r="D19" s="400">
        <v>46266</v>
      </c>
      <c r="E19" s="398" t="s">
        <v>360</v>
      </c>
      <c r="F19" s="81" t="str">
        <f t="shared" si="0"/>
        <v>Hawaiana Grande 01/09/2026</v>
      </c>
      <c r="G19" s="81" t="str">
        <f>CONCATENATE(B19, " ",TEXT(E19,"dd/mm/yyyy") )</f>
        <v>Hawaiana Grande 01/01/1000</v>
      </c>
    </row>
    <row r="20" spans="1:7" ht="12.75" customHeight="1">
      <c r="A20" s="28"/>
    </row>
  </sheetData>
  <hyperlinks>
    <hyperlink ref="A1" location="'Modelo de dominio'!A1" display="&lt;&lt;&lt;Modelo de Dominio" xr:uid="{00000000-0004-0000-1900-000000000000}"/>
    <hyperlink ref="B1" location="'Objetos de dominio'!A1" display="&lt;&lt;&lt;Objetos de Dominio" xr:uid="{00000000-0004-0000-1900-000001000000}"/>
    <hyperlink ref="B5" location="'M-Producto'!A1" display="Producto" xr:uid="{00000000-0004-0000-1900-000002000000}"/>
  </hyperlinks>
  <pageMargins left="0.75" right="0.75" top="1" bottom="1" header="0.5" footer="0.5"/>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49">
    <outlinePr summaryBelow="0" summaryRight="0"/>
  </sheetPr>
  <dimension ref="A1:W30"/>
  <sheetViews>
    <sheetView topLeftCell="Q1" zoomScale="66" zoomScaleNormal="100" workbookViewId="0">
      <selection activeCell="W23" sqref="W23"/>
    </sheetView>
  </sheetViews>
  <sheetFormatPr baseColWidth="10" defaultColWidth="26.125" defaultRowHeight="12.9"/>
  <cols>
    <col min="1" max="1" width="27.75" bestFit="1" customWidth="1"/>
    <col min="2" max="2" width="90" bestFit="1" customWidth="1"/>
    <col min="3" max="3" width="34.375" bestFit="1" customWidth="1"/>
    <col min="4" max="4" width="24" bestFit="1" customWidth="1"/>
    <col min="5" max="5" width="11.625" bestFit="1" customWidth="1"/>
    <col min="6" max="6" width="27" bestFit="1" customWidth="1"/>
    <col min="7" max="7" width="27.375" bestFit="1" customWidth="1"/>
    <col min="8" max="8" width="19.75" bestFit="1" customWidth="1"/>
    <col min="9" max="9" width="90.625" bestFit="1" customWidth="1"/>
    <col min="10" max="10" width="23.25" bestFit="1" customWidth="1"/>
    <col min="11" max="11" width="21.75" bestFit="1" customWidth="1"/>
    <col min="12" max="12" width="18.75" bestFit="1" customWidth="1"/>
    <col min="13" max="13" width="98.375" bestFit="1" customWidth="1"/>
    <col min="14" max="14" width="15.375" bestFit="1" customWidth="1"/>
    <col min="15" max="15" width="31.25" bestFit="1" customWidth="1"/>
    <col min="16" max="16" width="28.25" bestFit="1" customWidth="1"/>
    <col min="17" max="17" width="129.375" bestFit="1" customWidth="1"/>
    <col min="18" max="18" width="73.875" bestFit="1" customWidth="1"/>
    <col min="19" max="19" width="23.875" bestFit="1" customWidth="1"/>
    <col min="20" max="20" width="27.375" bestFit="1" customWidth="1"/>
    <col min="21" max="21" width="15.25" bestFit="1" customWidth="1"/>
    <col min="23" max="23" width="41.25" bestFit="1" customWidth="1"/>
  </cols>
  <sheetData>
    <row r="1" spans="1:23" ht="13.75" customHeight="1">
      <c r="A1" s="76" t="s">
        <v>0</v>
      </c>
      <c r="B1" s="132" t="s">
        <v>1</v>
      </c>
      <c r="C1" s="25"/>
      <c r="D1" s="25"/>
      <c r="E1" s="25"/>
      <c r="F1" s="25"/>
      <c r="G1" s="25"/>
      <c r="H1" s="25"/>
      <c r="I1" s="25"/>
      <c r="J1" s="25"/>
      <c r="K1" s="25"/>
      <c r="L1" s="25"/>
      <c r="M1" s="25"/>
      <c r="N1" s="25"/>
      <c r="O1" s="25"/>
      <c r="P1" s="25"/>
      <c r="Q1" s="25"/>
      <c r="R1" s="25"/>
      <c r="S1" s="25"/>
      <c r="T1" s="25"/>
      <c r="U1" s="25"/>
    </row>
    <row r="2" spans="1:23" ht="14.3" customHeight="1">
      <c r="A2" s="7" t="s">
        <v>20</v>
      </c>
      <c r="B2" s="1074" t="s">
        <v>47</v>
      </c>
      <c r="C2" s="1032"/>
      <c r="D2" s="1032"/>
      <c r="E2" s="1032"/>
      <c r="F2" s="1032"/>
      <c r="G2" s="1032"/>
      <c r="H2" s="1032"/>
      <c r="I2" s="1032"/>
      <c r="J2" s="1032"/>
      <c r="K2" s="1032"/>
      <c r="L2" s="1032"/>
      <c r="M2" s="1032"/>
      <c r="N2" s="1032"/>
      <c r="O2" s="1032"/>
      <c r="P2" s="1032"/>
      <c r="Q2" s="1032"/>
      <c r="R2" s="1032"/>
      <c r="S2" s="1032"/>
      <c r="T2" s="1032"/>
      <c r="U2" s="1033"/>
    </row>
    <row r="3" spans="1:23" ht="14.3" customHeight="1">
      <c r="A3" s="7" t="s">
        <v>79</v>
      </c>
      <c r="B3" s="1084" t="str">
        <f>HYPERLINK("#'Objetos de dominio'!B15", 'Objetos de dominio'!B17)</f>
        <v>Aquí se guarda el registro de los precios que ha tenido cada producto a lo largo del tiempo, para poder ver cómo han cambiado.</v>
      </c>
      <c r="C3" s="1032"/>
      <c r="D3" s="1032"/>
      <c r="E3" s="1032"/>
      <c r="F3" s="1032"/>
      <c r="G3" s="1032"/>
      <c r="H3" s="1032"/>
      <c r="I3" s="1032"/>
      <c r="J3" s="1032"/>
      <c r="K3" s="1032"/>
      <c r="L3" s="1032"/>
      <c r="M3" s="1032"/>
      <c r="N3" s="1032"/>
      <c r="O3" s="1032"/>
      <c r="P3" s="1032"/>
      <c r="Q3" s="1032"/>
      <c r="R3" s="1032"/>
      <c r="S3" s="1032"/>
      <c r="T3" s="1032"/>
      <c r="U3" s="1033"/>
    </row>
    <row r="4" spans="1:23" ht="14.3"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HYPERLINK("#'C-HistoricoPrecio'!A19", 'C-HistoricoPrecio'!A19)</f>
        <v>Registrar precio</v>
      </c>
      <c r="W4" s="519" t="str">
        <f>HYPERLINK("#'C-HistoricoPrecio'!A27", 'C-HistoricoPrecio'!A27)</f>
        <v>Consultar historico de precios de un producto</v>
      </c>
    </row>
    <row r="5" spans="1:23" ht="14.3" customHeight="1">
      <c r="A5" s="135" t="str">
        <f>HYPERLINK("#'M-HistoricoPrecio'!A5", 'M-HistoricoPrecio'!A5)</f>
        <v>Id</v>
      </c>
      <c r="B5" s="135" t="str">
        <f>HYPERLINK("#'M-HistoricoPrecio'!A2", 'M-HistoricoPrecio'!A2)</f>
        <v xml:space="preserve">Representa el identificador único de cada historico de precio </v>
      </c>
      <c r="C5" s="184" t="s">
        <v>15</v>
      </c>
      <c r="D5" s="184" t="s">
        <v>99</v>
      </c>
      <c r="E5" s="184" t="s">
        <v>15</v>
      </c>
      <c r="F5" s="9"/>
      <c r="G5" s="9"/>
      <c r="H5" s="9"/>
      <c r="I5" s="9"/>
      <c r="J5" s="9"/>
      <c r="K5" s="9"/>
      <c r="L5" s="9"/>
      <c r="M5" s="9"/>
      <c r="N5" s="184" t="s">
        <v>100</v>
      </c>
      <c r="O5" s="184" t="s">
        <v>100</v>
      </c>
      <c r="P5" s="9"/>
      <c r="Q5" s="184" t="s">
        <v>100</v>
      </c>
      <c r="R5" s="184" t="s">
        <v>100</v>
      </c>
      <c r="S5" s="184" t="s">
        <v>100</v>
      </c>
      <c r="T5" s="9"/>
      <c r="U5" s="486" t="s">
        <v>15</v>
      </c>
      <c r="V5" s="582" t="s">
        <v>101</v>
      </c>
      <c r="W5" s="519" t="s">
        <v>274</v>
      </c>
    </row>
    <row r="6" spans="1:23" ht="14.3" customHeight="1">
      <c r="A6" s="135" t="str">
        <f>HYPERLINK("#'M-HistoricoPrecio'!B5", 'M-HistoricoPrecio'!B5)</f>
        <v>Producto</v>
      </c>
      <c r="B6" s="135" t="str">
        <f>HYPERLINK("#'M-HistoricoPrecio'!B2", 'M-HistoricoPrecio'!B2)</f>
        <v>Producto al cual se le realizo un cambio de precio</v>
      </c>
      <c r="C6" s="184" t="s">
        <v>100</v>
      </c>
      <c r="D6" s="184" t="s">
        <v>42</v>
      </c>
      <c r="E6" s="184" t="s">
        <v>15</v>
      </c>
      <c r="F6" s="11"/>
      <c r="G6" s="12"/>
      <c r="H6" s="9"/>
      <c r="I6" s="9"/>
      <c r="J6" s="9"/>
      <c r="K6" s="9"/>
      <c r="L6" s="9"/>
      <c r="M6" s="184" t="s">
        <v>539</v>
      </c>
      <c r="N6" s="184" t="s">
        <v>100</v>
      </c>
      <c r="O6" s="184" t="s">
        <v>100</v>
      </c>
      <c r="P6" s="9"/>
      <c r="Q6" s="184" t="s">
        <v>100</v>
      </c>
      <c r="R6" s="184" t="s">
        <v>100</v>
      </c>
      <c r="S6" s="184" t="s">
        <v>100</v>
      </c>
      <c r="T6" s="9"/>
      <c r="U6" s="486" t="s">
        <v>100</v>
      </c>
      <c r="V6" s="582" t="s">
        <v>101</v>
      </c>
      <c r="W6" s="519" t="s">
        <v>278</v>
      </c>
    </row>
    <row r="7" spans="1:23" ht="14.3" customHeight="1">
      <c r="A7" s="648" t="str">
        <f>HYPERLINK("#'M-HistoricoPrecio'!C5", 'M-HistoricoPrecio'!C5)</f>
        <v>Precio</v>
      </c>
      <c r="B7" s="648" t="str">
        <f>HYPERLINK("#'M-HistoricoPrecio'!C2", 'M-HistoricoPrecio'!C2)</f>
        <v xml:space="preserve">Precio correpondiente a un producto </v>
      </c>
      <c r="C7" s="184" t="s">
        <v>100</v>
      </c>
      <c r="D7" s="184" t="s">
        <v>13</v>
      </c>
      <c r="E7" s="184" t="s">
        <v>15</v>
      </c>
      <c r="F7" s="11"/>
      <c r="G7" s="12"/>
      <c r="H7" s="184">
        <v>2</v>
      </c>
      <c r="I7" s="184" t="s">
        <v>103</v>
      </c>
      <c r="J7" s="184" t="s">
        <v>104</v>
      </c>
      <c r="K7" s="186">
        <v>1000000</v>
      </c>
      <c r="L7" s="9"/>
      <c r="M7" s="184" t="s">
        <v>1173</v>
      </c>
      <c r="N7" s="184" t="s">
        <v>100</v>
      </c>
      <c r="O7" s="184" t="s">
        <v>100</v>
      </c>
      <c r="P7" s="9"/>
      <c r="Q7" s="184" t="s">
        <v>100</v>
      </c>
      <c r="R7" s="184" t="s">
        <v>100</v>
      </c>
      <c r="S7" s="184" t="s">
        <v>100</v>
      </c>
      <c r="T7" s="9"/>
      <c r="U7" s="486" t="s">
        <v>100</v>
      </c>
      <c r="V7" s="582" t="s">
        <v>101</v>
      </c>
      <c r="W7" s="519" t="s">
        <v>278</v>
      </c>
    </row>
    <row r="8" spans="1:23" ht="14.3" customHeight="1">
      <c r="A8" s="648" t="str">
        <f>HYPERLINK("#'M-HistoricoPrecio'!D5", 'M-HistoricoPrecio'!D5)</f>
        <v>FechaInicio</v>
      </c>
      <c r="B8" s="648" t="str">
        <f>HYPERLINK("#'M-HistoricoPrecio'!D2", 'M-HistoricoPrecio'!D2)</f>
        <v>Fecha en la que se dio inicio a el precio de un prodcuto , ya sea que en esta fecha se ingreso por primera vez el producto o en esta fecha se inicio el nuevo precio de un producto</v>
      </c>
      <c r="C8" s="185" t="s">
        <v>100</v>
      </c>
      <c r="D8" s="185" t="s">
        <v>9</v>
      </c>
      <c r="E8" s="185" t="s">
        <v>15</v>
      </c>
      <c r="F8" s="74"/>
      <c r="G8" s="75"/>
      <c r="H8" s="14"/>
      <c r="I8" s="15"/>
      <c r="J8" s="14"/>
      <c r="K8" s="15"/>
      <c r="L8" s="185" t="s">
        <v>107</v>
      </c>
      <c r="M8" s="185" t="s">
        <v>540</v>
      </c>
      <c r="N8" s="185" t="s">
        <v>100</v>
      </c>
      <c r="O8" s="185" t="s">
        <v>100</v>
      </c>
      <c r="P8" s="15"/>
      <c r="Q8" s="185" t="s">
        <v>100</v>
      </c>
      <c r="R8" s="185" t="s">
        <v>100</v>
      </c>
      <c r="S8" s="185" t="s">
        <v>100</v>
      </c>
      <c r="T8" s="15"/>
      <c r="U8" s="487" t="s">
        <v>100</v>
      </c>
      <c r="V8" s="582" t="s">
        <v>101</v>
      </c>
      <c r="W8" s="519" t="s">
        <v>278</v>
      </c>
    </row>
    <row r="9" spans="1:23" ht="14.3" customHeight="1">
      <c r="A9" s="141" t="str">
        <f>HYPERLINK("#'M-HistoricoPrecio'!E5", 'M-HistoricoPrecio'!E5)</f>
        <v>FechaFin</v>
      </c>
      <c r="B9" s="141" t="str">
        <f>HYPERLINK("#'M-HistoricoPrecio'!E2", 'M-HistoricoPrecio'!E2)</f>
        <v xml:space="preserve">Fecha en la que finaliza ese precio en especifico </v>
      </c>
      <c r="C9" s="150" t="s">
        <v>100</v>
      </c>
      <c r="D9" s="150" t="s">
        <v>9</v>
      </c>
      <c r="E9" s="150" t="s">
        <v>100</v>
      </c>
      <c r="F9" s="159"/>
      <c r="G9" s="160"/>
      <c r="H9" s="113"/>
      <c r="I9" s="158"/>
      <c r="J9" s="113"/>
      <c r="K9" s="158"/>
      <c r="L9" s="150" t="s">
        <v>107</v>
      </c>
      <c r="M9" s="150" t="s">
        <v>1174</v>
      </c>
      <c r="N9" s="150" t="s">
        <v>100</v>
      </c>
      <c r="O9" s="150" t="s">
        <v>100</v>
      </c>
      <c r="P9" s="158"/>
      <c r="Q9" s="150" t="s">
        <v>100</v>
      </c>
      <c r="R9" s="150" t="s">
        <v>100</v>
      </c>
      <c r="S9" s="150" t="s">
        <v>100</v>
      </c>
      <c r="T9" s="150" t="s">
        <v>360</v>
      </c>
      <c r="U9" s="488" t="s">
        <v>100</v>
      </c>
      <c r="V9" s="582" t="s">
        <v>276</v>
      </c>
      <c r="W9" s="519" t="s">
        <v>278</v>
      </c>
    </row>
    <row r="11" spans="1:23" ht="14.3" customHeight="1">
      <c r="A11" s="111" t="s">
        <v>109</v>
      </c>
      <c r="B11" s="111" t="s">
        <v>79</v>
      </c>
      <c r="C11" s="111" t="s">
        <v>110</v>
      </c>
    </row>
    <row r="12" spans="1:23" ht="14.3" customHeight="1">
      <c r="A12" s="1464" t="s">
        <v>111</v>
      </c>
      <c r="B12" s="1466" t="s">
        <v>541</v>
      </c>
      <c r="C12" s="898" t="str">
        <f>HYPERLINK("#'C-HistoricoPrecio'!A6", 'C-HistoricoPrecio'!A6)</f>
        <v>Producto</v>
      </c>
    </row>
    <row r="13" spans="1:23">
      <c r="A13" s="1089"/>
      <c r="B13" s="1089"/>
      <c r="C13" s="899" t="str">
        <f>HYPERLINK("#'C-HistoricoPrecio'!A8", 'C-HistoricoPrecio'!A8)</f>
        <v>FechaInicio</v>
      </c>
    </row>
    <row r="14" spans="1:23" ht="13.6">
      <c r="A14" s="1464" t="s">
        <v>1061</v>
      </c>
      <c r="B14" s="1496" t="s">
        <v>1175</v>
      </c>
      <c r="C14" s="823" t="str">
        <f>HYPERLINK("#'C-HistoricoPrecio'!A6", 'C-HistoricoPrecio'!A6)</f>
        <v>Producto</v>
      </c>
    </row>
    <row r="15" spans="1:23" ht="13.6">
      <c r="A15" s="1089"/>
      <c r="B15" s="1078"/>
      <c r="C15" s="824" t="str">
        <f>HYPERLINK("#'C-HistoricoPrecio'!A9", 'C-HistoricoPrecio'!A9)</f>
        <v>FechaFin</v>
      </c>
    </row>
    <row r="16" spans="1:23" ht="13.75" customHeight="1" thickBot="1"/>
    <row r="17" spans="1:18" ht="14.3" customHeight="1">
      <c r="A17" s="1037" t="s">
        <v>113</v>
      </c>
      <c r="B17" s="1038"/>
      <c r="C17" s="1042" t="s">
        <v>79</v>
      </c>
      <c r="D17" s="1043"/>
      <c r="E17" s="1043"/>
      <c r="F17" s="1038"/>
      <c r="G17" s="1042" t="s">
        <v>114</v>
      </c>
      <c r="H17" s="1029"/>
      <c r="I17" s="1030"/>
      <c r="J17" s="1028" t="s">
        <v>115</v>
      </c>
      <c r="K17" s="1029"/>
      <c r="L17" s="1029"/>
      <c r="M17" s="1029"/>
      <c r="N17" s="1030"/>
      <c r="O17" s="1028" t="s">
        <v>116</v>
      </c>
      <c r="P17" s="1030"/>
      <c r="Q17" s="1028" t="s">
        <v>117</v>
      </c>
      <c r="R17" s="1030"/>
    </row>
    <row r="18" spans="1:18" ht="14.3" customHeight="1">
      <c r="A18" s="1039"/>
      <c r="B18" s="1040"/>
      <c r="C18" s="1044"/>
      <c r="D18" s="1045"/>
      <c r="E18" s="1045"/>
      <c r="F18" s="1040"/>
      <c r="G18" s="517" t="s">
        <v>118</v>
      </c>
      <c r="H18" s="517" t="s">
        <v>8</v>
      </c>
      <c r="I18" s="517" t="s">
        <v>79</v>
      </c>
      <c r="J18" s="691" t="s">
        <v>119</v>
      </c>
      <c r="K18" s="1034" t="s">
        <v>79</v>
      </c>
      <c r="L18" s="1035"/>
      <c r="M18" s="1035"/>
      <c r="N18" s="1036"/>
      <c r="O18" s="284" t="s">
        <v>120</v>
      </c>
      <c r="P18" s="544" t="s">
        <v>79</v>
      </c>
      <c r="Q18" s="544" t="s">
        <v>121</v>
      </c>
      <c r="R18" s="188" t="s">
        <v>122</v>
      </c>
    </row>
    <row r="19" spans="1:18" ht="63.7" customHeight="1">
      <c r="A19" s="1498" t="str">
        <f>HYPERLINK("#'C-HistoricoPrecio'!V4", 'E-HistoricoPrecio'!B7)</f>
        <v>Registrar precio</v>
      </c>
      <c r="B19" s="1012"/>
      <c r="C19" s="1011" t="str">
        <f>'E-HistoricoPrecio'!C7</f>
        <v>Permite establecer un nuevo precio para un producto, iniciando su nuevo período de vigencia y conservando el precio anterior para mantener la trazabilidad.</v>
      </c>
      <c r="D19" s="1017"/>
      <c r="E19" s="1017"/>
      <c r="F19" s="1012"/>
      <c r="G19" s="1020" t="s">
        <v>123</v>
      </c>
      <c r="H19" s="1020" t="s">
        <v>542</v>
      </c>
      <c r="I19" s="1211" t="s">
        <v>543</v>
      </c>
      <c r="J19" s="1214" t="s">
        <v>542</v>
      </c>
      <c r="K19" s="1500" t="s">
        <v>544</v>
      </c>
      <c r="L19" s="1501"/>
      <c r="M19" s="1501"/>
      <c r="N19" s="1502"/>
      <c r="O19" s="765" t="str">
        <f>HYPERLINK("#'P-HistoricoPrecio'!A5", 'P-HistoricoPrecio'!A5)</f>
        <v>P-HP-001</v>
      </c>
      <c r="P19" s="511" t="str">
        <f>'P-HistoricoPrecio'!B5</f>
        <v>Todo registro de histórico de precio debe contar con la información necesaria para identificar el producto, el precio y el periodo de vigencia.</v>
      </c>
      <c r="Q19" s="543" t="s">
        <v>545</v>
      </c>
      <c r="R19" s="515" t="s">
        <v>127</v>
      </c>
    </row>
    <row r="20" spans="1:18" ht="25.85">
      <c r="A20" s="1499"/>
      <c r="B20" s="1014"/>
      <c r="C20" s="1013"/>
      <c r="D20" s="1018"/>
      <c r="E20" s="1018"/>
      <c r="F20" s="1014"/>
      <c r="G20" s="1021"/>
      <c r="H20" s="1021"/>
      <c r="I20" s="1212"/>
      <c r="J20" s="1215"/>
      <c r="K20" s="1503"/>
      <c r="L20" s="1504"/>
      <c r="M20" s="1504"/>
      <c r="N20" s="1505"/>
      <c r="O20" s="765" t="str">
        <f>HYPERLINK("#'P-HistoricoPrecio'!A6", 'P-HistoricoPrecio'!A6)</f>
        <v>P-HP-002</v>
      </c>
      <c r="P20" s="511" t="str">
        <f>'P-HistoricoPrecio'!B6</f>
        <v>El producto al que se asocia un histórico de precio debe existir.</v>
      </c>
      <c r="Q20" s="543" t="s">
        <v>546</v>
      </c>
      <c r="R20" s="515" t="s">
        <v>433</v>
      </c>
    </row>
    <row r="21" spans="1:18" ht="38.75">
      <c r="A21" s="1499"/>
      <c r="B21" s="1014"/>
      <c r="C21" s="1013"/>
      <c r="D21" s="1018"/>
      <c r="E21" s="1018"/>
      <c r="F21" s="1014"/>
      <c r="G21" s="1021"/>
      <c r="H21" s="1021"/>
      <c r="I21" s="1212"/>
      <c r="J21" s="1215"/>
      <c r="K21" s="1503"/>
      <c r="L21" s="1504"/>
      <c r="M21" s="1504"/>
      <c r="N21" s="1505"/>
      <c r="O21" s="765" t="str">
        <f>HYPERLINK("#'P-HistoricoPrecio'!A7", 'P-HistoricoPrecio'!A7)</f>
        <v>P-HP-003</v>
      </c>
      <c r="P21" s="511" t="str">
        <f>'P-HistoricoPrecio'!B7</f>
        <v>El precio registrado debe ser mayor que cero y como maximo 1.000.000.</v>
      </c>
      <c r="Q21" s="543" t="s">
        <v>1537</v>
      </c>
      <c r="R21" s="515" t="s">
        <v>1437</v>
      </c>
    </row>
    <row r="22" spans="1:18" ht="25.85">
      <c r="A22" s="1499"/>
      <c r="B22" s="1014"/>
      <c r="C22" s="1013"/>
      <c r="D22" s="1018"/>
      <c r="E22" s="1018"/>
      <c r="F22" s="1014"/>
      <c r="G22" s="1021"/>
      <c r="H22" s="1021"/>
      <c r="I22" s="1212"/>
      <c r="J22" s="1215"/>
      <c r="K22" s="1503"/>
      <c r="L22" s="1504"/>
      <c r="M22" s="1504"/>
      <c r="N22" s="1505"/>
      <c r="O22" s="765" t="str">
        <f>HYPERLINK("#'P-HistoricoPrecio'!A8", 'P-HistoricoPrecio'!A8)</f>
        <v>P-HP-004</v>
      </c>
      <c r="P22" s="511" t="str">
        <f>'P-HistoricoPrecio'!B8</f>
        <v>La fecha de inicio de vigencia del precio debe ser válida.</v>
      </c>
      <c r="Q22" s="543" t="s">
        <v>547</v>
      </c>
      <c r="R22" s="515" t="s">
        <v>548</v>
      </c>
    </row>
    <row r="23" spans="1:18" ht="64.55">
      <c r="A23" s="1499"/>
      <c r="B23" s="1014"/>
      <c r="C23" s="1013"/>
      <c r="D23" s="1018"/>
      <c r="E23" s="1018"/>
      <c r="F23" s="1014"/>
      <c r="G23" s="1021"/>
      <c r="H23" s="1021"/>
      <c r="I23" s="1212"/>
      <c r="J23" s="1215"/>
      <c r="K23" s="1503"/>
      <c r="L23" s="1504"/>
      <c r="M23" s="1504"/>
      <c r="N23" s="1505"/>
      <c r="O23" s="765" t="str">
        <f>HYPERLINK("#'P-HistoricoPrecio'!A9", 'P-HistoricoPrecio'!A9)</f>
        <v>P-HP-005</v>
      </c>
      <c r="P23" s="511" t="str">
        <f>'P-HistoricoPrecio'!B9</f>
        <v>La fecha de finalizacion de un precio debe ser mayor o igual a su fecha de inicio; mientras el precio este vigente se registra 01/01/1000.</v>
      </c>
      <c r="Q23" s="543" t="s">
        <v>1538</v>
      </c>
      <c r="R23" s="515" t="s">
        <v>1539</v>
      </c>
    </row>
    <row r="24" spans="1:18" ht="51.65">
      <c r="A24" s="1499"/>
      <c r="B24" s="1014"/>
      <c r="C24" s="1013"/>
      <c r="D24" s="1018"/>
      <c r="E24" s="1018"/>
      <c r="F24" s="1014"/>
      <c r="G24" s="1021"/>
      <c r="H24" s="1021"/>
      <c r="I24" s="1212"/>
      <c r="J24" s="1215"/>
      <c r="K24" s="1503"/>
      <c r="L24" s="1504"/>
      <c r="M24" s="1504"/>
      <c r="N24" s="1505"/>
      <c r="O24" s="765" t="str">
        <f>HYPERLINK("#'P-HistoricoPrecio'!A10", 'P-HistoricoPrecio'!A10)</f>
        <v>P-HP-006</v>
      </c>
      <c r="P24" s="511" t="str">
        <f>'P-HistoricoPrecio'!B10</f>
        <v>No deben existir dos registros de precio del mismo producto con periodos de vigencia superpuestos.</v>
      </c>
      <c r="Q24" s="543" t="s">
        <v>549</v>
      </c>
      <c r="R24" s="515" t="s">
        <v>550</v>
      </c>
    </row>
    <row r="25" spans="1:18" ht="38.75">
      <c r="A25" s="1499"/>
      <c r="B25" s="1014"/>
      <c r="C25" s="1013"/>
      <c r="D25" s="1018"/>
      <c r="E25" s="1018"/>
      <c r="F25" s="1014"/>
      <c r="G25" s="1021"/>
      <c r="H25" s="1021"/>
      <c r="I25" s="1212"/>
      <c r="J25" s="1215"/>
      <c r="K25" s="1503"/>
      <c r="L25" s="1504"/>
      <c r="M25" s="1504"/>
      <c r="N25" s="1505"/>
      <c r="O25" s="765" t="str">
        <f>HYPERLINK("#'P-HistoricoPrecio'!A11", 'P-HistoricoPrecio'!A11)</f>
        <v>P-HP-007</v>
      </c>
      <c r="P25" s="511" t="str">
        <f>'P-HistoricoPrecio'!B11</f>
        <v>Solo puede existir un precio vigente para un producto en un momento determinado.</v>
      </c>
      <c r="Q25" s="543" t="s">
        <v>551</v>
      </c>
      <c r="R25" s="515" t="s">
        <v>552</v>
      </c>
    </row>
    <row r="26" spans="1:18" ht="103.25">
      <c r="A26" s="1499"/>
      <c r="B26" s="1014"/>
      <c r="C26" s="1013"/>
      <c r="D26" s="1018"/>
      <c r="E26" s="1018"/>
      <c r="F26" s="1014"/>
      <c r="G26" s="1021"/>
      <c r="H26" s="1021"/>
      <c r="I26" s="1212"/>
      <c r="J26" s="1215"/>
      <c r="K26" s="1503"/>
      <c r="L26" s="1504"/>
      <c r="M26" s="1504"/>
      <c r="N26" s="1505"/>
      <c r="O26" s="900" t="str">
        <f>HYPERLINK("#'P-HistoricoPrecio'!A12", 'P-HistoricoPrecio'!A12)</f>
        <v>P-HP-008</v>
      </c>
      <c r="P26" s="901" t="str">
        <f>'P-HistoricoPrecio'!B12</f>
        <v>Al registrar un nuevo precio para un producto, el precio vigente anterior se cierra asignandole como FechaFin el dia anterior al inicio del nuevo precio; el nuevo queda vigente (FechaFin 01/01/1000) y se actualiza el precio del producto.</v>
      </c>
      <c r="Q26" s="856" t="s">
        <v>1540</v>
      </c>
      <c r="R26" s="902" t="s">
        <v>1541</v>
      </c>
    </row>
    <row r="27" spans="1:18" ht="38.75" customHeight="1">
      <c r="A27" s="1128" t="str">
        <f>HYPERLINK("#'C-HistoricoPrecio'!W4", 'E-HistoricoPrecio'!B15)</f>
        <v>Consultar historico de precios de un producto</v>
      </c>
      <c r="B27" s="1128"/>
      <c r="C27" s="1128" t="str">
        <f>'E-HistoricoPrecio'!C15</f>
        <v>Permite consultar todos los precios que ha tenido un producto, con su periodo de vigencia.</v>
      </c>
      <c r="D27" s="1128"/>
      <c r="E27" s="1128"/>
      <c r="F27" s="1128"/>
      <c r="G27" s="859" t="s">
        <v>16</v>
      </c>
      <c r="H27" s="859" t="s">
        <v>299</v>
      </c>
      <c r="I27" s="860" t="s">
        <v>1542</v>
      </c>
      <c r="J27" s="859" t="s">
        <v>1543</v>
      </c>
      <c r="K27" s="1497" t="s">
        <v>1544</v>
      </c>
      <c r="L27" s="1497"/>
      <c r="M27" s="1497"/>
      <c r="N27" s="1497"/>
      <c r="O27" s="778" t="str">
        <f>HYPERLINK("#'P-HistoricoPrecio'!A6", 'P-HistoricoPrecio'!A6)</f>
        <v>P-HP-002</v>
      </c>
      <c r="P27" s="518" t="str">
        <f>'P-HistoricoPrecio'!B6</f>
        <v>El producto al que se asocia un histórico de precio debe existir.</v>
      </c>
      <c r="Q27" s="859" t="s">
        <v>1545</v>
      </c>
      <c r="R27" s="859" t="s">
        <v>1546</v>
      </c>
    </row>
    <row r="29" spans="1:18" ht="13.75" customHeight="1"/>
    <row r="30" spans="1:18" ht="13.75" customHeight="1">
      <c r="C30" s="270"/>
      <c r="D30" s="269"/>
      <c r="E30" s="269"/>
      <c r="F30" s="269"/>
      <c r="G30" s="269"/>
      <c r="H30" s="269"/>
      <c r="I30" s="269"/>
      <c r="J30" s="270"/>
      <c r="Q30" s="269"/>
      <c r="R30" s="269"/>
    </row>
  </sheetData>
  <mergeCells count="23">
    <mergeCell ref="A27:B27"/>
    <mergeCell ref="C27:F27"/>
    <mergeCell ref="K27:N27"/>
    <mergeCell ref="J17:N17"/>
    <mergeCell ref="O17:P17"/>
    <mergeCell ref="A19:B26"/>
    <mergeCell ref="C19:F26"/>
    <mergeCell ref="K19:N26"/>
    <mergeCell ref="G19:G26"/>
    <mergeCell ref="H19:H26"/>
    <mergeCell ref="I19:I26"/>
    <mergeCell ref="J19:J26"/>
    <mergeCell ref="Q17:R17"/>
    <mergeCell ref="B2:U2"/>
    <mergeCell ref="A17:B18"/>
    <mergeCell ref="B3:U3"/>
    <mergeCell ref="B12:B13"/>
    <mergeCell ref="A12:A13"/>
    <mergeCell ref="C17:F18"/>
    <mergeCell ref="G17:I17"/>
    <mergeCell ref="A14:A15"/>
    <mergeCell ref="B14:B15"/>
    <mergeCell ref="K18:N18"/>
  </mergeCells>
  <hyperlinks>
    <hyperlink ref="A1" location="'Modelo de dominio'!A1" display="&lt;&lt;&lt;Modelo de Dominio" xr:uid="{00000000-0004-0000-1A00-000000000000}"/>
    <hyperlink ref="B1" location="'Objetos de dominio'!A1" display="&lt;&lt;&lt;Objetos de Dominio" xr:uid="{00000000-0004-0000-1A00-000001000000}"/>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50">
    <outlinePr summaryBelow="0" summaryRight="0"/>
  </sheetPr>
  <dimension ref="A1:Y998"/>
  <sheetViews>
    <sheetView workbookViewId="0">
      <selection activeCell="A15" sqref="A15:J15"/>
    </sheetView>
  </sheetViews>
  <sheetFormatPr baseColWidth="10" defaultColWidth="79.375" defaultRowHeight="12.9"/>
  <cols>
    <col min="1" max="1" width="17" bestFit="1" customWidth="1"/>
    <col min="2" max="2" width="21.75" bestFit="1" customWidth="1"/>
    <col min="3" max="3" width="79" bestFit="1" customWidth="1"/>
    <col min="4" max="4" width="26.375" bestFit="1" customWidth="1"/>
    <col min="5" max="5" width="27.875" bestFit="1" customWidth="1"/>
    <col min="6" max="6" width="79.375" bestFit="1" customWidth="1"/>
    <col min="7" max="7" width="17.375" bestFit="1" customWidth="1"/>
    <col min="8" max="8" width="13.75" bestFit="1" customWidth="1"/>
    <col min="9" max="9" width="21.375" bestFit="1" customWidth="1"/>
    <col min="10" max="10" width="79" bestFit="1" customWidth="1"/>
  </cols>
  <sheetData>
    <row r="1" spans="1:25">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ht="13.75" customHeight="1">
      <c r="A2" s="51" t="s">
        <v>209</v>
      </c>
      <c r="B2" s="1062" t="s">
        <v>47</v>
      </c>
      <c r="C2" s="1032"/>
      <c r="D2" s="1032"/>
      <c r="E2" s="1032"/>
      <c r="F2" s="1032"/>
      <c r="G2" s="1032"/>
      <c r="H2" s="1032"/>
      <c r="I2" s="1032"/>
      <c r="J2" s="1033"/>
      <c r="K2" s="73"/>
      <c r="L2" s="73"/>
      <c r="M2" s="73"/>
      <c r="N2" s="73"/>
      <c r="O2" s="73"/>
      <c r="P2" s="73"/>
      <c r="Q2" s="73"/>
      <c r="R2" s="73"/>
      <c r="S2" s="73"/>
      <c r="T2" s="73"/>
      <c r="U2" s="73"/>
      <c r="V2" s="73"/>
      <c r="W2" s="73"/>
      <c r="X2" s="73"/>
      <c r="Y2" s="73"/>
    </row>
    <row r="3" spans="1:25" ht="13.75" customHeight="1">
      <c r="A3" s="52" t="s">
        <v>210</v>
      </c>
      <c r="B3" s="1063" t="str">
        <f>'C-HistoricoPrecio'!B3</f>
        <v>Aquí se guarda el registro de los precios que ha tenido cada producto a lo largo del tiempo, para poder ver cómo han cambiado.</v>
      </c>
      <c r="C3" s="1032"/>
      <c r="D3" s="1032"/>
      <c r="E3" s="1032"/>
      <c r="F3" s="1032"/>
      <c r="G3" s="1032"/>
      <c r="H3" s="1032"/>
      <c r="I3" s="1032"/>
      <c r="J3" s="1033"/>
      <c r="K3" s="73"/>
      <c r="L3" s="73"/>
      <c r="M3" s="73"/>
      <c r="N3" s="73"/>
      <c r="O3" s="73"/>
      <c r="P3" s="73"/>
      <c r="Q3" s="73"/>
      <c r="R3" s="73"/>
      <c r="S3" s="73"/>
      <c r="T3" s="73"/>
      <c r="U3" s="73"/>
      <c r="V3" s="73"/>
      <c r="W3" s="73"/>
      <c r="X3" s="73"/>
      <c r="Y3" s="73"/>
    </row>
    <row r="4" spans="1:25" ht="13.75" customHeight="1">
      <c r="A4" s="575" t="s">
        <v>211</v>
      </c>
      <c r="B4" s="1100" t="s">
        <v>212</v>
      </c>
      <c r="C4" s="1033"/>
      <c r="D4" s="226" t="s">
        <v>213</v>
      </c>
      <c r="E4" s="1106" t="s">
        <v>214</v>
      </c>
      <c r="F4" s="1033"/>
      <c r="G4" s="53" t="s">
        <v>215</v>
      </c>
      <c r="H4" s="381" t="s">
        <v>216</v>
      </c>
      <c r="I4" s="377" t="s">
        <v>217</v>
      </c>
      <c r="J4" s="380" t="s">
        <v>218</v>
      </c>
      <c r="K4" s="73"/>
      <c r="L4" s="73"/>
      <c r="M4" s="73"/>
      <c r="N4" s="73"/>
      <c r="O4" s="73"/>
      <c r="P4" s="73"/>
      <c r="Q4" s="73"/>
      <c r="R4" s="73"/>
      <c r="S4" s="73"/>
      <c r="T4" s="73"/>
      <c r="U4" s="73"/>
      <c r="V4" s="73"/>
      <c r="W4" s="73"/>
      <c r="X4" s="73"/>
      <c r="Y4" s="73"/>
    </row>
    <row r="5" spans="1:25" ht="13.75" customHeight="1">
      <c r="A5" s="1110" t="s">
        <v>211</v>
      </c>
      <c r="B5" s="1100" t="s">
        <v>219</v>
      </c>
      <c r="C5" s="1100" t="s">
        <v>79</v>
      </c>
      <c r="D5" s="1101" t="s">
        <v>220</v>
      </c>
      <c r="E5" s="1106" t="s">
        <v>221</v>
      </c>
      <c r="F5" s="1033"/>
      <c r="G5" s="53" t="s">
        <v>222</v>
      </c>
      <c r="H5" s="1158" t="s">
        <v>223</v>
      </c>
      <c r="I5" s="1103" t="s">
        <v>224</v>
      </c>
      <c r="J5" s="1097" t="s">
        <v>225</v>
      </c>
      <c r="K5" s="73"/>
      <c r="L5" s="73"/>
      <c r="M5" s="73"/>
      <c r="N5" s="73"/>
      <c r="O5" s="73"/>
      <c r="P5" s="73"/>
      <c r="Q5" s="73"/>
      <c r="R5" s="73"/>
      <c r="S5" s="73"/>
      <c r="T5" s="73"/>
      <c r="U5" s="73"/>
      <c r="V5" s="73"/>
      <c r="W5" s="73"/>
      <c r="X5" s="73"/>
      <c r="Y5" s="73"/>
    </row>
    <row r="6" spans="1:25" ht="13.75" customHeight="1">
      <c r="A6" s="1066"/>
      <c r="B6" s="1066"/>
      <c r="C6" s="1066"/>
      <c r="D6" s="1066"/>
      <c r="E6" s="126" t="s">
        <v>226</v>
      </c>
      <c r="F6" s="126" t="s">
        <v>79</v>
      </c>
      <c r="G6" s="127" t="s">
        <v>227</v>
      </c>
      <c r="H6" s="1066"/>
      <c r="I6" s="1066"/>
      <c r="J6" s="1066"/>
      <c r="K6" s="73"/>
      <c r="L6" s="73"/>
      <c r="M6" s="73"/>
      <c r="N6" s="73"/>
      <c r="O6" s="73"/>
      <c r="P6" s="73"/>
      <c r="Q6" s="73"/>
      <c r="R6" s="73"/>
      <c r="S6" s="73"/>
      <c r="T6" s="73"/>
      <c r="U6" s="73"/>
      <c r="V6" s="73"/>
      <c r="W6" s="73"/>
      <c r="X6" s="73"/>
      <c r="Y6" s="73"/>
    </row>
    <row r="7" spans="1:25" ht="25.5" customHeight="1">
      <c r="A7" s="1055" t="s">
        <v>228</v>
      </c>
      <c r="B7" s="1055" t="s">
        <v>553</v>
      </c>
      <c r="C7" s="1055" t="s">
        <v>554</v>
      </c>
      <c r="D7" s="1055" t="s">
        <v>47</v>
      </c>
      <c r="E7" s="1046" t="s">
        <v>555</v>
      </c>
      <c r="F7" s="1506" t="s">
        <v>556</v>
      </c>
      <c r="G7" s="756" t="str">
        <f>HYPERLINK("#'P-HistoricoPrecio'!A5", "P-HP-001")</f>
        <v>P-HP-001</v>
      </c>
      <c r="H7" s="1055"/>
      <c r="I7" s="1055" t="s">
        <v>557</v>
      </c>
      <c r="J7" s="1055" t="s">
        <v>558</v>
      </c>
      <c r="K7" s="73"/>
      <c r="L7" s="73"/>
      <c r="M7" s="73"/>
      <c r="N7" s="73"/>
      <c r="O7" s="73"/>
      <c r="P7" s="73"/>
      <c r="Q7" s="73"/>
      <c r="R7" s="73"/>
      <c r="S7" s="73"/>
      <c r="T7" s="73"/>
      <c r="U7" s="73"/>
      <c r="V7" s="73"/>
      <c r="W7" s="73"/>
      <c r="X7" s="73"/>
      <c r="Y7" s="73"/>
    </row>
    <row r="8" spans="1:25">
      <c r="A8" s="1047"/>
      <c r="B8" s="1047"/>
      <c r="C8" s="1047"/>
      <c r="D8" s="1047"/>
      <c r="E8" s="1047"/>
      <c r="F8" s="1507"/>
      <c r="G8" s="756" t="str">
        <f>HYPERLINK("#'P-HistoricoPrecio'!A6", "P-HP-002")</f>
        <v>P-HP-002</v>
      </c>
      <c r="H8" s="1047"/>
      <c r="I8" s="1047"/>
      <c r="J8" s="1047"/>
      <c r="K8" s="73"/>
      <c r="L8" s="73"/>
      <c r="M8" s="73"/>
      <c r="N8" s="73"/>
      <c r="O8" s="73"/>
      <c r="P8" s="73"/>
      <c r="Q8" s="73"/>
      <c r="R8" s="73"/>
      <c r="S8" s="73"/>
      <c r="T8" s="73"/>
      <c r="U8" s="73"/>
      <c r="V8" s="73"/>
      <c r="W8" s="73"/>
      <c r="X8" s="73"/>
      <c r="Y8" s="73"/>
    </row>
    <row r="9" spans="1:25">
      <c r="A9" s="1047"/>
      <c r="B9" s="1047"/>
      <c r="C9" s="1047"/>
      <c r="D9" s="1047"/>
      <c r="E9" s="1047"/>
      <c r="F9" s="1507"/>
      <c r="G9" s="756" t="str">
        <f>HYPERLINK("#'P-HistoricoPrecio'!A7", "P-HP-003")</f>
        <v>P-HP-003</v>
      </c>
      <c r="H9" s="1047"/>
      <c r="I9" s="1047"/>
      <c r="J9" s="1047"/>
      <c r="K9" s="73"/>
      <c r="L9" s="73"/>
      <c r="M9" s="73"/>
      <c r="N9" s="73"/>
      <c r="O9" s="73"/>
      <c r="P9" s="73"/>
      <c r="Q9" s="73"/>
      <c r="R9" s="73"/>
      <c r="S9" s="73"/>
      <c r="T9" s="73"/>
      <c r="U9" s="73"/>
      <c r="V9" s="73"/>
      <c r="W9" s="73"/>
      <c r="X9" s="73"/>
      <c r="Y9" s="73"/>
    </row>
    <row r="10" spans="1:25">
      <c r="A10" s="1047"/>
      <c r="B10" s="1047"/>
      <c r="C10" s="1047"/>
      <c r="D10" s="1047"/>
      <c r="E10" s="1047"/>
      <c r="F10" s="1507"/>
      <c r="G10" s="756" t="str">
        <f>HYPERLINK("#'P-HistoricoPrecio'!A8", "P-HP-004")</f>
        <v>P-HP-004</v>
      </c>
      <c r="H10" s="1047"/>
      <c r="I10" s="1047"/>
      <c r="J10" s="1047"/>
      <c r="K10" s="73"/>
      <c r="L10" s="73"/>
      <c r="M10" s="73"/>
      <c r="N10" s="73"/>
      <c r="O10" s="73"/>
      <c r="P10" s="73"/>
      <c r="Q10" s="73"/>
      <c r="R10" s="73"/>
      <c r="S10" s="73"/>
      <c r="T10" s="73"/>
      <c r="U10" s="73"/>
      <c r="V10" s="73"/>
      <c r="W10" s="73"/>
      <c r="X10" s="73"/>
      <c r="Y10" s="73"/>
    </row>
    <row r="11" spans="1:25">
      <c r="A11" s="1047"/>
      <c r="B11" s="1047"/>
      <c r="C11" s="1047"/>
      <c r="D11" s="1047"/>
      <c r="E11" s="1047"/>
      <c r="F11" s="1507"/>
      <c r="G11" s="756" t="str">
        <f>HYPERLINK("#'P-HistoricoPrecio'!A9", "P-HP-005")</f>
        <v>P-HP-005</v>
      </c>
      <c r="H11" s="1047"/>
      <c r="I11" s="1047"/>
      <c r="J11" s="1047"/>
      <c r="K11" s="73"/>
      <c r="L11" s="73"/>
      <c r="M11" s="73"/>
      <c r="N11" s="73"/>
      <c r="O11" s="73"/>
      <c r="P11" s="73"/>
      <c r="Q11" s="73"/>
      <c r="R11" s="73"/>
      <c r="S11" s="73"/>
      <c r="T11" s="73"/>
      <c r="U11" s="73"/>
      <c r="V11" s="73"/>
      <c r="W11" s="73"/>
      <c r="X11" s="73"/>
      <c r="Y11" s="73"/>
    </row>
    <row r="12" spans="1:25">
      <c r="A12" s="1047"/>
      <c r="B12" s="1047"/>
      <c r="C12" s="1047"/>
      <c r="D12" s="1047"/>
      <c r="E12" s="1047"/>
      <c r="F12" s="1507"/>
      <c r="G12" s="756" t="str">
        <f>HYPERLINK("#'P-HistoricoPrecio'!A10", "P-HP-006")</f>
        <v>P-HP-006</v>
      </c>
      <c r="H12" s="1047"/>
      <c r="I12" s="1047"/>
      <c r="J12" s="1047"/>
      <c r="K12" s="73"/>
      <c r="L12" s="73"/>
      <c r="M12" s="73"/>
      <c r="N12" s="73"/>
      <c r="O12" s="73"/>
      <c r="P12" s="73"/>
      <c r="Q12" s="73"/>
      <c r="R12" s="73"/>
      <c r="S12" s="73"/>
      <c r="T12" s="73"/>
      <c r="U12" s="73"/>
      <c r="V12" s="73"/>
      <c r="W12" s="73"/>
      <c r="X12" s="73"/>
      <c r="Y12" s="73"/>
    </row>
    <row r="13" spans="1:25">
      <c r="A13" s="1047"/>
      <c r="B13" s="1047"/>
      <c r="C13" s="1047"/>
      <c r="D13" s="1047"/>
      <c r="E13" s="1047"/>
      <c r="F13" s="1507"/>
      <c r="G13" s="756" t="str">
        <f>HYPERLINK("#'P-HistoricoPrecio'!A11", "P-HP-007")</f>
        <v>P-HP-007</v>
      </c>
      <c r="H13" s="1047"/>
      <c r="I13" s="1047"/>
      <c r="J13" s="1047"/>
      <c r="K13" s="73"/>
      <c r="L13" s="73"/>
      <c r="M13" s="73"/>
      <c r="N13" s="73"/>
      <c r="O13" s="73"/>
      <c r="P13" s="73"/>
      <c r="Q13" s="73"/>
      <c r="R13" s="73"/>
      <c r="S13" s="73"/>
      <c r="T13" s="73"/>
      <c r="U13" s="73"/>
      <c r="V13" s="73"/>
      <c r="W13" s="73"/>
      <c r="X13" s="73"/>
      <c r="Y13" s="73"/>
    </row>
    <row r="14" spans="1:25">
      <c r="A14" s="1048"/>
      <c r="B14" s="1048"/>
      <c r="C14" s="1048"/>
      <c r="D14" s="1048"/>
      <c r="E14" s="1048"/>
      <c r="F14" s="1508"/>
      <c r="G14" s="756" t="str">
        <f>HYPERLINK("#'P-HistoricoPrecio'!A12", "P-HP-008")</f>
        <v>P-HP-008</v>
      </c>
      <c r="H14" s="1048"/>
      <c r="I14" s="1048"/>
      <c r="J14" s="1048"/>
      <c r="K14" s="73"/>
      <c r="L14" s="73"/>
      <c r="M14" s="73"/>
      <c r="N14" s="73"/>
      <c r="O14" s="73"/>
      <c r="P14" s="73"/>
      <c r="Q14" s="73"/>
      <c r="R14" s="73"/>
      <c r="S14" s="73"/>
      <c r="T14" s="73"/>
      <c r="U14" s="73"/>
      <c r="V14" s="73"/>
      <c r="W14" s="73"/>
      <c r="X14" s="73"/>
      <c r="Y14" s="73"/>
    </row>
    <row r="15" spans="1:25" ht="25.85">
      <c r="A15" s="566" t="s">
        <v>228</v>
      </c>
      <c r="B15" s="566" t="s">
        <v>1532</v>
      </c>
      <c r="C15" s="566" t="s">
        <v>1533</v>
      </c>
      <c r="D15" s="566"/>
      <c r="E15" s="566" t="s">
        <v>1534</v>
      </c>
      <c r="F15" s="566" t="s">
        <v>1535</v>
      </c>
      <c r="G15" s="794" t="str">
        <f>HYPERLINK("#'P-HistoricoPrecio'!A6", "P-HP-002")</f>
        <v>P-HP-002</v>
      </c>
      <c r="H15" s="566"/>
      <c r="I15" s="566" t="s">
        <v>1536</v>
      </c>
      <c r="J15" s="566"/>
      <c r="K15" s="73"/>
      <c r="L15" s="73"/>
      <c r="M15" s="73"/>
      <c r="N15" s="73"/>
      <c r="O15" s="73"/>
      <c r="P15" s="73"/>
      <c r="Q15" s="73"/>
      <c r="R15" s="73"/>
      <c r="S15" s="73"/>
      <c r="T15" s="73"/>
      <c r="U15" s="73"/>
      <c r="V15" s="73"/>
      <c r="W15" s="73"/>
      <c r="X15" s="73"/>
      <c r="Y15" s="73"/>
    </row>
    <row r="16" spans="1:25">
      <c r="F16" s="84"/>
      <c r="G16" s="293"/>
      <c r="K16" s="73"/>
      <c r="L16" s="73"/>
      <c r="M16" s="73"/>
      <c r="N16" s="73"/>
      <c r="O16" s="73"/>
      <c r="P16" s="73"/>
      <c r="Q16" s="73"/>
      <c r="R16" s="73"/>
      <c r="S16" s="73"/>
      <c r="T16" s="73"/>
      <c r="U16" s="73"/>
      <c r="V16" s="73"/>
      <c r="W16" s="73"/>
      <c r="X16" s="73"/>
      <c r="Y16" s="73"/>
    </row>
    <row r="17" spans="1:25">
      <c r="F17" s="84"/>
      <c r="G17" s="293"/>
      <c r="K17" s="73"/>
      <c r="L17" s="73"/>
      <c r="M17" s="73"/>
      <c r="N17" s="73"/>
      <c r="O17" s="73"/>
      <c r="P17" s="73"/>
      <c r="Q17" s="73"/>
      <c r="R17" s="73"/>
      <c r="S17" s="73"/>
      <c r="T17" s="73"/>
      <c r="U17" s="73"/>
      <c r="V17" s="73"/>
      <c r="W17" s="73"/>
      <c r="X17" s="73"/>
      <c r="Y17" s="73"/>
    </row>
    <row r="18" spans="1:25">
      <c r="A18" s="73"/>
      <c r="B18" s="73"/>
      <c r="C18" s="73"/>
      <c r="D18" s="73"/>
      <c r="E18" s="73"/>
      <c r="F18" s="73"/>
      <c r="G18" s="73"/>
      <c r="H18" s="73"/>
      <c r="I18" s="73"/>
      <c r="J18" s="73"/>
      <c r="K18" s="73"/>
      <c r="L18" s="73"/>
      <c r="M18" s="73"/>
      <c r="N18" s="73"/>
      <c r="O18" s="73"/>
      <c r="P18" s="73"/>
      <c r="Q18" s="73"/>
      <c r="R18" s="73"/>
      <c r="S18" s="73"/>
      <c r="T18" s="73"/>
      <c r="U18" s="73"/>
      <c r="V18" s="73"/>
      <c r="W18" s="73"/>
      <c r="X18" s="73"/>
      <c r="Y18" s="73"/>
    </row>
    <row r="19" spans="1:25">
      <c r="A19" s="73"/>
      <c r="B19" s="73"/>
      <c r="C19" s="73"/>
      <c r="D19" s="73"/>
      <c r="E19" s="73"/>
      <c r="F19" s="73"/>
      <c r="G19" s="73"/>
      <c r="H19" s="73"/>
      <c r="I19" s="73"/>
      <c r="J19" s="73"/>
      <c r="K19" s="73"/>
      <c r="L19" s="73"/>
      <c r="M19" s="73"/>
      <c r="N19" s="73"/>
      <c r="O19" s="73"/>
      <c r="P19" s="73"/>
      <c r="Q19" s="73"/>
      <c r="R19" s="73"/>
      <c r="S19" s="73"/>
      <c r="T19" s="73"/>
      <c r="U19" s="73"/>
      <c r="V19" s="73"/>
      <c r="W19" s="73"/>
      <c r="X19" s="73"/>
      <c r="Y19" s="73"/>
    </row>
    <row r="20" spans="1:25">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spans="1:25">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1:25">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1:25">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sheetData>
  <mergeCells count="21">
    <mergeCell ref="F7:F14"/>
    <mergeCell ref="H7:H14"/>
    <mergeCell ref="I7:I14"/>
    <mergeCell ref="J7:J14"/>
    <mergeCell ref="A7:A14"/>
    <mergeCell ref="B7:B14"/>
    <mergeCell ref="C7:C14"/>
    <mergeCell ref="D7:D14"/>
    <mergeCell ref="E7:E14"/>
    <mergeCell ref="A5:A6"/>
    <mergeCell ref="B5:B6"/>
    <mergeCell ref="D5:D6"/>
    <mergeCell ref="B2:J2"/>
    <mergeCell ref="C5:C6"/>
    <mergeCell ref="B3:J3"/>
    <mergeCell ref="J5:J6"/>
    <mergeCell ref="B4:C4"/>
    <mergeCell ref="I5:I6"/>
    <mergeCell ref="H5:H6"/>
    <mergeCell ref="E5:F5"/>
    <mergeCell ref="E4:F4"/>
  </mergeCells>
  <hyperlinks>
    <hyperlink ref="A1" location="'Modelo de dominio'!A1" display="&lt;&lt;&lt;Modelo de Dominio" xr:uid="{00000000-0004-0000-1B00-000000000000}"/>
    <hyperlink ref="B1" location="'Objetos de dominio'!A1" display="&lt;&lt;&lt;Objetos de Dominio" xr:uid="{00000000-0004-0000-1B00-000001000000}"/>
    <hyperlink ref="B3" location="'Objetos de dominio'!B9" display="Objeto de dominio que representa los precios que ha tenido cada producto en la pizzeria  a lo largo del tiempo " xr:uid="{00000000-0004-0000-1B00-000002000000}"/>
  </hyperlink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51">
    <outlinePr summaryBelow="0" summaryRight="0"/>
  </sheetPr>
  <dimension ref="A1:Z1000"/>
  <sheetViews>
    <sheetView topLeftCell="B1" workbookViewId="0">
      <selection activeCell="B1" sqref="A1:XFD1048576"/>
    </sheetView>
  </sheetViews>
  <sheetFormatPr baseColWidth="10" defaultColWidth="12.625" defaultRowHeight="12.9"/>
  <cols>
    <col min="1" max="1" width="17.625" bestFit="1" customWidth="1"/>
    <col min="2" max="2" width="193.5" bestFit="1" customWidth="1"/>
    <col min="3" max="3" width="19.5" bestFit="1" customWidth="1"/>
    <col min="4" max="4" width="19.125" bestFit="1"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3.6">
      <c r="A2" s="54" t="s">
        <v>233</v>
      </c>
      <c r="B2" s="1112" t="s">
        <v>47</v>
      </c>
      <c r="C2" s="1033"/>
      <c r="E2" s="73"/>
      <c r="F2" s="73"/>
      <c r="G2" s="73"/>
      <c r="H2" s="73"/>
      <c r="I2" s="73"/>
      <c r="J2" s="73"/>
      <c r="K2" s="73"/>
      <c r="L2" s="73"/>
      <c r="M2" s="73"/>
      <c r="N2" s="73"/>
      <c r="O2" s="73"/>
      <c r="P2" s="73"/>
      <c r="Q2" s="73"/>
      <c r="R2" s="73"/>
      <c r="S2" s="73"/>
      <c r="T2" s="73"/>
      <c r="U2" s="73"/>
      <c r="V2" s="73"/>
      <c r="W2" s="73"/>
      <c r="X2" s="73"/>
      <c r="Y2" s="73"/>
      <c r="Z2" s="73"/>
    </row>
    <row r="3" spans="1:26" ht="13.6">
      <c r="A3" s="54" t="s">
        <v>21</v>
      </c>
      <c r="B3" s="1111" t="str">
        <f>'C-HistoricoPrecio'!B3</f>
        <v>Aquí se guarda el registro de los precios que ha tenido cada producto a lo largo del tiempo, para poder ver cómo han cambiado.</v>
      </c>
      <c r="C3" s="1033"/>
      <c r="E3" s="73"/>
      <c r="F3" s="73"/>
      <c r="G3" s="73"/>
      <c r="H3" s="73"/>
      <c r="I3" s="73"/>
      <c r="J3" s="73"/>
      <c r="K3" s="73"/>
      <c r="L3" s="73"/>
      <c r="M3" s="73"/>
      <c r="N3" s="73"/>
      <c r="O3" s="73"/>
      <c r="P3" s="73"/>
      <c r="Q3" s="73"/>
      <c r="R3" s="73"/>
      <c r="S3" s="73"/>
      <c r="T3" s="73"/>
      <c r="U3" s="73"/>
      <c r="V3" s="73"/>
      <c r="W3" s="73"/>
      <c r="X3" s="73"/>
      <c r="Y3" s="73"/>
      <c r="Z3" s="73"/>
    </row>
    <row r="4" spans="1:26" ht="13.6">
      <c r="A4" s="55" t="s">
        <v>234</v>
      </c>
      <c r="B4" s="55" t="s">
        <v>235</v>
      </c>
      <c r="C4" s="55" t="s">
        <v>236</v>
      </c>
      <c r="D4" s="55" t="s">
        <v>237</v>
      </c>
      <c r="E4" s="73"/>
      <c r="F4" s="73"/>
      <c r="G4" s="73"/>
      <c r="H4" s="73"/>
      <c r="I4" s="73"/>
      <c r="J4" s="73"/>
      <c r="K4" s="73"/>
      <c r="L4" s="73"/>
      <c r="M4" s="73"/>
      <c r="N4" s="73"/>
      <c r="O4" s="73"/>
      <c r="P4" s="73"/>
      <c r="Q4" s="73"/>
      <c r="R4" s="73"/>
      <c r="S4" s="73"/>
      <c r="T4" s="73"/>
      <c r="U4" s="73"/>
      <c r="V4" s="73"/>
      <c r="W4" s="73"/>
      <c r="X4" s="73"/>
      <c r="Y4" s="73"/>
      <c r="Z4" s="73"/>
    </row>
    <row r="5" spans="1:26">
      <c r="A5" s="114" t="s">
        <v>559</v>
      </c>
      <c r="B5" s="114" t="s">
        <v>560</v>
      </c>
      <c r="C5" s="114" t="s">
        <v>47</v>
      </c>
      <c r="D5" s="59"/>
      <c r="E5" s="73"/>
      <c r="F5" s="73"/>
      <c r="G5" s="73"/>
      <c r="H5" s="73"/>
      <c r="I5" s="73"/>
      <c r="J5" s="73"/>
      <c r="K5" s="73"/>
      <c r="L5" s="73"/>
      <c r="M5" s="73"/>
      <c r="N5" s="73"/>
      <c r="O5" s="73"/>
      <c r="P5" s="73"/>
      <c r="Q5" s="73"/>
      <c r="R5" s="73"/>
      <c r="S5" s="73"/>
      <c r="T5" s="73"/>
      <c r="U5" s="73"/>
      <c r="V5" s="73"/>
      <c r="W5" s="73"/>
      <c r="X5" s="73"/>
      <c r="Y5" s="73"/>
      <c r="Z5" s="73"/>
    </row>
    <row r="6" spans="1:26">
      <c r="A6" s="114" t="s">
        <v>561</v>
      </c>
      <c r="B6" s="114" t="s">
        <v>562</v>
      </c>
      <c r="C6" s="392" t="s">
        <v>42</v>
      </c>
      <c r="D6" s="790" t="str">
        <f>HYPERLINK("#'P-Producto'!A13",'P-Producto'!A13)</f>
        <v>P-PRO-009</v>
      </c>
      <c r="E6" s="73"/>
      <c r="F6" s="73"/>
      <c r="G6" s="73"/>
      <c r="H6" s="73"/>
      <c r="I6" s="73"/>
      <c r="J6" s="73"/>
      <c r="K6" s="73"/>
      <c r="L6" s="73"/>
      <c r="M6" s="73"/>
      <c r="N6" s="73"/>
      <c r="O6" s="73"/>
      <c r="P6" s="73"/>
      <c r="Q6" s="73"/>
      <c r="R6" s="73"/>
      <c r="S6" s="73"/>
      <c r="T6" s="73"/>
      <c r="U6" s="73"/>
      <c r="V6" s="73"/>
      <c r="W6" s="73"/>
      <c r="X6" s="73"/>
      <c r="Y6" s="73"/>
      <c r="Z6" s="73"/>
    </row>
    <row r="7" spans="1:26">
      <c r="A7" s="114" t="s">
        <v>563</v>
      </c>
      <c r="B7" s="114" t="s">
        <v>1528</v>
      </c>
      <c r="C7" s="114" t="s">
        <v>47</v>
      </c>
      <c r="D7" s="393"/>
      <c r="E7" s="73"/>
      <c r="F7" s="73"/>
      <c r="G7" s="73"/>
      <c r="H7" s="73"/>
      <c r="I7" s="73"/>
      <c r="J7" s="73"/>
      <c r="K7" s="73"/>
      <c r="L7" s="73"/>
      <c r="M7" s="73"/>
      <c r="N7" s="73"/>
      <c r="O7" s="73"/>
      <c r="P7" s="73"/>
      <c r="Q7" s="73"/>
      <c r="R7" s="73"/>
      <c r="S7" s="73"/>
      <c r="T7" s="73"/>
      <c r="U7" s="73"/>
      <c r="V7" s="73"/>
      <c r="W7" s="73"/>
      <c r="X7" s="73"/>
      <c r="Y7" s="73"/>
      <c r="Z7" s="73"/>
    </row>
    <row r="8" spans="1:26">
      <c r="A8" s="114" t="s">
        <v>564</v>
      </c>
      <c r="B8" s="114" t="s">
        <v>565</v>
      </c>
      <c r="C8" s="114" t="s">
        <v>47</v>
      </c>
      <c r="D8" s="114"/>
      <c r="E8" s="73"/>
      <c r="F8" s="73"/>
      <c r="G8" s="73"/>
      <c r="H8" s="73"/>
      <c r="I8" s="73"/>
      <c r="J8" s="73"/>
      <c r="K8" s="73"/>
      <c r="L8" s="73"/>
      <c r="M8" s="73"/>
      <c r="N8" s="73"/>
      <c r="O8" s="73"/>
      <c r="P8" s="73"/>
      <c r="Q8" s="73"/>
      <c r="R8" s="73"/>
      <c r="S8" s="73"/>
      <c r="T8" s="73"/>
      <c r="U8" s="73"/>
      <c r="V8" s="73"/>
      <c r="W8" s="73"/>
      <c r="X8" s="73"/>
      <c r="Y8" s="73"/>
      <c r="Z8" s="73"/>
    </row>
    <row r="9" spans="1:26">
      <c r="A9" s="114" t="s">
        <v>566</v>
      </c>
      <c r="B9" s="114" t="s">
        <v>1529</v>
      </c>
      <c r="C9" s="114" t="s">
        <v>47</v>
      </c>
      <c r="D9" s="114"/>
      <c r="E9" s="73"/>
      <c r="F9" s="73"/>
      <c r="G9" s="73"/>
      <c r="H9" s="73"/>
      <c r="I9" s="73"/>
      <c r="J9" s="73"/>
      <c r="K9" s="73"/>
      <c r="L9" s="73"/>
      <c r="M9" s="73"/>
      <c r="N9" s="73"/>
      <c r="O9" s="73"/>
      <c r="P9" s="73"/>
      <c r="Q9" s="73"/>
      <c r="R9" s="73"/>
      <c r="S9" s="73"/>
      <c r="T9" s="73"/>
      <c r="U9" s="73"/>
      <c r="V9" s="73"/>
      <c r="W9" s="73"/>
      <c r="X9" s="73"/>
      <c r="Y9" s="73"/>
      <c r="Z9" s="73"/>
    </row>
    <row r="10" spans="1:26">
      <c r="A10" s="114" t="s">
        <v>567</v>
      </c>
      <c r="B10" s="114" t="s">
        <v>568</v>
      </c>
      <c r="C10" s="114" t="s">
        <v>47</v>
      </c>
      <c r="D10" s="114"/>
      <c r="E10" s="73"/>
      <c r="F10" s="73"/>
      <c r="G10" s="73"/>
      <c r="H10" s="73"/>
      <c r="I10" s="73"/>
      <c r="J10" s="73"/>
      <c r="K10" s="73"/>
      <c r="L10" s="73"/>
      <c r="M10" s="73"/>
      <c r="N10" s="73"/>
      <c r="O10" s="73"/>
      <c r="P10" s="73"/>
      <c r="Q10" s="73"/>
      <c r="R10" s="73"/>
      <c r="S10" s="73"/>
      <c r="T10" s="73"/>
      <c r="U10" s="73"/>
      <c r="V10" s="73"/>
      <c r="W10" s="73"/>
      <c r="X10" s="73"/>
      <c r="Y10" s="73"/>
      <c r="Z10" s="73"/>
    </row>
    <row r="11" spans="1:26">
      <c r="A11" s="114" t="s">
        <v>569</v>
      </c>
      <c r="B11" s="114" t="s">
        <v>570</v>
      </c>
      <c r="C11" s="114" t="s">
        <v>47</v>
      </c>
      <c r="D11" s="114"/>
      <c r="E11" s="73"/>
      <c r="F11" s="73"/>
      <c r="G11" s="73"/>
      <c r="H11" s="73"/>
      <c r="I11" s="73"/>
      <c r="J11" s="73"/>
      <c r="K11" s="73"/>
      <c r="L11" s="73"/>
      <c r="M11" s="73"/>
      <c r="N11" s="73"/>
      <c r="O11" s="73"/>
      <c r="P11" s="73"/>
      <c r="Q11" s="73"/>
      <c r="R11" s="73"/>
      <c r="S11" s="73"/>
      <c r="T11" s="73"/>
      <c r="U11" s="73"/>
      <c r="V11" s="73"/>
      <c r="W11" s="73"/>
      <c r="X11" s="73"/>
      <c r="Y11" s="73"/>
      <c r="Z11" s="73"/>
    </row>
    <row r="12" spans="1:26">
      <c r="A12" s="114" t="s">
        <v>571</v>
      </c>
      <c r="B12" s="114" t="s">
        <v>1530</v>
      </c>
      <c r="C12" s="114" t="s">
        <v>47</v>
      </c>
      <c r="D12" s="114"/>
      <c r="E12" s="73"/>
      <c r="F12" s="73"/>
      <c r="G12" s="73"/>
      <c r="H12" s="73"/>
      <c r="I12" s="73"/>
      <c r="J12" s="73"/>
      <c r="K12" s="73"/>
      <c r="L12" s="73"/>
      <c r="M12" s="73"/>
      <c r="N12" s="73"/>
      <c r="O12" s="73"/>
      <c r="P12" s="73"/>
      <c r="Q12" s="73"/>
      <c r="R12" s="73"/>
      <c r="S12" s="73"/>
      <c r="T12" s="73"/>
      <c r="U12" s="73"/>
      <c r="V12" s="73"/>
      <c r="W12" s="73"/>
      <c r="X12" s="73"/>
      <c r="Y12" s="73"/>
      <c r="Z12" s="73"/>
    </row>
    <row r="13" spans="1:26">
      <c r="A13" s="114" t="s">
        <v>572</v>
      </c>
      <c r="B13" s="114" t="s">
        <v>573</v>
      </c>
      <c r="C13" s="114" t="s">
        <v>47</v>
      </c>
      <c r="D13" s="114"/>
      <c r="E13" s="73"/>
      <c r="F13" s="73"/>
      <c r="G13" s="73"/>
      <c r="H13" s="73"/>
      <c r="I13" s="73"/>
      <c r="J13" s="73"/>
      <c r="K13" s="73"/>
      <c r="L13" s="73"/>
      <c r="M13" s="73"/>
      <c r="N13" s="73"/>
      <c r="O13" s="73"/>
      <c r="P13" s="73"/>
      <c r="Q13" s="73"/>
      <c r="R13" s="73"/>
      <c r="S13" s="73"/>
      <c r="T13" s="73"/>
      <c r="U13" s="73"/>
      <c r="V13" s="73"/>
      <c r="W13" s="73"/>
      <c r="X13" s="73"/>
      <c r="Y13" s="73"/>
      <c r="Z13" s="73"/>
    </row>
    <row r="14" spans="1:26">
      <c r="A14" s="114" t="s">
        <v>574</v>
      </c>
      <c r="B14" s="114" t="s">
        <v>575</v>
      </c>
      <c r="C14" s="114" t="s">
        <v>47</v>
      </c>
      <c r="D14" s="114"/>
      <c r="E14" s="73"/>
      <c r="F14" s="73"/>
      <c r="G14" s="73"/>
      <c r="H14" s="73"/>
      <c r="I14" s="73"/>
      <c r="J14" s="73"/>
      <c r="K14" s="73"/>
      <c r="L14" s="73"/>
      <c r="M14" s="73"/>
      <c r="N14" s="73"/>
      <c r="O14" s="73"/>
      <c r="P14" s="73"/>
      <c r="Q14" s="73"/>
      <c r="R14" s="73"/>
      <c r="S14" s="73"/>
      <c r="T14" s="73"/>
      <c r="U14" s="73"/>
      <c r="V14" s="73"/>
      <c r="W14" s="73"/>
      <c r="X14" s="73"/>
      <c r="Y14" s="73"/>
      <c r="Z14" s="73"/>
    </row>
    <row r="15" spans="1:26">
      <c r="A15" s="114" t="s">
        <v>576</v>
      </c>
      <c r="B15" s="114" t="s">
        <v>1531</v>
      </c>
      <c r="C15" s="114" t="s">
        <v>542</v>
      </c>
      <c r="D15" s="114"/>
      <c r="E15" s="73"/>
      <c r="F15" s="73"/>
      <c r="G15" s="73"/>
      <c r="H15" s="73"/>
      <c r="I15" s="73"/>
      <c r="J15" s="73"/>
      <c r="K15" s="73"/>
      <c r="L15" s="73"/>
      <c r="M15" s="73"/>
      <c r="N15" s="73"/>
      <c r="O15" s="73"/>
      <c r="P15" s="73"/>
      <c r="Q15" s="73"/>
      <c r="R15" s="73"/>
      <c r="S15" s="73"/>
      <c r="T15" s="73"/>
      <c r="U15" s="73"/>
      <c r="V15" s="73"/>
      <c r="W15" s="73"/>
      <c r="X15" s="73"/>
      <c r="Y15" s="73"/>
      <c r="Z15" s="73"/>
    </row>
    <row r="16" spans="1:2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3.6">
      <c r="A1000" s="73"/>
      <c r="B1000" s="73"/>
      <c r="C1000" s="73"/>
      <c r="D1000" s="27"/>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2">
    <mergeCell ref="B3:C3"/>
    <mergeCell ref="B2:C2"/>
  </mergeCells>
  <hyperlinks>
    <hyperlink ref="A1" location="'Modelo de dominio'!A1" display="&lt;&lt;&lt;Modelo de Dominio" xr:uid="{00000000-0004-0000-1C00-000000000000}"/>
    <hyperlink ref="B1" location="'Objetos de dominio'!A1" display="&lt;&lt;&lt;Objetos de Dominio" xr:uid="{00000000-0004-0000-1C00-000001000000}"/>
    <hyperlink ref="B3" location="'Objetos de dominio'!B9" display="Objeto de dominio que representa los precios que ha tenido cada producto en la pizzeria  a lo largo del tiempo " xr:uid="{00000000-0004-0000-1C00-00000200000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2">
    <tabColor theme="2"/>
    <outlinePr summaryBelow="0" summaryRight="0"/>
  </sheetPr>
  <dimension ref="A1:I15"/>
  <sheetViews>
    <sheetView topLeftCell="A2" workbookViewId="0">
      <selection activeCell="L12" sqref="L12"/>
    </sheetView>
  </sheetViews>
  <sheetFormatPr baseColWidth="10" defaultColWidth="12.625" defaultRowHeight="15.8" customHeight="1"/>
  <cols>
    <col min="2" max="2" width="29.75" customWidth="1"/>
    <col min="3" max="3" width="15.375" customWidth="1"/>
    <col min="4" max="4" width="31.625" customWidth="1"/>
    <col min="5" max="5" width="26.625" customWidth="1"/>
    <col min="6" max="6" width="36.375" customWidth="1"/>
    <col min="7" max="7" width="42" customWidth="1"/>
  </cols>
  <sheetData>
    <row r="1" spans="1:9" ht="12.75" customHeight="1">
      <c r="A1" s="76" t="s">
        <v>0</v>
      </c>
      <c r="B1" s="132" t="s">
        <v>1</v>
      </c>
      <c r="D1" s="201"/>
    </row>
    <row r="2" spans="1:9" ht="49.75" customHeight="1">
      <c r="A2" s="22" t="s">
        <v>478</v>
      </c>
      <c r="B2" s="35" t="s">
        <v>1122</v>
      </c>
      <c r="C2" s="35" t="s">
        <v>479</v>
      </c>
      <c r="D2" s="35" t="s">
        <v>480</v>
      </c>
      <c r="E2" s="42" t="s">
        <v>481</v>
      </c>
      <c r="F2" s="35" t="s">
        <v>482</v>
      </c>
      <c r="G2" s="35"/>
    </row>
    <row r="3" spans="1:9" ht="12.75" customHeight="1">
      <c r="A3" s="43" t="s">
        <v>8</v>
      </c>
      <c r="B3" s="43" t="s">
        <v>44</v>
      </c>
      <c r="C3" s="43" t="s">
        <v>483</v>
      </c>
      <c r="D3" s="43" t="s">
        <v>42</v>
      </c>
      <c r="E3" s="44" t="s">
        <v>261</v>
      </c>
      <c r="F3" s="44" t="s">
        <v>13</v>
      </c>
      <c r="G3" s="44"/>
    </row>
    <row r="4" spans="1:9" ht="12.75" customHeight="1">
      <c r="A4" s="45" t="s">
        <v>14</v>
      </c>
      <c r="B4" s="45" t="s">
        <v>15</v>
      </c>
      <c r="C4" s="45" t="s">
        <v>15</v>
      </c>
      <c r="D4" s="45" t="s">
        <v>15</v>
      </c>
      <c r="E4" s="46" t="s">
        <v>15</v>
      </c>
      <c r="F4" s="46" t="s">
        <v>15</v>
      </c>
      <c r="G4" s="46"/>
      <c r="I4" s="202"/>
    </row>
    <row r="5" spans="1:9" ht="12.75" customHeight="1">
      <c r="A5" s="903" t="s">
        <v>16</v>
      </c>
      <c r="B5" s="904" t="s">
        <v>44</v>
      </c>
      <c r="C5" s="905" t="s">
        <v>76</v>
      </c>
      <c r="D5" s="906" t="s">
        <v>42</v>
      </c>
      <c r="E5" s="907" t="s">
        <v>1184</v>
      </c>
      <c r="F5" s="908" t="s">
        <v>484</v>
      </c>
      <c r="G5" s="909" t="s">
        <v>18</v>
      </c>
    </row>
    <row r="6" spans="1:9" ht="12.75" customHeight="1">
      <c r="A6" s="212">
        <v>1</v>
      </c>
      <c r="B6" s="302" t="str">
        <f>HYPERLINK("#'M-Venta'!D6", 'M-Venta'!D6)</f>
        <v>FV-000001</v>
      </c>
      <c r="C6" s="287">
        <v>1</v>
      </c>
      <c r="D6" s="302" t="str">
        <f>HYPERLINK("#'M-Producto'!I8", 'M-Producto'!I8)</f>
        <v>Margarita Grande</v>
      </c>
      <c r="E6" s="237" cm="1">
        <f t="array" ref="E6">IFERROR(_xlfn.XLOOKUP(1,('M-HistoricoPrecio'!$B:$B=D6)*('M-HistoricoPrecio'!$D:$D&lt;=_xlfn.XLOOKUP(B6,'M-Venta'!$D:$D,'M-Venta'!$B:$B))*(('M-HistoricoPrecio'!$E:$E="01/01/1000")+(ISNUMBER('M-HistoricoPrecio'!$E:$E)*('M-HistoricoPrecio'!$E:$E&gt;=_xlfn.XLOOKUP(B6,'M-Venta'!$D:$D,'M-Venta'!$B:$B)))),'M-HistoricoPrecio'!$C:$C,""),"")</f>
        <v>25000</v>
      </c>
      <c r="F6" s="287">
        <f>C6*E6</f>
        <v>25000</v>
      </c>
      <c r="G6" s="212" t="str">
        <f>B6 &amp;"  "&amp;D6</f>
        <v>FV-000001  Margarita Grande</v>
      </c>
    </row>
    <row r="7" spans="1:9" ht="12.75" customHeight="1">
      <c r="A7" s="212">
        <v>2</v>
      </c>
      <c r="B7" s="302" t="str">
        <f>HYPERLINK("#'M-Venta'!D7", 'M-Venta'!D7)</f>
        <v>FV-000002</v>
      </c>
      <c r="C7" s="287">
        <v>2</v>
      </c>
      <c r="D7" s="302" t="str">
        <f>HYPERLINK("#'M-Producto'!I9", 'M-Producto'!I9)</f>
        <v>Peperoni Mediana</v>
      </c>
      <c r="E7" s="237" cm="1">
        <f t="array" ref="E7">IFERROR(_xlfn.XLOOKUP(1,('M-HistoricoPrecio'!$B:$B=D7)*('M-HistoricoPrecio'!$D:$D&lt;=_xlfn.XLOOKUP(B7,'M-Venta'!$D:$D,'M-Venta'!$B:$B))*(('M-HistoricoPrecio'!$E:$E="01/01/1000")+(ISNUMBER('M-HistoricoPrecio'!$E:$E)*('M-HistoricoPrecio'!$E:$E&gt;=_xlfn.XLOOKUP(B7,'M-Venta'!$D:$D,'M-Venta'!$B:$B)))),'M-HistoricoPrecio'!$C:$C,""),"")</f>
        <v>23000</v>
      </c>
      <c r="F7" s="287">
        <f>C7*E7</f>
        <v>46000</v>
      </c>
      <c r="G7" s="212" t="str">
        <f>B7 &amp;"  "&amp;D7</f>
        <v>FV-000002  Peperoni Mediana</v>
      </c>
    </row>
    <row r="8" spans="1:9" ht="12.75" customHeight="1">
      <c r="A8" s="212">
        <v>3</v>
      </c>
      <c r="B8" s="302" t="str">
        <f>HYPERLINK("#'M-Venta'!D7", 'M-Venta'!D7)</f>
        <v>FV-000002</v>
      </c>
      <c r="C8" s="287">
        <v>2</v>
      </c>
      <c r="D8" s="302" t="str">
        <f>HYPERLINK("#'M-Producto'!I10", 'M-Producto'!I10)</f>
        <v>Margarita y Hawaiana Pequeña</v>
      </c>
      <c r="E8" s="237" cm="1">
        <f t="array" ref="E8">IFERROR(_xlfn.XLOOKUP(1,('M-HistoricoPrecio'!$B:$B=D8)*('M-HistoricoPrecio'!$D:$D&lt;=_xlfn.XLOOKUP(B8,'M-Venta'!$D:$D,'M-Venta'!$B:$B))*(('M-HistoricoPrecio'!$E:$E="01/01/1000")+(ISNUMBER('M-HistoricoPrecio'!$E:$E)*('M-HistoricoPrecio'!$E:$E&gt;=_xlfn.XLOOKUP(B8,'M-Venta'!$D:$D,'M-Venta'!$B:$B)))),'M-HistoricoPrecio'!$C:$C,""),"")</f>
        <v>30000</v>
      </c>
      <c r="F8" s="287">
        <f>C8*E8</f>
        <v>60000</v>
      </c>
      <c r="G8" s="212" t="str">
        <f>B8 &amp;"  "&amp;D8</f>
        <v>FV-000002  Margarita y Hawaiana Pequeña</v>
      </c>
    </row>
    <row r="9" spans="1:9" ht="12.75" customHeight="1">
      <c r="A9" s="287">
        <v>4</v>
      </c>
      <c r="B9" s="302" t="str">
        <f>HYPERLINK("#'M-Venta'!D8", 'M-Venta'!D8)</f>
        <v>FV-000003</v>
      </c>
      <c r="C9" s="287">
        <v>1</v>
      </c>
      <c r="D9" s="302" t="str">
        <f>HYPERLINK("#'M-Producto'!I11", 'M-Producto'!I11)</f>
        <v>Extra Queso</v>
      </c>
      <c r="E9" s="237" cm="1">
        <f t="array" ref="E9">IFERROR(_xlfn.XLOOKUP(1,('M-HistoricoPrecio'!$B:$B=D9)*('M-HistoricoPrecio'!$D:$D&lt;=_xlfn.XLOOKUP(B9,'M-Venta'!$D:$D,'M-Venta'!$B:$B))*(('M-HistoricoPrecio'!$E:$E="01/01/1000")+(ISNUMBER('M-HistoricoPrecio'!$E:$E)*('M-HistoricoPrecio'!$E:$E&gt;=_xlfn.XLOOKUP(B9,'M-Venta'!$D:$D,'M-Venta'!$B:$B)))),'M-HistoricoPrecio'!$C:$C,""),"")</f>
        <v>5000</v>
      </c>
      <c r="F9" s="287">
        <f>C9*E9</f>
        <v>5000</v>
      </c>
      <c r="G9" s="212" t="str">
        <f>B9 &amp;"  "&amp;D9</f>
        <v>FV-000003  Extra Queso</v>
      </c>
    </row>
    <row r="10" spans="1:9" ht="15.8" customHeight="1">
      <c r="A10" s="287">
        <v>5</v>
      </c>
      <c r="B10" s="302" t="str">
        <f>HYPERLINK("#'M-Venta'!D9", 'M-Venta'!D9)</f>
        <v>FV-000004</v>
      </c>
      <c r="C10" s="287">
        <v>1</v>
      </c>
      <c r="D10" s="302" t="str">
        <f>HYPERLINK("#'M-Producto'!I19", 'M-Producto'!I19)</f>
        <v>Hawaiana Grande</v>
      </c>
      <c r="E10" s="237" cm="1">
        <f t="array" ref="E10">IFERROR(_xlfn.XLOOKUP(1,('M-HistoricoPrecio'!$B:$B=D10)*('M-HistoricoPrecio'!$D:$D&lt;=_xlfn.XLOOKUP(B10,'M-Venta'!$D:$D,'M-Venta'!$B:$B))*(('M-HistoricoPrecio'!$E:$E="01/01/1000")+(ISNUMBER('M-HistoricoPrecio'!$E:$E)*('M-HistoricoPrecio'!$E:$E&gt;=_xlfn.XLOOKUP(B10,'M-Venta'!$D:$D,'M-Venta'!$B:$B)))),'M-HistoricoPrecio'!$C:$C,""),"")</f>
        <v>35000</v>
      </c>
      <c r="F10" s="287">
        <f>C10*E10</f>
        <v>35000</v>
      </c>
      <c r="G10" s="212" t="str">
        <f>B10 &amp;"  "&amp;D10</f>
        <v>FV-000004  Hawaiana Grande</v>
      </c>
    </row>
    <row r="15" spans="1:9" ht="12.75" customHeight="1">
      <c r="E15" s="202"/>
    </row>
  </sheetData>
  <hyperlinks>
    <hyperlink ref="A1" location="'Modelo de dominio'!A1" display="&lt;&lt;&lt;Modelo de Dominio" xr:uid="{00000000-0004-0000-1500-000000000000}"/>
    <hyperlink ref="B1" location="'Objetos de dominio'!A1" display="&lt;&lt;&lt;Objetos de Dominio" xr:uid="{00000000-0004-0000-1500-000001000000}"/>
    <hyperlink ref="B5" location="'M-Venta'!A1" display=" Venta  " xr:uid="{00000000-0004-0000-1500-000002000000}"/>
  </hyperlinks>
  <pageMargins left="0.75" right="0.75" top="1" bottom="1" header="0.5" footer="0.5"/>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3">
    <tabColor theme="2"/>
    <outlinePr summaryBelow="0" summaryRight="0"/>
  </sheetPr>
  <dimension ref="A1:WQJ37"/>
  <sheetViews>
    <sheetView topLeftCell="J1" zoomScale="36" workbookViewId="0">
      <selection activeCell="Y4" sqref="Y4"/>
    </sheetView>
  </sheetViews>
  <sheetFormatPr baseColWidth="10" defaultColWidth="12.625" defaultRowHeight="12.9"/>
  <cols>
    <col min="1" max="1" width="27.75" bestFit="1" customWidth="1"/>
    <col min="2" max="2" width="64.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67.75" bestFit="1" customWidth="1"/>
    <col min="10" max="10" width="23.25" bestFit="1" customWidth="1"/>
    <col min="11" max="11" width="21.75" bestFit="1" customWidth="1"/>
    <col min="12" max="12" width="18.75" bestFit="1" customWidth="1"/>
    <col min="13" max="13" width="94.125" bestFit="1" customWidth="1"/>
    <col min="14" max="14" width="15.375" bestFit="1" customWidth="1"/>
    <col min="15" max="15" width="31.25" bestFit="1" customWidth="1"/>
    <col min="16" max="16" width="28.25" bestFit="1" customWidth="1"/>
    <col min="17" max="17" width="123.125" bestFit="1" customWidth="1"/>
    <col min="18" max="18" width="89.75" customWidth="1"/>
    <col min="19" max="19" width="23.875" bestFit="1" customWidth="1"/>
    <col min="20" max="20" width="27.375" bestFit="1" customWidth="1"/>
    <col min="21" max="21" width="15.25" bestFit="1" customWidth="1"/>
    <col min="22" max="22" width="21.75" customWidth="1"/>
    <col min="23" max="23" width="26.25" customWidth="1"/>
    <col min="25" max="25" width="36.375" customWidth="1"/>
  </cols>
  <sheetData>
    <row r="1" spans="1:25" ht="13.75" customHeight="1">
      <c r="A1" s="76" t="s">
        <v>0</v>
      </c>
      <c r="B1" s="132" t="s">
        <v>1</v>
      </c>
      <c r="C1" s="25"/>
      <c r="D1" s="25"/>
      <c r="E1" s="25"/>
      <c r="F1" s="25"/>
      <c r="G1" s="25"/>
      <c r="H1" s="25"/>
      <c r="I1" s="25"/>
      <c r="J1" s="25"/>
      <c r="K1" s="25"/>
      <c r="L1" s="25"/>
      <c r="M1" s="25"/>
      <c r="N1" s="25"/>
      <c r="O1" s="25"/>
      <c r="P1" s="25"/>
      <c r="Q1" s="25"/>
      <c r="R1" s="25"/>
      <c r="S1" s="25"/>
      <c r="T1" s="25"/>
      <c r="U1" s="25"/>
    </row>
    <row r="2" spans="1:25" ht="14.3" customHeight="1">
      <c r="A2" s="7" t="s">
        <v>20</v>
      </c>
      <c r="B2" s="1031" t="s">
        <v>49</v>
      </c>
      <c r="C2" s="1032"/>
      <c r="D2" s="1032"/>
      <c r="E2" s="1032"/>
      <c r="F2" s="1032"/>
      <c r="G2" s="1032"/>
      <c r="H2" s="1032"/>
      <c r="I2" s="1032"/>
      <c r="J2" s="1032"/>
      <c r="K2" s="1032"/>
      <c r="L2" s="1032"/>
      <c r="M2" s="1032"/>
      <c r="N2" s="1032"/>
      <c r="O2" s="1032"/>
      <c r="P2" s="1032"/>
      <c r="Q2" s="1032"/>
      <c r="R2" s="1032"/>
      <c r="S2" s="1032"/>
      <c r="T2" s="1032"/>
      <c r="U2" s="1033"/>
    </row>
    <row r="3" spans="1:25" ht="14.3" customHeight="1">
      <c r="A3" s="7" t="s">
        <v>79</v>
      </c>
      <c r="B3" s="1465" t="str">
        <f>HYPERLINK("#'Objetos de dominio'!B16", 'Objetos de dominio'!B18)</f>
        <v>Es cada uno de los productos que se vendieron en una venta, con la cantidad y el valor de cada uno.</v>
      </c>
      <c r="C3" s="1032"/>
      <c r="D3" s="1032"/>
      <c r="E3" s="1032"/>
      <c r="F3" s="1032"/>
      <c r="G3" s="1032"/>
      <c r="H3" s="1032"/>
      <c r="I3" s="1032"/>
      <c r="J3" s="1032"/>
      <c r="K3" s="1032"/>
      <c r="L3" s="1032"/>
      <c r="M3" s="1032"/>
      <c r="N3" s="1032"/>
      <c r="O3" s="1032"/>
      <c r="P3" s="1032"/>
      <c r="Q3" s="1032"/>
      <c r="R3" s="1032"/>
      <c r="S3" s="1032"/>
      <c r="T3" s="1032"/>
      <c r="U3" s="1033"/>
    </row>
    <row r="4" spans="1:25" ht="14.3" customHeight="1">
      <c r="A4" s="8" t="s">
        <v>80</v>
      </c>
      <c r="B4" s="8"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582" t="str">
        <f>HYPERLINK("#'C-DetalleVenta'!A24", 'C-DetalleVenta'!A24)</f>
        <v>Agregar producto a venta</v>
      </c>
      <c r="W4" s="1536" t="str">
        <f>HYPERLINK("#'C-DetalleVenta'!A32", 'C-DetalleVenta'!A32)</f>
        <v>Modificar cantidad de producto</v>
      </c>
      <c r="X4" s="1537"/>
      <c r="Y4" s="608" t="str">
        <f>HYPERLINK("#'C-DetalleVenta'!A36", 'C-DetalleVenta'!A36)</f>
        <v>Retirar producto de la venta</v>
      </c>
    </row>
    <row r="5" spans="1:25" ht="13.75" customHeight="1">
      <c r="A5" s="825" t="str">
        <f>HYPERLINK("#'M-DetalleVenta'!A5", 'M-DetalleVenta'!A5)</f>
        <v>Id</v>
      </c>
      <c r="B5" s="826" t="str">
        <f>HYPERLINK("#'M-DetalleVenta'!A2", 'M-DetalleVenta'!A2)</f>
        <v>Identificador unico del detalle  venta dentro de la pizzeria</v>
      </c>
      <c r="C5" s="13" t="s">
        <v>15</v>
      </c>
      <c r="D5" s="13" t="s">
        <v>485</v>
      </c>
      <c r="E5" s="13" t="s">
        <v>15</v>
      </c>
      <c r="F5" s="9"/>
      <c r="G5" s="9"/>
      <c r="H5" s="9"/>
      <c r="I5" s="9"/>
      <c r="J5" s="9"/>
      <c r="K5" s="9"/>
      <c r="L5" s="9"/>
      <c r="M5" s="9"/>
      <c r="N5" s="13" t="s">
        <v>100</v>
      </c>
      <c r="O5" s="13" t="s">
        <v>100</v>
      </c>
      <c r="P5" s="9"/>
      <c r="Q5" s="13" t="s">
        <v>100</v>
      </c>
      <c r="R5" s="13" t="s">
        <v>100</v>
      </c>
      <c r="S5" s="9" t="s">
        <v>100</v>
      </c>
      <c r="T5" s="9"/>
      <c r="U5" s="481" t="s">
        <v>15</v>
      </c>
      <c r="V5" s="582" t="s">
        <v>101</v>
      </c>
      <c r="W5" s="570" t="s">
        <v>101</v>
      </c>
      <c r="X5" s="570" t="s">
        <v>273</v>
      </c>
      <c r="Y5" s="608" t="s">
        <v>101</v>
      </c>
    </row>
    <row r="6" spans="1:25" ht="13.75" customHeight="1">
      <c r="A6" s="826" t="str">
        <f>HYPERLINK("#'M-DetalleVenta'!B5", 'M-DetalleVenta'!B5)</f>
        <v>Venta</v>
      </c>
      <c r="B6" s="825" t="str">
        <f>HYPERLINK("#'M-DetalleVenta'!B2", 'M-DetalleVenta'!B2)</f>
        <v>Venta a la que pertenece; se identifica con su numero de factura</v>
      </c>
      <c r="C6" s="13" t="s">
        <v>100</v>
      </c>
      <c r="D6" s="13" t="s">
        <v>44</v>
      </c>
      <c r="E6" s="13" t="s">
        <v>15</v>
      </c>
      <c r="F6" s="11"/>
      <c r="G6" s="12"/>
      <c r="H6" s="13"/>
      <c r="I6" s="9"/>
      <c r="J6" s="13"/>
      <c r="K6" s="9"/>
      <c r="L6" s="9"/>
      <c r="M6" s="9" t="s">
        <v>486</v>
      </c>
      <c r="N6" s="13" t="s">
        <v>100</v>
      </c>
      <c r="O6" s="13" t="s">
        <v>100</v>
      </c>
      <c r="P6" s="9"/>
      <c r="Q6" s="13" t="s">
        <v>100</v>
      </c>
      <c r="R6" s="13" t="s">
        <v>100</v>
      </c>
      <c r="S6" s="9" t="s">
        <v>100</v>
      </c>
      <c r="T6" s="9"/>
      <c r="U6" s="481" t="s">
        <v>100</v>
      </c>
      <c r="V6" s="582" t="s">
        <v>101</v>
      </c>
      <c r="W6" s="570" t="s">
        <v>276</v>
      </c>
      <c r="X6" s="570" t="s">
        <v>273</v>
      </c>
      <c r="Y6" s="608" t="s">
        <v>276</v>
      </c>
    </row>
    <row r="7" spans="1:25" ht="13.75" customHeight="1">
      <c r="A7" s="826" t="str">
        <f>HYPERLINK("#'M-DetalleVenta'!C5", 'M-DetalleVenta'!C5)</f>
        <v>Cantidad</v>
      </c>
      <c r="B7" s="826" t="str">
        <f>HYPERLINK("#'M-DetalleVenta'!C2", 'M-DetalleVenta'!C2)</f>
        <v xml:space="preserve">Cantidad del producto que pide el cliente </v>
      </c>
      <c r="C7" s="13" t="s">
        <v>100</v>
      </c>
      <c r="D7" s="13" t="s">
        <v>483</v>
      </c>
      <c r="E7" s="13" t="s">
        <v>15</v>
      </c>
      <c r="F7" s="11"/>
      <c r="G7" s="12"/>
      <c r="H7" s="13"/>
      <c r="I7" s="9"/>
      <c r="J7" s="13" t="s">
        <v>104</v>
      </c>
      <c r="K7" s="294">
        <v>1000</v>
      </c>
      <c r="L7" s="9"/>
      <c r="M7" s="9" t="s">
        <v>1185</v>
      </c>
      <c r="N7" s="13" t="s">
        <v>100</v>
      </c>
      <c r="O7" s="13" t="s">
        <v>100</v>
      </c>
      <c r="P7" s="9"/>
      <c r="Q7" s="13" t="s">
        <v>100</v>
      </c>
      <c r="R7" s="13" t="s">
        <v>100</v>
      </c>
      <c r="S7" s="9" t="s">
        <v>100</v>
      </c>
      <c r="T7" s="9"/>
      <c r="U7" s="481" t="s">
        <v>100</v>
      </c>
      <c r="V7" s="582" t="s">
        <v>101</v>
      </c>
      <c r="W7" s="570" t="s">
        <v>101</v>
      </c>
      <c r="X7" s="570" t="s">
        <v>277</v>
      </c>
      <c r="Y7" s="608" t="s">
        <v>276</v>
      </c>
    </row>
    <row r="8" spans="1:25" ht="13.75" customHeight="1">
      <c r="A8" s="826" t="str">
        <f>HYPERLINK("#'M-DetalleVenta'!D5", 'M-DetalleVenta'!D5)</f>
        <v>Producto</v>
      </c>
      <c r="B8" s="825" t="str">
        <f>HYPERLINK("#'M-DetalleVenta'!D2", 'M-DetalleVenta'!D2)</f>
        <v>Producto  que ofrece la pizzeria</v>
      </c>
      <c r="C8" s="13" t="s">
        <v>100</v>
      </c>
      <c r="D8" s="13" t="s">
        <v>42</v>
      </c>
      <c r="E8" s="13" t="s">
        <v>15</v>
      </c>
      <c r="F8" s="9"/>
      <c r="G8" s="9"/>
      <c r="H8" s="9"/>
      <c r="I8" s="9"/>
      <c r="J8" s="9"/>
      <c r="K8" s="9"/>
      <c r="L8" s="9"/>
      <c r="M8" s="9" t="s">
        <v>487</v>
      </c>
      <c r="N8" s="13" t="s">
        <v>100</v>
      </c>
      <c r="O8" s="13" t="s">
        <v>100</v>
      </c>
      <c r="P8" s="9"/>
      <c r="Q8" s="13" t="s">
        <v>100</v>
      </c>
      <c r="R8" s="13" t="s">
        <v>100</v>
      </c>
      <c r="S8" s="9" t="s">
        <v>100</v>
      </c>
      <c r="T8" s="9"/>
      <c r="U8" s="481" t="s">
        <v>100</v>
      </c>
      <c r="V8" s="582" t="s">
        <v>101</v>
      </c>
      <c r="W8" s="570" t="s">
        <v>276</v>
      </c>
      <c r="X8" s="570" t="s">
        <v>273</v>
      </c>
      <c r="Y8" s="608" t="s">
        <v>276</v>
      </c>
    </row>
    <row r="9" spans="1:25" ht="13.75" customHeight="1">
      <c r="A9" s="826" t="str">
        <f>HYPERLINK("#'M-DetalleVenta'!E5", 'M-DetalleVenta'!E5)</f>
        <v>PrecioProducto</v>
      </c>
      <c r="B9" s="825" t="str">
        <f>HYPERLINK("#'M-DetalleVenta'!E2", 'M-DetalleVenta'!E2)</f>
        <v xml:space="preserve">Precio de cada producto </v>
      </c>
      <c r="C9" s="13" t="s">
        <v>100</v>
      </c>
      <c r="D9" s="13" t="s">
        <v>13</v>
      </c>
      <c r="E9" s="13" t="s">
        <v>15</v>
      </c>
      <c r="F9" s="9"/>
      <c r="G9" s="9"/>
      <c r="H9" s="13">
        <v>2</v>
      </c>
      <c r="I9" s="13" t="s">
        <v>103</v>
      </c>
      <c r="J9" s="13" t="s">
        <v>104</v>
      </c>
      <c r="K9" s="36">
        <v>1000000</v>
      </c>
      <c r="L9" s="9"/>
      <c r="M9" s="13" t="s">
        <v>1186</v>
      </c>
      <c r="N9" s="13" t="s">
        <v>15</v>
      </c>
      <c r="O9" s="13" t="s">
        <v>100</v>
      </c>
      <c r="P9" s="9"/>
      <c r="Q9" s="13" t="s">
        <v>100</v>
      </c>
      <c r="R9" s="13" t="s">
        <v>100</v>
      </c>
      <c r="S9" s="9" t="s">
        <v>100</v>
      </c>
      <c r="T9" s="9"/>
      <c r="U9" s="481" t="s">
        <v>100</v>
      </c>
      <c r="V9" s="582" t="s">
        <v>101</v>
      </c>
      <c r="W9" s="570" t="s">
        <v>276</v>
      </c>
      <c r="X9" s="570" t="s">
        <v>273</v>
      </c>
      <c r="Y9" s="608" t="s">
        <v>276</v>
      </c>
    </row>
    <row r="10" spans="1:25" ht="13.75" customHeight="1">
      <c r="A10" s="826" t="str">
        <f>HYPERLINK("#'M-DetalleVenta'!F5", 'M-DetalleVenta'!F5)</f>
        <v>Subtotal</v>
      </c>
      <c r="B10" s="825" t="str">
        <f>HYPERLINK("#'M-DetalleVenta'!F2", 'M-DetalleVenta'!F2)</f>
        <v xml:space="preserve">Por cada cantidad que pide el cliente de un producto se calcula un total </v>
      </c>
      <c r="C10" s="13" t="s">
        <v>100</v>
      </c>
      <c r="D10" s="13" t="s">
        <v>13</v>
      </c>
      <c r="E10" s="13" t="s">
        <v>15</v>
      </c>
      <c r="F10" s="9"/>
      <c r="G10" s="9"/>
      <c r="H10" s="13">
        <v>2</v>
      </c>
      <c r="I10" s="13" t="s">
        <v>103</v>
      </c>
      <c r="J10" s="13" t="s">
        <v>104</v>
      </c>
      <c r="K10" s="36">
        <v>1000000</v>
      </c>
      <c r="L10" s="9"/>
      <c r="M10" s="13" t="s">
        <v>488</v>
      </c>
      <c r="N10" s="13" t="s">
        <v>15</v>
      </c>
      <c r="O10" s="13" t="s">
        <v>100</v>
      </c>
      <c r="P10" s="9"/>
      <c r="Q10" s="13" t="s">
        <v>100</v>
      </c>
      <c r="R10" s="13" t="s">
        <v>100</v>
      </c>
      <c r="S10" s="9" t="s">
        <v>100</v>
      </c>
      <c r="T10" s="9"/>
      <c r="U10" s="481" t="s">
        <v>100</v>
      </c>
      <c r="V10" s="582" t="s">
        <v>101</v>
      </c>
      <c r="W10" s="570" t="s">
        <v>276</v>
      </c>
      <c r="X10" s="570" t="s">
        <v>273</v>
      </c>
      <c r="Y10" s="608" t="s">
        <v>276</v>
      </c>
    </row>
    <row r="11" spans="1:25" ht="13.75" customHeight="1">
      <c r="A11" s="154"/>
      <c r="B11" s="155"/>
      <c r="C11" s="155"/>
      <c r="D11" s="155"/>
      <c r="E11" s="155"/>
      <c r="F11" s="156"/>
      <c r="G11" s="157"/>
      <c r="H11" s="154"/>
      <c r="I11" s="155"/>
      <c r="J11" s="154"/>
      <c r="K11" s="155"/>
      <c r="L11" s="155"/>
      <c r="M11" s="155"/>
      <c r="N11" s="155"/>
      <c r="O11" s="155"/>
      <c r="P11" s="155"/>
      <c r="Q11" s="154"/>
      <c r="R11" s="155"/>
      <c r="S11" s="155"/>
      <c r="T11" s="155"/>
      <c r="U11" s="155"/>
    </row>
    <row r="12" spans="1:25" ht="13.75" customHeight="1">
      <c r="A12" s="154"/>
      <c r="B12" s="155"/>
      <c r="C12" s="155"/>
      <c r="D12" s="155"/>
      <c r="E12" s="155"/>
      <c r="F12" s="156"/>
      <c r="G12" s="157"/>
      <c r="H12" s="154"/>
      <c r="I12" s="155"/>
      <c r="J12" s="154"/>
      <c r="K12" s="155"/>
      <c r="L12" s="155"/>
      <c r="M12" s="155"/>
      <c r="N12" s="155"/>
      <c r="O12" s="155"/>
      <c r="P12" s="155"/>
      <c r="Q12" s="154"/>
      <c r="R12" s="155"/>
      <c r="S12" s="155"/>
      <c r="T12" s="155"/>
      <c r="U12" s="155"/>
    </row>
    <row r="16" spans="1:25" ht="14.3" customHeight="1">
      <c r="A16" s="111" t="s">
        <v>109</v>
      </c>
      <c r="B16" s="111" t="s">
        <v>79</v>
      </c>
      <c r="C16" s="111" t="s">
        <v>110</v>
      </c>
    </row>
    <row r="17" spans="1:18" ht="14.3" customHeight="1">
      <c r="A17" s="1345" t="s">
        <v>111</v>
      </c>
      <c r="B17" s="1538" t="s">
        <v>489</v>
      </c>
      <c r="C17" s="295" t="str">
        <f>HYPERLINK("#'C-DetalleVenta'!A6", 'C-DetalleVenta'!A6)</f>
        <v>Venta</v>
      </c>
    </row>
    <row r="18" spans="1:18">
      <c r="A18" s="1089"/>
      <c r="B18" s="1089"/>
      <c r="C18" s="295" t="str">
        <f>HYPERLINK("#'C-DetalleVenta'!A8", 'C-DetalleVenta'!A8)</f>
        <v>Producto</v>
      </c>
    </row>
    <row r="19" spans="1:18" ht="13.75" customHeight="1">
      <c r="C19" s="187"/>
    </row>
    <row r="21" spans="1:18" ht="13.75" customHeight="1" thickBot="1"/>
    <row r="22" spans="1:18" ht="14.3" customHeight="1">
      <c r="A22" s="1346" t="s">
        <v>113</v>
      </c>
      <c r="B22" s="1342"/>
      <c r="C22" s="1334" t="s">
        <v>79</v>
      </c>
      <c r="D22" s="1341"/>
      <c r="E22" s="1341"/>
      <c r="F22" s="1342"/>
      <c r="G22" s="1334" t="s">
        <v>114</v>
      </c>
      <c r="H22" s="1335"/>
      <c r="I22" s="1336"/>
      <c r="J22" s="1334" t="s">
        <v>115</v>
      </c>
      <c r="K22" s="1335"/>
      <c r="L22" s="1335"/>
      <c r="M22" s="1335"/>
      <c r="N22" s="1336"/>
      <c r="O22" s="1334" t="s">
        <v>116</v>
      </c>
      <c r="P22" s="1336"/>
      <c r="Q22" s="1334" t="s">
        <v>117</v>
      </c>
      <c r="R22" s="1336"/>
    </row>
    <row r="23" spans="1:18" ht="14.3" customHeight="1" thickBot="1">
      <c r="A23" s="1347"/>
      <c r="B23" s="1261"/>
      <c r="C23" s="1343"/>
      <c r="D23" s="1344"/>
      <c r="E23" s="1344"/>
      <c r="F23" s="1261"/>
      <c r="G23" s="558" t="s">
        <v>118</v>
      </c>
      <c r="H23" s="558" t="s">
        <v>8</v>
      </c>
      <c r="I23" s="558" t="s">
        <v>79</v>
      </c>
      <c r="J23" s="717" t="s">
        <v>119</v>
      </c>
      <c r="K23" s="1338" t="s">
        <v>79</v>
      </c>
      <c r="L23" s="1339"/>
      <c r="M23" s="1339"/>
      <c r="N23" s="1340"/>
      <c r="O23" s="558" t="s">
        <v>120</v>
      </c>
      <c r="P23" s="558" t="s">
        <v>79</v>
      </c>
      <c r="Q23" s="558" t="s">
        <v>121</v>
      </c>
      <c r="R23" s="536" t="s">
        <v>122</v>
      </c>
    </row>
    <row r="24" spans="1:18" ht="63.7" customHeight="1" thickBot="1">
      <c r="A24" s="1305" t="str">
        <f>HYPERLINK("#'C-DetalleVenta'!V4", 'E-DetalleVenta'!B7)</f>
        <v>Agregar producto a venta</v>
      </c>
      <c r="B24" s="1306"/>
      <c r="C24" s="1311" t="str">
        <f>'E-DetalleVenta'!C7</f>
        <v xml:space="preserve">Permite incorporar a la venta un producto solicitado </v>
      </c>
      <c r="D24" s="1312"/>
      <c r="E24" s="1312"/>
      <c r="F24" s="1306"/>
      <c r="G24" s="1324" t="s">
        <v>123</v>
      </c>
      <c r="H24" s="1324" t="s">
        <v>49</v>
      </c>
      <c r="I24" s="1327" t="s">
        <v>490</v>
      </c>
      <c r="J24" s="1330" t="s">
        <v>49</v>
      </c>
      <c r="K24" s="1317" t="s">
        <v>491</v>
      </c>
      <c r="L24" s="1318"/>
      <c r="M24" s="1318"/>
      <c r="N24" s="1319"/>
      <c r="O24" s="798" t="str">
        <f>HYPERLINK("#'P-DetalleVenta'!A9", 'P-DetalleVenta'!A9)</f>
        <v>P-DV-005</v>
      </c>
      <c r="P24" s="529" t="str">
        <f>'P-DetalleVenta'!B9</f>
        <v>La venta a la que pertenece el detalle debe existir.</v>
      </c>
      <c r="Q24" s="533" t="s">
        <v>1631</v>
      </c>
      <c r="R24" s="512" t="s">
        <v>1632</v>
      </c>
    </row>
    <row r="25" spans="1:18" ht="39.4" thickBot="1">
      <c r="A25" s="1307"/>
      <c r="B25" s="1308"/>
      <c r="C25" s="1313"/>
      <c r="D25" s="1314"/>
      <c r="E25" s="1314"/>
      <c r="F25" s="1308"/>
      <c r="G25" s="1325"/>
      <c r="H25" s="1325"/>
      <c r="I25" s="1328"/>
      <c r="J25" s="1215"/>
      <c r="K25" s="1209"/>
      <c r="L25" s="1018"/>
      <c r="M25" s="1018"/>
      <c r="N25" s="1320"/>
      <c r="O25" s="798" t="str">
        <f>HYPERLINK("#'P-DetalleVenta'!A13", 'P-DetalleVenta'!A13)</f>
        <v>P-DV-009</v>
      </c>
      <c r="P25" s="529" t="str">
        <f>'P-DetalleVenta'!B13</f>
        <v>Un detalle de una venta confirmada no puede ser modificado ni eliminado.</v>
      </c>
      <c r="Q25" s="533" t="s">
        <v>1633</v>
      </c>
      <c r="R25" s="512" t="s">
        <v>1634</v>
      </c>
    </row>
    <row r="26" spans="1:18" ht="65.25" thickBot="1">
      <c r="A26" s="1307"/>
      <c r="B26" s="1308"/>
      <c r="C26" s="1313"/>
      <c r="D26" s="1314"/>
      <c r="E26" s="1314"/>
      <c r="F26" s="1308"/>
      <c r="G26" s="1325"/>
      <c r="H26" s="1325"/>
      <c r="I26" s="1328"/>
      <c r="J26" s="1215"/>
      <c r="K26" s="1209"/>
      <c r="L26" s="1018"/>
      <c r="M26" s="1018"/>
      <c r="N26" s="1320"/>
      <c r="O26" s="798" t="str">
        <f>HYPERLINK("#'P-DetalleVenta'!A5", 'P-DetalleVenta'!A5)</f>
        <v>P-DV-001</v>
      </c>
      <c r="P26" s="529" t="str">
        <f>'P-DetalleVenta'!B5</f>
        <v>Todo detalle de venta debe contar con la información necesaria para identificar el producto, la cantidad y el valor de la venta.</v>
      </c>
      <c r="Q26" s="533" t="s">
        <v>492</v>
      </c>
      <c r="R26" s="512" t="s">
        <v>493</v>
      </c>
    </row>
    <row r="27" spans="1:18" ht="39.4" thickBot="1">
      <c r="A27" s="1307"/>
      <c r="B27" s="1308"/>
      <c r="C27" s="1313"/>
      <c r="D27" s="1314"/>
      <c r="E27" s="1314"/>
      <c r="F27" s="1308"/>
      <c r="G27" s="1325"/>
      <c r="H27" s="1325"/>
      <c r="I27" s="1328"/>
      <c r="J27" s="1215"/>
      <c r="K27" s="1209"/>
      <c r="L27" s="1018"/>
      <c r="M27" s="1018"/>
      <c r="N27" s="1320"/>
      <c r="O27" s="798" t="str">
        <f>HYPERLINK("#'P-DetalleVenta'!A6", 'P-DetalleVenta'!A6)</f>
        <v>P-DV-002</v>
      </c>
      <c r="P27" s="529" t="str">
        <f>'P-DetalleVenta'!B6</f>
        <v>El producto asociado a un detalle de venta debe existir y encontrarse activo.</v>
      </c>
      <c r="Q27" s="533" t="s">
        <v>1635</v>
      </c>
      <c r="R27" s="512" t="s">
        <v>1636</v>
      </c>
    </row>
    <row r="28" spans="1:18" ht="13.75" customHeight="1" thickBot="1">
      <c r="A28" s="1307"/>
      <c r="B28" s="1308"/>
      <c r="C28" s="1313"/>
      <c r="D28" s="1314"/>
      <c r="E28" s="1314"/>
      <c r="F28" s="1308"/>
      <c r="G28" s="1325"/>
      <c r="H28" s="1325"/>
      <c r="I28" s="1328"/>
      <c r="J28" s="1215"/>
      <c r="K28" s="1209"/>
      <c r="L28" s="1018"/>
      <c r="M28" s="1018"/>
      <c r="N28" s="1320"/>
      <c r="O28" s="798" t="str">
        <f>HYPERLINK("#'P-DetalleVenta'!A7", 'P-DetalleVenta'!A7)</f>
        <v>P-DV-003</v>
      </c>
      <c r="P28" s="529" t="str">
        <f>'P-DetalleVenta'!B7</f>
        <v>La cantidad registrada en un detalle de venta debe ser un numero entero mayor que cero y como maximo 1000.</v>
      </c>
      <c r="Q28" s="533" t="s">
        <v>1637</v>
      </c>
      <c r="R28" s="512" t="s">
        <v>1437</v>
      </c>
    </row>
    <row r="29" spans="1:18" ht="25.5" customHeight="1" thickBot="1">
      <c r="A29" s="1307"/>
      <c r="B29" s="1308"/>
      <c r="C29" s="1313"/>
      <c r="D29" s="1314"/>
      <c r="E29" s="1314"/>
      <c r="F29" s="1308"/>
      <c r="G29" s="1325"/>
      <c r="H29" s="1325"/>
      <c r="I29" s="1328"/>
      <c r="J29" s="1215"/>
      <c r="K29" s="1209"/>
      <c r="L29" s="1018"/>
      <c r="M29" s="1018"/>
      <c r="N29" s="1320"/>
      <c r="O29" s="798" t="str">
        <f>HYPERLINK("#'P-DetalleVenta'!A8", 'P-DetalleVenta'!A8)</f>
        <v>P-DV-004</v>
      </c>
      <c r="P29" s="529" t="str">
        <f>'P-DetalleVenta'!B8</f>
        <v>El precio registrado en el detalle de venta debe ser válido para el producto vendido en el momento de realizar la venta.</v>
      </c>
      <c r="Q29" s="533" t="s">
        <v>494</v>
      </c>
      <c r="R29" s="512" t="s">
        <v>495</v>
      </c>
    </row>
    <row r="30" spans="1:18" ht="25.5" customHeight="1" thickBot="1">
      <c r="A30" s="1307"/>
      <c r="B30" s="1308"/>
      <c r="C30" s="1313"/>
      <c r="D30" s="1314"/>
      <c r="E30" s="1314"/>
      <c r="F30" s="1308"/>
      <c r="G30" s="1325"/>
      <c r="H30" s="1325"/>
      <c r="I30" s="1328"/>
      <c r="J30" s="1215"/>
      <c r="K30" s="1209"/>
      <c r="L30" s="1018"/>
      <c r="M30" s="1018"/>
      <c r="N30" s="1320"/>
      <c r="O30" s="798" t="str">
        <f>HYPERLINK("#'P-DetalleVenta'!A10", 'P-DetalleVenta'!A10)</f>
        <v>P-DV-006</v>
      </c>
      <c r="P30" s="529" t="str">
        <f>'P-DetalleVenta'!B10</f>
        <v>No deben existir dos detalles que representen el mismo producto dentro de una misma venta; si se requiere más cantidad, debe actualizarse la cantidad del detalle existente.</v>
      </c>
      <c r="Q30" s="533" t="s">
        <v>1638</v>
      </c>
      <c r="R30" s="512" t="s">
        <v>1639</v>
      </c>
    </row>
    <row r="31" spans="1:18" ht="51.65">
      <c r="A31" s="1309"/>
      <c r="B31" s="1310"/>
      <c r="C31" s="1315"/>
      <c r="D31" s="1316"/>
      <c r="E31" s="1316"/>
      <c r="F31" s="1310"/>
      <c r="G31" s="1326"/>
      <c r="H31" s="1326"/>
      <c r="I31" s="1329"/>
      <c r="J31" s="1215"/>
      <c r="K31" s="1321"/>
      <c r="L31" s="1322"/>
      <c r="M31" s="1322"/>
      <c r="N31" s="1323"/>
      <c r="O31" s="798" t="str">
        <f>HYPERLINK("#'P-DetalleVenta'!A17", 'P-DetalleVenta'!A17)</f>
        <v>P-DV-013</v>
      </c>
      <c r="P31" s="529" t="str">
        <f>'P-DetalleVenta'!B17</f>
        <v>El subtotal del detalle se calcula como la cantidad por el precio del producto; no lo digita el usuario.</v>
      </c>
      <c r="Q31" s="533" t="s">
        <v>1640</v>
      </c>
      <c r="R31" s="512" t="s">
        <v>1641</v>
      </c>
    </row>
    <row r="32" spans="1:18" ht="13.75" customHeight="1">
      <c r="A32" s="1520" t="str">
        <f>HYPERLINK("#'C-DetalleVenta'!W4", 'E-DetalleVenta'!B15)</f>
        <v>Modificar cantidad de producto</v>
      </c>
      <c r="B32" s="1521"/>
      <c r="C32" s="1526" t="str">
        <f>'E-DetalleVenta'!C15</f>
        <v xml:space="preserve">Permite ajustar la cantidad de un producto incluido en la venta </v>
      </c>
      <c r="D32" s="1527"/>
      <c r="E32" s="1527"/>
      <c r="F32" s="1521"/>
      <c r="G32" s="1533" t="s">
        <v>123</v>
      </c>
      <c r="H32" s="1533" t="s">
        <v>49</v>
      </c>
      <c r="I32" s="1533" t="s">
        <v>439</v>
      </c>
      <c r="J32" s="1534" t="s">
        <v>49</v>
      </c>
      <c r="K32" s="1526" t="s">
        <v>496</v>
      </c>
      <c r="L32" s="1527"/>
      <c r="M32" s="1527"/>
      <c r="N32" s="1521"/>
      <c r="O32" s="827" t="str">
        <f>HYPERLINK("#'P-DetalleVenta'!A11", 'P-DetalleVenta'!A11)</f>
        <v>P-DV-007</v>
      </c>
      <c r="P32" s="572" t="str">
        <f>'P-DetalleVenta'!B11</f>
        <v>El detalle de venta que se pretenda modificar debe existir.</v>
      </c>
      <c r="Q32" s="535" t="s">
        <v>497</v>
      </c>
      <c r="R32" s="598" t="s">
        <v>498</v>
      </c>
    </row>
    <row r="33" spans="1:18 16000:16000" ht="38.25" customHeight="1">
      <c r="A33" s="1522"/>
      <c r="B33" s="1523"/>
      <c r="C33" s="1528"/>
      <c r="D33" s="991"/>
      <c r="E33" s="991"/>
      <c r="F33" s="1523"/>
      <c r="G33" s="1534"/>
      <c r="H33" s="1534"/>
      <c r="I33" s="1534"/>
      <c r="J33" s="1534"/>
      <c r="K33" s="1528"/>
      <c r="L33" s="991"/>
      <c r="M33" s="991"/>
      <c r="N33" s="1523"/>
      <c r="O33" s="827" t="str">
        <f>HYPERLINK("#'P-DetalleVenta'!A13", 'P-DetalleVenta'!A13)</f>
        <v>P-DV-009</v>
      </c>
      <c r="P33" s="572" t="str">
        <f>'P-DetalleVenta'!B13</f>
        <v>Un detalle de una venta confirmada no puede ser modificado ni eliminado.</v>
      </c>
      <c r="Q33" s="535" t="s">
        <v>1633</v>
      </c>
      <c r="R33" s="598" t="s">
        <v>1634</v>
      </c>
    </row>
    <row r="34" spans="1:18 16000:16000" ht="13.75" customHeight="1">
      <c r="A34" s="1522"/>
      <c r="B34" s="1523"/>
      <c r="C34" s="1528"/>
      <c r="D34" s="991"/>
      <c r="E34" s="991"/>
      <c r="F34" s="1523"/>
      <c r="G34" s="1534"/>
      <c r="H34" s="1534"/>
      <c r="I34" s="1534"/>
      <c r="J34" s="1534"/>
      <c r="K34" s="1528"/>
      <c r="L34" s="991"/>
      <c r="M34" s="991"/>
      <c r="N34" s="1523"/>
      <c r="O34" s="827" t="str">
        <f>HYPERLINK("#'P-DetalleVenta'!A7", 'P-DetalleVenta'!A7)</f>
        <v>P-DV-003</v>
      </c>
      <c r="P34" s="572" t="str">
        <f>'P-DetalleVenta'!B7</f>
        <v>La cantidad registrada en un detalle de venta debe ser un numero entero mayor que cero y como maximo 1000.</v>
      </c>
      <c r="Q34" s="535" t="s">
        <v>1642</v>
      </c>
      <c r="R34" s="598" t="s">
        <v>1448</v>
      </c>
    </row>
    <row r="35" spans="1:18 16000:16000" s="614" customFormat="1" ht="13.75" customHeight="1">
      <c r="A35" s="1524"/>
      <c r="B35" s="1525"/>
      <c r="C35" s="1529"/>
      <c r="D35" s="1530"/>
      <c r="E35" s="1530"/>
      <c r="F35" s="1525"/>
      <c r="G35" s="1535"/>
      <c r="H35" s="1535"/>
      <c r="I35" s="1535"/>
      <c r="J35" s="1535"/>
      <c r="K35" s="1531"/>
      <c r="L35" s="994"/>
      <c r="M35" s="994"/>
      <c r="N35" s="1532"/>
      <c r="O35" s="827" t="str">
        <f>HYPERLINK("#'P-DetalleVenta'!A17", 'P-DetalleVenta'!A17)</f>
        <v>P-DV-013</v>
      </c>
      <c r="P35" s="572" t="str">
        <f>'P-DetalleVenta'!B17</f>
        <v>El subtotal del detalle se calcula como la cantidad por el precio del producto; no lo digita el usuario.</v>
      </c>
      <c r="Q35" s="535" t="s">
        <v>1640</v>
      </c>
      <c r="R35" s="598" t="s">
        <v>1641</v>
      </c>
      <c r="WQJ35"/>
    </row>
    <row r="36" spans="1:18 16000:16000" s="614" customFormat="1" ht="13.75" customHeight="1">
      <c r="A36" s="1509" t="str">
        <f>HYPERLINK("#'C-DetalleVenta'!Y4", 'E-DetalleVenta'!B19)</f>
        <v>Retirar producto de la venta</v>
      </c>
      <c r="B36" s="1510"/>
      <c r="C36" s="1511" t="str">
        <f>'E-DetalleVenta'!C19</f>
        <v>Permite quitar un producto de una venta que todavia no ha sido confirmada.</v>
      </c>
      <c r="D36" s="1512"/>
      <c r="E36" s="1512"/>
      <c r="F36" s="1510"/>
      <c r="G36" s="1517" t="s">
        <v>16</v>
      </c>
      <c r="H36" s="1517" t="s">
        <v>299</v>
      </c>
      <c r="I36" s="1517" t="s">
        <v>1286</v>
      </c>
      <c r="J36" s="1518" t="s">
        <v>49</v>
      </c>
      <c r="K36" s="1513" t="s">
        <v>1643</v>
      </c>
      <c r="L36" s="1514"/>
      <c r="M36" s="1514"/>
      <c r="N36" s="1515"/>
      <c r="O36" s="800" t="str">
        <f>HYPERLINK("#'P-DetalleVenta'!A12", 'P-DetalleVenta'!A12)</f>
        <v>P-DV-008</v>
      </c>
      <c r="P36" s="571" t="str">
        <f>'P-DetalleVenta'!B12</f>
        <v>El detalle de venta que se pretenda eliminar debe existir.</v>
      </c>
      <c r="Q36" s="571" t="s">
        <v>1644</v>
      </c>
      <c r="R36" s="571" t="s">
        <v>1645</v>
      </c>
      <c r="WQJ36"/>
    </row>
    <row r="37" spans="1:18 16000:16000" s="614" customFormat="1" ht="13.75" customHeight="1">
      <c r="A37" s="1270"/>
      <c r="B37" s="1271"/>
      <c r="C37" s="1274"/>
      <c r="D37" s="1275"/>
      <c r="E37" s="1275"/>
      <c r="F37" s="1271"/>
      <c r="G37" s="1280"/>
      <c r="H37" s="1280"/>
      <c r="I37" s="1280"/>
      <c r="J37" s="1519"/>
      <c r="K37" s="1516"/>
      <c r="L37" s="1275"/>
      <c r="M37" s="1275"/>
      <c r="N37" s="1277"/>
      <c r="O37" s="800" t="str">
        <f>HYPERLINK("#'P-DetalleVenta'!A13", 'P-DetalleVenta'!A13)</f>
        <v>P-DV-009</v>
      </c>
      <c r="P37" s="571" t="str">
        <f>'P-DetalleVenta'!B13</f>
        <v>Un detalle de una venta confirmada no puede ser modificado ni eliminado.</v>
      </c>
      <c r="Q37" s="571" t="s">
        <v>1633</v>
      </c>
      <c r="R37" s="571" t="s">
        <v>1634</v>
      </c>
      <c r="WQJ37"/>
    </row>
  </sheetData>
  <mergeCells count="33">
    <mergeCell ref="W4:X4"/>
    <mergeCell ref="K23:N23"/>
    <mergeCell ref="B17:B18"/>
    <mergeCell ref="B2:U2"/>
    <mergeCell ref="O22:P22"/>
    <mergeCell ref="G22:I22"/>
    <mergeCell ref="Q22:R22"/>
    <mergeCell ref="J22:N22"/>
    <mergeCell ref="B3:U3"/>
    <mergeCell ref="A22:B23"/>
    <mergeCell ref="C22:F23"/>
    <mergeCell ref="A17:A18"/>
    <mergeCell ref="A24:B31"/>
    <mergeCell ref="C24:F31"/>
    <mergeCell ref="K24:N31"/>
    <mergeCell ref="G24:G31"/>
    <mergeCell ref="H24:H31"/>
    <mergeCell ref="I24:I31"/>
    <mergeCell ref="J24:J31"/>
    <mergeCell ref="A32:B35"/>
    <mergeCell ref="C32:F35"/>
    <mergeCell ref="K32:N35"/>
    <mergeCell ref="G32:G35"/>
    <mergeCell ref="H32:H35"/>
    <mergeCell ref="I32:I35"/>
    <mergeCell ref="J32:J35"/>
    <mergeCell ref="A36:B37"/>
    <mergeCell ref="C36:F37"/>
    <mergeCell ref="K36:N37"/>
    <mergeCell ref="G36:G37"/>
    <mergeCell ref="H36:H37"/>
    <mergeCell ref="I36:I37"/>
    <mergeCell ref="J36:J37"/>
  </mergeCells>
  <hyperlinks>
    <hyperlink ref="A1" location="'Modelo de dominio'!A1" display="&lt;&lt;&lt;Modelo de Dominio" xr:uid="{00000000-0004-0000-1600-000000000000}"/>
    <hyperlink ref="B1" location="'Objetos de dominio'!A1" display="&lt;&lt;&lt;Objetos de Dominio" xr:uid="{00000000-0004-0000-1600-000001000000}"/>
  </hyperlink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4">
    <tabColor theme="2"/>
    <outlinePr summaryBelow="0" summaryRight="0"/>
  </sheetPr>
  <dimension ref="A1:WQJ997"/>
  <sheetViews>
    <sheetView topLeftCell="F3" workbookViewId="0">
      <selection activeCell="G20" sqref="G20"/>
    </sheetView>
  </sheetViews>
  <sheetFormatPr baseColWidth="10" defaultColWidth="12.625" defaultRowHeight="12.9"/>
  <cols>
    <col min="1" max="1" width="17" bestFit="1" customWidth="1"/>
    <col min="2" max="2" width="25.875" bestFit="1" customWidth="1"/>
    <col min="3" max="3" width="57.625" bestFit="1" customWidth="1"/>
    <col min="4" max="4" width="26.375" customWidth="1"/>
    <col min="5" max="5" width="25.125" bestFit="1" customWidth="1"/>
    <col min="6" max="6" width="83.625" bestFit="1" customWidth="1"/>
    <col min="7" max="7" width="17.375" bestFit="1" customWidth="1"/>
    <col min="8" max="8" width="23" bestFit="1" customWidth="1"/>
    <col min="9" max="9" width="86.625" bestFit="1" customWidth="1"/>
  </cols>
  <sheetData>
    <row r="1" spans="1:24 16000:16000">
      <c r="A1" s="49" t="s">
        <v>0</v>
      </c>
      <c r="B1" s="50" t="s">
        <v>1</v>
      </c>
      <c r="C1" s="73"/>
      <c r="D1" s="73"/>
      <c r="E1" s="73"/>
      <c r="F1" s="73"/>
      <c r="G1" s="73"/>
      <c r="H1" s="73"/>
      <c r="I1" s="73"/>
      <c r="J1" s="73"/>
      <c r="K1" s="73"/>
      <c r="L1" s="73"/>
      <c r="M1" s="73"/>
      <c r="N1" s="73"/>
      <c r="O1" s="73"/>
      <c r="P1" s="73"/>
      <c r="Q1" s="73"/>
      <c r="R1" s="73"/>
      <c r="S1" s="73"/>
      <c r="T1" s="73"/>
      <c r="U1" s="73"/>
      <c r="V1" s="73"/>
      <c r="W1" s="73"/>
      <c r="X1" s="73"/>
    </row>
    <row r="2" spans="1:24 16000:16000" ht="13.75" customHeight="1">
      <c r="A2" s="333" t="s">
        <v>209</v>
      </c>
      <c r="B2" s="1147" t="s">
        <v>49</v>
      </c>
      <c r="C2" s="1123"/>
      <c r="D2" s="1123"/>
      <c r="E2" s="1123"/>
      <c r="F2" s="1123"/>
      <c r="G2" s="1123"/>
      <c r="H2" s="1123"/>
      <c r="I2" s="1124"/>
      <c r="J2" s="73"/>
      <c r="K2" s="73"/>
      <c r="L2" s="73"/>
      <c r="M2" s="73"/>
      <c r="N2" s="73"/>
      <c r="O2" s="73"/>
      <c r="P2" s="73"/>
      <c r="Q2" s="73"/>
      <c r="R2" s="73"/>
      <c r="S2" s="73"/>
      <c r="T2" s="73"/>
      <c r="U2" s="73"/>
      <c r="V2" s="73"/>
      <c r="W2" s="73"/>
      <c r="X2" s="73"/>
    </row>
    <row r="3" spans="1:24 16000:16000" ht="13.75" customHeight="1">
      <c r="A3" s="334" t="s">
        <v>210</v>
      </c>
      <c r="B3" s="1148" t="str">
        <f>'C-DetalleVenta'!B3</f>
        <v>Es cada uno de los productos que se vendieron en una venta, con la cantidad y el valor de cada uno.</v>
      </c>
      <c r="C3" s="1123"/>
      <c r="D3" s="1123"/>
      <c r="E3" s="1123"/>
      <c r="F3" s="1123"/>
      <c r="G3" s="1123"/>
      <c r="H3" s="1123"/>
      <c r="I3" s="1124"/>
      <c r="J3" s="73"/>
      <c r="K3" s="73"/>
      <c r="L3" s="73"/>
      <c r="M3" s="73"/>
      <c r="N3" s="73"/>
      <c r="O3" s="73"/>
      <c r="P3" s="73"/>
      <c r="Q3" s="73"/>
      <c r="R3" s="73"/>
      <c r="S3" s="73"/>
      <c r="T3" s="73"/>
      <c r="U3" s="73"/>
      <c r="V3" s="73"/>
      <c r="W3" s="73"/>
      <c r="X3" s="73"/>
    </row>
    <row r="4" spans="1:24 16000:16000" ht="13.75" customHeight="1">
      <c r="A4" s="328" t="s">
        <v>211</v>
      </c>
      <c r="B4" s="1546" t="s">
        <v>212</v>
      </c>
      <c r="C4" s="1124"/>
      <c r="D4" s="329" t="s">
        <v>213</v>
      </c>
      <c r="E4" s="1545" t="s">
        <v>214</v>
      </c>
      <c r="F4" s="1124"/>
      <c r="G4" s="330" t="s">
        <v>215</v>
      </c>
      <c r="H4" s="331" t="s">
        <v>217</v>
      </c>
      <c r="I4" s="332" t="s">
        <v>218</v>
      </c>
      <c r="J4" s="73"/>
      <c r="K4" s="73"/>
      <c r="L4" s="73"/>
      <c r="M4" s="73"/>
      <c r="N4" s="73"/>
      <c r="O4" s="73"/>
      <c r="P4" s="73"/>
      <c r="Q4" s="73"/>
      <c r="R4" s="73"/>
      <c r="S4" s="73"/>
      <c r="T4" s="73"/>
      <c r="U4" s="73"/>
      <c r="V4" s="73"/>
      <c r="W4" s="73"/>
      <c r="X4" s="73"/>
    </row>
    <row r="5" spans="1:24 16000:16000" ht="13.75" customHeight="1">
      <c r="A5" s="328" t="s">
        <v>211</v>
      </c>
      <c r="B5" s="569" t="s">
        <v>219</v>
      </c>
      <c r="C5" s="569" t="s">
        <v>79</v>
      </c>
      <c r="D5" s="329" t="s">
        <v>220</v>
      </c>
      <c r="E5" s="1545" t="s">
        <v>221</v>
      </c>
      <c r="F5" s="1124"/>
      <c r="G5" s="330" t="s">
        <v>222</v>
      </c>
      <c r="H5" s="331" t="s">
        <v>224</v>
      </c>
      <c r="I5" s="332" t="s">
        <v>225</v>
      </c>
      <c r="J5" s="73"/>
      <c r="K5" s="73"/>
      <c r="L5" s="73"/>
      <c r="M5" s="73"/>
      <c r="N5" s="73"/>
      <c r="O5" s="73"/>
      <c r="P5" s="73"/>
      <c r="Q5" s="73"/>
      <c r="R5" s="73"/>
      <c r="S5" s="73"/>
      <c r="T5" s="73"/>
      <c r="U5" s="73"/>
      <c r="V5" s="73"/>
      <c r="W5" s="73"/>
      <c r="X5" s="73"/>
    </row>
    <row r="6" spans="1:24 16000:16000" ht="13.75" customHeight="1">
      <c r="A6" s="562"/>
      <c r="B6" s="562"/>
      <c r="C6" s="562"/>
      <c r="D6" s="562"/>
      <c r="E6" s="568" t="s">
        <v>226</v>
      </c>
      <c r="F6" s="568" t="s">
        <v>79</v>
      </c>
      <c r="G6" s="330" t="s">
        <v>227</v>
      </c>
      <c r="H6" s="562"/>
      <c r="I6" s="562"/>
      <c r="J6" s="73"/>
      <c r="K6" s="73"/>
      <c r="L6" s="73"/>
      <c r="M6" s="73"/>
      <c r="N6" s="73"/>
      <c r="O6" s="73"/>
      <c r="P6" s="73"/>
      <c r="Q6" s="73"/>
      <c r="R6" s="73"/>
      <c r="S6" s="73"/>
      <c r="T6" s="73"/>
      <c r="U6" s="73"/>
      <c r="V6" s="73"/>
      <c r="W6" s="73"/>
      <c r="X6" s="73"/>
    </row>
    <row r="7" spans="1:24 16000:16000" ht="25.5" customHeight="1">
      <c r="A7" s="1046" t="s">
        <v>228</v>
      </c>
      <c r="B7" s="1046" t="s">
        <v>500</v>
      </c>
      <c r="C7" s="1046" t="s">
        <v>501</v>
      </c>
      <c r="D7" s="1046" t="s">
        <v>49</v>
      </c>
      <c r="E7" s="1046" t="s">
        <v>502</v>
      </c>
      <c r="F7" s="1046" t="s">
        <v>503</v>
      </c>
      <c r="G7" s="779" t="str">
        <f>HYPERLINK("#'P-DetalleVenta'!A9", "P-DV-005")</f>
        <v>P-DV-005</v>
      </c>
      <c r="H7" s="1046" t="s">
        <v>1625</v>
      </c>
      <c r="I7" s="1046" t="s">
        <v>1744</v>
      </c>
      <c r="J7" s="73"/>
      <c r="K7" s="73"/>
      <c r="L7" s="73"/>
      <c r="M7" s="73"/>
      <c r="N7" s="73"/>
      <c r="O7" s="73"/>
      <c r="P7" s="73"/>
      <c r="Q7" s="73"/>
      <c r="R7" s="73"/>
      <c r="S7" s="73"/>
      <c r="T7" s="73"/>
      <c r="U7" s="73"/>
      <c r="V7" s="73"/>
      <c r="W7" s="73"/>
      <c r="X7" s="73"/>
    </row>
    <row r="8" spans="1:24 16000:16000">
      <c r="A8" s="1047"/>
      <c r="B8" s="1047"/>
      <c r="C8" s="1047"/>
      <c r="D8" s="1047"/>
      <c r="E8" s="1047"/>
      <c r="F8" s="1047"/>
      <c r="G8" s="779" t="str">
        <f>HYPERLINK("#'P-DetalleVenta'!A13", "P-DV-009")</f>
        <v>P-DV-009</v>
      </c>
      <c r="H8" s="1047"/>
      <c r="I8" s="1047"/>
      <c r="J8" s="73"/>
      <c r="K8" s="73"/>
      <c r="L8" s="73"/>
      <c r="M8" s="73"/>
      <c r="N8" s="73"/>
      <c r="O8" s="73"/>
      <c r="P8" s="73"/>
      <c r="Q8" s="73"/>
      <c r="R8" s="73"/>
      <c r="S8" s="73"/>
      <c r="T8" s="73"/>
      <c r="U8" s="73"/>
      <c r="V8" s="73"/>
      <c r="W8" s="73"/>
      <c r="X8" s="73"/>
    </row>
    <row r="9" spans="1:24 16000:16000" s="248" customFormat="1">
      <c r="A9" s="1047"/>
      <c r="B9" s="1047"/>
      <c r="C9" s="1047"/>
      <c r="D9" s="1047"/>
      <c r="E9" s="1047"/>
      <c r="F9" s="1047"/>
      <c r="G9" s="779" t="str">
        <f>HYPERLINK("#'P-DetalleVenta'!A5", "P-DV-001")</f>
        <v>P-DV-001</v>
      </c>
      <c r="H9" s="1047"/>
      <c r="I9" s="1047"/>
      <c r="J9" s="130"/>
      <c r="K9" s="130"/>
      <c r="L9" s="130"/>
      <c r="M9" s="130"/>
      <c r="N9" s="130"/>
      <c r="O9" s="130"/>
      <c r="P9" s="130"/>
      <c r="Q9" s="130"/>
      <c r="R9" s="130"/>
      <c r="S9" s="130"/>
      <c r="T9" s="130"/>
      <c r="U9" s="130"/>
      <c r="V9" s="130"/>
      <c r="W9" s="130"/>
      <c r="X9" s="130"/>
      <c r="WQJ9"/>
    </row>
    <row r="10" spans="1:24 16000:16000">
      <c r="A10" s="1047"/>
      <c r="B10" s="1047"/>
      <c r="C10" s="1047"/>
      <c r="D10" s="1047"/>
      <c r="E10" s="1047"/>
      <c r="F10" s="1047"/>
      <c r="G10" s="779" t="str">
        <f>HYPERLINK("#'P-DetalleVenta'!A6", "P-DV-002")</f>
        <v>P-DV-002</v>
      </c>
      <c r="H10" s="1047"/>
      <c r="I10" s="1047"/>
      <c r="J10" s="73"/>
      <c r="K10" s="73"/>
      <c r="L10" s="73"/>
      <c r="M10" s="73"/>
      <c r="N10" s="73"/>
      <c r="O10" s="73"/>
      <c r="P10" s="73"/>
      <c r="Q10" s="73"/>
      <c r="R10" s="73"/>
      <c r="S10" s="73"/>
      <c r="T10" s="73"/>
      <c r="U10" s="73"/>
      <c r="V10" s="73"/>
      <c r="W10" s="73"/>
      <c r="X10" s="73"/>
    </row>
    <row r="11" spans="1:24 16000:16000" ht="25.5" customHeight="1">
      <c r="A11" s="1047"/>
      <c r="B11" s="1047"/>
      <c r="C11" s="1047"/>
      <c r="D11" s="1047"/>
      <c r="E11" s="1047"/>
      <c r="F11" s="1047"/>
      <c r="G11" s="779" t="str">
        <f>HYPERLINK("#'P-DetalleVenta'!A7", "P-DV-003")</f>
        <v>P-DV-003</v>
      </c>
      <c r="H11" s="1047"/>
      <c r="I11" s="1047"/>
      <c r="J11" s="73"/>
      <c r="K11" s="73"/>
      <c r="L11" s="73"/>
      <c r="M11" s="73"/>
      <c r="N11" s="73"/>
      <c r="O11" s="73"/>
      <c r="P11" s="73"/>
      <c r="Q11" s="73"/>
      <c r="R11" s="73"/>
      <c r="S11" s="73"/>
      <c r="T11" s="73"/>
      <c r="U11" s="73"/>
      <c r="V11" s="73"/>
      <c r="W11" s="73"/>
      <c r="X11" s="73"/>
    </row>
    <row r="12" spans="1:24 16000:16000" ht="12.9" customHeight="1">
      <c r="A12" s="1047"/>
      <c r="B12" s="1047"/>
      <c r="C12" s="1047"/>
      <c r="D12" s="1047"/>
      <c r="E12" s="1047"/>
      <c r="F12" s="1047"/>
      <c r="G12" s="779" t="str">
        <f>HYPERLINK("#'P-DetalleVenta'!A8", "P-DV-004")</f>
        <v>P-DV-004</v>
      </c>
      <c r="H12" s="1047"/>
      <c r="I12" s="1047"/>
      <c r="J12" s="73"/>
      <c r="K12" s="73"/>
      <c r="L12" s="73"/>
      <c r="M12" s="73"/>
      <c r="N12" s="73"/>
      <c r="O12" s="73"/>
      <c r="P12" s="73"/>
      <c r="Q12" s="73"/>
      <c r="R12" s="73"/>
      <c r="S12" s="73"/>
      <c r="T12" s="73"/>
      <c r="U12" s="73"/>
      <c r="V12" s="73"/>
      <c r="W12" s="73"/>
      <c r="X12" s="73"/>
    </row>
    <row r="13" spans="1:24 16000:16000">
      <c r="A13" s="1047"/>
      <c r="B13" s="1047"/>
      <c r="C13" s="1047"/>
      <c r="D13" s="1047"/>
      <c r="E13" s="1047"/>
      <c r="F13" s="1047"/>
      <c r="G13" s="779" t="str">
        <f>HYPERLINK("#'P-DetalleVenta'!A10", "P-DV-006")</f>
        <v>P-DV-006</v>
      </c>
      <c r="H13" s="1047"/>
      <c r="I13" s="1047"/>
      <c r="J13" s="73"/>
      <c r="K13" s="73"/>
      <c r="L13" s="73"/>
      <c r="M13" s="73"/>
      <c r="N13" s="73"/>
      <c r="O13" s="73"/>
      <c r="P13" s="73"/>
      <c r="Q13" s="73"/>
      <c r="R13" s="73"/>
      <c r="S13" s="73"/>
      <c r="T13" s="73"/>
      <c r="U13" s="73"/>
      <c r="V13" s="73"/>
      <c r="W13" s="73"/>
      <c r="X13" s="73"/>
    </row>
    <row r="14" spans="1:24 16000:16000">
      <c r="A14" s="1048"/>
      <c r="B14" s="1048"/>
      <c r="C14" s="1048"/>
      <c r="D14" s="1048"/>
      <c r="E14" s="1048"/>
      <c r="F14" s="1048"/>
      <c r="G14" s="779" t="str">
        <f>HYPERLINK("#'P-DetalleVenta'!A17", "P-DV-013")</f>
        <v>P-DV-013</v>
      </c>
      <c r="H14" s="1048"/>
      <c r="I14" s="1048"/>
      <c r="J14" s="73"/>
      <c r="K14" s="73"/>
      <c r="L14" s="73"/>
      <c r="M14" s="73"/>
      <c r="N14" s="73"/>
      <c r="O14" s="73"/>
      <c r="P14" s="73"/>
      <c r="Q14" s="73"/>
      <c r="R14" s="73"/>
      <c r="S14" s="73"/>
      <c r="T14" s="73"/>
      <c r="U14" s="73"/>
      <c r="V14" s="73"/>
      <c r="W14" s="73"/>
      <c r="X14" s="73"/>
    </row>
    <row r="15" spans="1:24 16000:16000" ht="25.85" customHeight="1">
      <c r="A15" s="1352" t="s">
        <v>228</v>
      </c>
      <c r="B15" s="1352" t="s">
        <v>504</v>
      </c>
      <c r="C15" s="1352" t="s">
        <v>505</v>
      </c>
      <c r="D15" s="1352" t="s">
        <v>49</v>
      </c>
      <c r="E15" s="1352" t="s">
        <v>506</v>
      </c>
      <c r="F15" s="1352" t="s">
        <v>507</v>
      </c>
      <c r="G15" s="801" t="str">
        <f>HYPERLINK("#'P-DetalleVenta'!A11", "P-DV-007")</f>
        <v>P-DV-007</v>
      </c>
      <c r="H15" s="1352" t="s">
        <v>508</v>
      </c>
      <c r="I15" s="1539"/>
    </row>
    <row r="16" spans="1:24 16000:16000" ht="12.9" customHeight="1">
      <c r="A16" s="1353"/>
      <c r="B16" s="1353"/>
      <c r="C16" s="1353"/>
      <c r="D16" s="1353"/>
      <c r="E16" s="1353"/>
      <c r="F16" s="1353"/>
      <c r="G16" s="801" t="str">
        <f>HYPERLINK("#'P-DetalleVenta'!A13", "P-DV-009")</f>
        <v>P-DV-009</v>
      </c>
      <c r="H16" s="1353"/>
      <c r="I16" s="1540"/>
      <c r="J16" s="73"/>
      <c r="K16" s="73"/>
      <c r="L16" s="73"/>
      <c r="M16" s="73"/>
      <c r="N16" s="73"/>
      <c r="O16" s="73"/>
      <c r="P16" s="73"/>
      <c r="Q16" s="73"/>
      <c r="R16" s="73"/>
      <c r="S16" s="73"/>
      <c r="T16" s="73"/>
      <c r="U16" s="73"/>
      <c r="V16" s="73"/>
      <c r="W16" s="73"/>
      <c r="X16" s="73"/>
    </row>
    <row r="17" spans="1:24 16000:16000">
      <c r="A17" s="1353"/>
      <c r="B17" s="1353"/>
      <c r="C17" s="1353"/>
      <c r="D17" s="1353"/>
      <c r="E17" s="1353"/>
      <c r="F17" s="1353"/>
      <c r="G17" s="801" t="str">
        <f>HYPERLINK("#'P-DetalleVenta'!A7", "P-DV-003")</f>
        <v>P-DV-003</v>
      </c>
      <c r="H17" s="1353"/>
      <c r="I17" s="1540"/>
      <c r="J17" s="73"/>
      <c r="K17" s="73"/>
      <c r="L17" s="73"/>
      <c r="M17" s="73"/>
      <c r="N17" s="73"/>
      <c r="O17" s="73"/>
      <c r="P17" s="73"/>
      <c r="Q17" s="73"/>
      <c r="R17" s="73"/>
      <c r="S17" s="73"/>
      <c r="T17" s="73"/>
      <c r="U17" s="73"/>
      <c r="V17" s="73"/>
      <c r="W17" s="73"/>
      <c r="X17" s="73"/>
    </row>
    <row r="18" spans="1:24 16000:16000" s="614" customFormat="1">
      <c r="A18" s="1354"/>
      <c r="B18" s="1354"/>
      <c r="C18" s="1354"/>
      <c r="D18" s="1354"/>
      <c r="E18" s="1354"/>
      <c r="F18" s="1354"/>
      <c r="G18" s="801" t="str">
        <f>HYPERLINK("#'P-DetalleVenta'!A17", "P-DV-013")</f>
        <v>P-DV-013</v>
      </c>
      <c r="H18" s="1354"/>
      <c r="I18" s="1541"/>
      <c r="J18" s="297"/>
      <c r="K18" s="297"/>
      <c r="L18" s="297"/>
      <c r="M18" s="297"/>
      <c r="N18" s="297"/>
      <c r="O18" s="297"/>
      <c r="P18" s="297"/>
      <c r="Q18" s="297"/>
      <c r="R18" s="297"/>
      <c r="S18" s="297"/>
      <c r="T18" s="297"/>
      <c r="U18" s="297"/>
      <c r="V18" s="297"/>
      <c r="W18" s="297"/>
      <c r="X18" s="297"/>
      <c r="WQJ18"/>
    </row>
    <row r="19" spans="1:24 16000:16000" s="614" customFormat="1" ht="25.85" customHeight="1">
      <c r="A19" s="1046" t="s">
        <v>228</v>
      </c>
      <c r="B19" s="1542" t="s">
        <v>1626</v>
      </c>
      <c r="C19" s="1542" t="s">
        <v>1627</v>
      </c>
      <c r="D19" s="1046"/>
      <c r="E19" s="1542" t="s">
        <v>1628</v>
      </c>
      <c r="F19" s="1542" t="s">
        <v>1629</v>
      </c>
      <c r="G19" s="828" t="str">
        <f>HYPERLINK("#'P-DetalleVenta'!A12", "P-DV-008")</f>
        <v>P-DV-008</v>
      </c>
      <c r="H19" s="1542" t="s">
        <v>1630</v>
      </c>
      <c r="I19" s="1543"/>
      <c r="J19" s="297"/>
      <c r="K19" s="297"/>
      <c r="L19" s="297"/>
      <c r="M19" s="297"/>
      <c r="N19" s="297"/>
      <c r="O19" s="297"/>
      <c r="P19" s="297"/>
      <c r="Q19" s="297"/>
      <c r="R19" s="297"/>
      <c r="S19" s="297"/>
      <c r="T19" s="297"/>
      <c r="U19" s="297"/>
      <c r="V19" s="297"/>
      <c r="W19" s="297"/>
      <c r="X19" s="297"/>
      <c r="WQJ19"/>
    </row>
    <row r="20" spans="1:24 16000:16000" s="614" customFormat="1">
      <c r="A20" s="1048"/>
      <c r="B20" s="1363"/>
      <c r="C20" s="1363"/>
      <c r="D20" s="1048"/>
      <c r="E20" s="1363"/>
      <c r="F20" s="1363"/>
      <c r="G20" s="828" t="str">
        <f>HYPERLINK("#'P-DetalleVenta'!A13", "P-DV-009")</f>
        <v>P-DV-009</v>
      </c>
      <c r="H20" s="1363"/>
      <c r="I20" s="1544"/>
      <c r="J20" s="297"/>
      <c r="K20" s="297"/>
      <c r="L20" s="297"/>
      <c r="M20" s="297"/>
      <c r="N20" s="297"/>
      <c r="O20" s="297"/>
      <c r="P20" s="297"/>
      <c r="Q20" s="297"/>
      <c r="R20" s="297"/>
      <c r="S20" s="297"/>
      <c r="T20" s="297"/>
      <c r="U20" s="297"/>
      <c r="V20" s="297"/>
      <c r="W20" s="297"/>
      <c r="X20" s="297"/>
      <c r="WQJ20"/>
    </row>
    <row r="21" spans="1:24 16000:16000">
      <c r="G21" s="133"/>
      <c r="J21" s="73"/>
      <c r="K21" s="73"/>
      <c r="L21" s="73"/>
      <c r="M21" s="73"/>
      <c r="N21" s="73"/>
      <c r="O21" s="73"/>
      <c r="P21" s="73"/>
      <c r="Q21" s="73"/>
      <c r="R21" s="73"/>
      <c r="S21" s="73"/>
      <c r="T21" s="73"/>
      <c r="U21" s="73"/>
      <c r="V21" s="73"/>
      <c r="W21" s="73"/>
      <c r="X21" s="73"/>
    </row>
    <row r="22" spans="1:24 16000:16000">
      <c r="A22" s="73"/>
      <c r="B22" s="73"/>
      <c r="C22" s="73"/>
      <c r="D22" s="73"/>
      <c r="E22" s="73"/>
      <c r="F22" s="73"/>
      <c r="G22" s="73"/>
      <c r="H22" s="73"/>
      <c r="I22" s="73"/>
      <c r="J22" s="73"/>
      <c r="K22" s="73"/>
      <c r="L22" s="73"/>
      <c r="M22" s="73"/>
      <c r="N22" s="73"/>
      <c r="O22" s="73"/>
      <c r="P22" s="73"/>
      <c r="Q22" s="73"/>
      <c r="R22" s="73"/>
      <c r="S22" s="73"/>
      <c r="T22" s="73"/>
      <c r="U22" s="73"/>
      <c r="V22" s="73"/>
      <c r="W22" s="73"/>
      <c r="X22" s="73"/>
    </row>
    <row r="23" spans="1:24 16000:16000">
      <c r="A23" s="73"/>
      <c r="B23" s="73"/>
      <c r="C23" s="73"/>
      <c r="D23" s="73"/>
      <c r="E23" s="73"/>
      <c r="F23" s="73"/>
      <c r="G23" s="73"/>
      <c r="H23" s="73"/>
      <c r="I23" s="73"/>
      <c r="J23" s="73"/>
      <c r="K23" s="73"/>
      <c r="L23" s="73"/>
      <c r="M23" s="73"/>
      <c r="N23" s="73"/>
      <c r="O23" s="73"/>
      <c r="P23" s="73"/>
      <c r="Q23" s="73"/>
      <c r="R23" s="73"/>
      <c r="S23" s="73"/>
      <c r="T23" s="73"/>
      <c r="U23" s="73"/>
      <c r="V23" s="73"/>
      <c r="W23" s="73"/>
      <c r="X23" s="73"/>
    </row>
    <row r="24" spans="1:24 16000:16000">
      <c r="A24" s="73"/>
      <c r="B24" s="73"/>
      <c r="C24" s="73"/>
      <c r="D24" s="73"/>
      <c r="E24" s="73"/>
      <c r="F24" s="73"/>
      <c r="G24" s="73"/>
      <c r="H24" s="73"/>
      <c r="I24" s="73"/>
      <c r="J24" s="73"/>
      <c r="K24" s="73"/>
      <c r="L24" s="73"/>
      <c r="M24" s="73"/>
      <c r="N24" s="73"/>
      <c r="O24" s="73"/>
      <c r="P24" s="73"/>
      <c r="Q24" s="73"/>
      <c r="R24" s="73"/>
      <c r="S24" s="73"/>
      <c r="T24" s="73"/>
      <c r="U24" s="73"/>
      <c r="V24" s="73"/>
      <c r="W24" s="73"/>
      <c r="X24" s="73"/>
    </row>
    <row r="25" spans="1:24 16000:16000">
      <c r="A25" s="73"/>
      <c r="B25" s="73"/>
      <c r="C25" s="73"/>
      <c r="D25" s="73"/>
      <c r="E25" s="73"/>
      <c r="F25" s="73"/>
      <c r="G25" s="73"/>
      <c r="H25" s="73"/>
      <c r="I25" s="73"/>
      <c r="J25" s="73"/>
      <c r="K25" s="73"/>
      <c r="L25" s="73"/>
      <c r="M25" s="73"/>
      <c r="N25" s="73"/>
      <c r="O25" s="73"/>
      <c r="P25" s="73"/>
      <c r="Q25" s="73"/>
      <c r="R25" s="73"/>
      <c r="S25" s="73"/>
      <c r="T25" s="73"/>
      <c r="U25" s="73"/>
      <c r="V25" s="73"/>
      <c r="W25" s="73"/>
      <c r="X25" s="73"/>
    </row>
    <row r="26" spans="1:24 16000:16000">
      <c r="A26" s="73"/>
      <c r="B26" s="73"/>
      <c r="C26" s="73"/>
      <c r="D26" s="73"/>
      <c r="E26" s="73"/>
      <c r="F26" s="73"/>
      <c r="G26" s="73"/>
      <c r="H26" s="73"/>
      <c r="I26" s="73"/>
      <c r="J26" s="73"/>
      <c r="K26" s="73"/>
      <c r="L26" s="73"/>
      <c r="M26" s="73"/>
      <c r="N26" s="73"/>
      <c r="O26" s="73"/>
      <c r="P26" s="73"/>
      <c r="Q26" s="73"/>
      <c r="R26" s="73"/>
      <c r="S26" s="73"/>
      <c r="T26" s="73"/>
      <c r="U26" s="73"/>
      <c r="V26" s="73"/>
      <c r="W26" s="73"/>
      <c r="X26" s="73"/>
    </row>
    <row r="27" spans="1:24 16000:16000">
      <c r="A27" s="73"/>
      <c r="B27" s="73"/>
      <c r="C27" s="73"/>
      <c r="D27" s="73"/>
      <c r="E27" s="73"/>
      <c r="F27" s="73"/>
      <c r="G27" s="73"/>
      <c r="H27" s="73"/>
      <c r="I27" s="73"/>
      <c r="J27" s="73"/>
      <c r="K27" s="73"/>
      <c r="L27" s="73"/>
      <c r="M27" s="73"/>
      <c r="N27" s="73"/>
      <c r="O27" s="73"/>
      <c r="P27" s="73"/>
      <c r="Q27" s="73"/>
      <c r="R27" s="73"/>
      <c r="S27" s="73"/>
      <c r="T27" s="73"/>
      <c r="U27" s="73"/>
      <c r="V27" s="73"/>
      <c r="W27" s="73"/>
      <c r="X27" s="73"/>
    </row>
    <row r="28" spans="1:24 16000:16000">
      <c r="A28" s="73"/>
      <c r="B28" s="73"/>
      <c r="C28" s="73"/>
      <c r="D28" s="73"/>
      <c r="E28" s="73"/>
      <c r="F28" s="73"/>
      <c r="G28" s="73"/>
      <c r="H28" s="73"/>
      <c r="I28" s="73"/>
      <c r="J28" s="73"/>
      <c r="K28" s="73"/>
      <c r="L28" s="73"/>
      <c r="M28" s="73"/>
      <c r="N28" s="73"/>
      <c r="O28" s="73"/>
      <c r="P28" s="73"/>
      <c r="Q28" s="73"/>
      <c r="R28" s="73"/>
      <c r="S28" s="73"/>
      <c r="T28" s="73"/>
      <c r="U28" s="73"/>
      <c r="V28" s="73"/>
      <c r="W28" s="73"/>
      <c r="X28" s="73"/>
    </row>
    <row r="29" spans="1:24 16000:16000">
      <c r="A29" s="73"/>
      <c r="B29" s="73"/>
      <c r="C29" s="73"/>
      <c r="D29" s="73"/>
      <c r="E29" s="73"/>
      <c r="F29" s="73"/>
      <c r="G29" s="73"/>
      <c r="H29" s="73"/>
      <c r="I29" s="73"/>
      <c r="J29" s="73"/>
      <c r="K29" s="73"/>
      <c r="L29" s="73"/>
      <c r="M29" s="73"/>
      <c r="N29" s="73"/>
      <c r="O29" s="73"/>
      <c r="P29" s="73"/>
      <c r="Q29" s="73"/>
      <c r="R29" s="73"/>
      <c r="S29" s="73"/>
      <c r="T29" s="73"/>
      <c r="U29" s="73"/>
      <c r="V29" s="73"/>
      <c r="W29" s="73"/>
      <c r="X29" s="73"/>
    </row>
    <row r="30" spans="1:24 16000:16000">
      <c r="A30" s="73"/>
      <c r="B30" s="73"/>
      <c r="C30" s="73"/>
      <c r="D30" s="73"/>
      <c r="E30" s="73"/>
      <c r="F30" s="73"/>
      <c r="G30" s="73"/>
      <c r="H30" s="73"/>
      <c r="I30" s="73"/>
      <c r="J30" s="73"/>
      <c r="K30" s="73"/>
      <c r="L30" s="73"/>
      <c r="M30" s="73"/>
      <c r="N30" s="73"/>
      <c r="O30" s="73"/>
      <c r="P30" s="73"/>
      <c r="Q30" s="73"/>
      <c r="R30" s="73"/>
      <c r="S30" s="73"/>
      <c r="T30" s="73"/>
      <c r="U30" s="73"/>
      <c r="V30" s="73"/>
      <c r="W30" s="73"/>
      <c r="X30" s="73"/>
    </row>
    <row r="31" spans="1:24 16000:16000">
      <c r="A31" s="73"/>
      <c r="B31" s="73"/>
      <c r="C31" s="73"/>
      <c r="D31" s="73"/>
      <c r="E31" s="73"/>
      <c r="F31" s="73"/>
      <c r="G31" s="73"/>
      <c r="H31" s="73"/>
      <c r="I31" s="73"/>
      <c r="J31" s="73"/>
      <c r="K31" s="73"/>
      <c r="L31" s="73"/>
      <c r="M31" s="73"/>
      <c r="N31" s="73"/>
      <c r="O31" s="73"/>
      <c r="P31" s="73"/>
      <c r="Q31" s="73"/>
      <c r="R31" s="73"/>
      <c r="S31" s="73"/>
      <c r="T31" s="73"/>
      <c r="U31" s="73"/>
      <c r="V31" s="73"/>
      <c r="W31" s="73"/>
      <c r="X31" s="73"/>
    </row>
    <row r="32" spans="1:24 16000:16000">
      <c r="A32" s="73"/>
      <c r="B32" s="73"/>
      <c r="C32" s="73"/>
      <c r="D32" s="73"/>
      <c r="E32" s="73"/>
      <c r="F32" s="73"/>
      <c r="G32" s="73"/>
      <c r="H32" s="73"/>
      <c r="I32" s="73"/>
      <c r="J32" s="73"/>
      <c r="K32" s="73"/>
      <c r="L32" s="73"/>
      <c r="M32" s="73"/>
      <c r="N32" s="73"/>
      <c r="O32" s="73"/>
      <c r="P32" s="73"/>
      <c r="Q32" s="73"/>
      <c r="R32" s="73"/>
      <c r="S32" s="73"/>
      <c r="T32" s="73"/>
      <c r="U32" s="73"/>
      <c r="V32" s="73"/>
      <c r="W32" s="73"/>
      <c r="X32" s="73"/>
    </row>
    <row r="33" spans="1:24">
      <c r="A33" s="73"/>
      <c r="B33" s="73"/>
      <c r="C33" s="73"/>
      <c r="D33" s="73"/>
      <c r="E33" s="73"/>
      <c r="F33" s="73"/>
      <c r="G33" s="73"/>
      <c r="H33" s="73"/>
      <c r="I33" s="73"/>
      <c r="J33" s="73"/>
      <c r="K33" s="73"/>
      <c r="L33" s="73"/>
      <c r="M33" s="73"/>
      <c r="N33" s="73"/>
      <c r="O33" s="73"/>
      <c r="P33" s="73"/>
      <c r="Q33" s="73"/>
      <c r="R33" s="73"/>
      <c r="S33" s="73"/>
      <c r="T33" s="73"/>
      <c r="U33" s="73"/>
      <c r="V33" s="73"/>
      <c r="W33" s="73"/>
      <c r="X33" s="73"/>
    </row>
    <row r="34" spans="1:24">
      <c r="A34" s="73"/>
      <c r="B34" s="73"/>
      <c r="C34" s="73"/>
      <c r="D34" s="73"/>
      <c r="E34" s="73"/>
      <c r="F34" s="73"/>
      <c r="G34" s="73"/>
      <c r="H34" s="73"/>
      <c r="I34" s="73"/>
      <c r="J34" s="73"/>
      <c r="K34" s="73"/>
      <c r="L34" s="73"/>
      <c r="M34" s="73"/>
      <c r="N34" s="73"/>
      <c r="O34" s="73"/>
      <c r="P34" s="73"/>
      <c r="Q34" s="73"/>
      <c r="R34" s="73"/>
      <c r="S34" s="73"/>
      <c r="T34" s="73"/>
      <c r="U34" s="73"/>
      <c r="V34" s="73"/>
      <c r="W34" s="73"/>
      <c r="X34" s="73"/>
    </row>
    <row r="35" spans="1:24">
      <c r="A35" s="73"/>
      <c r="B35" s="73"/>
      <c r="C35" s="73"/>
      <c r="D35" s="73"/>
      <c r="E35" s="73"/>
      <c r="F35" s="73"/>
      <c r="G35" s="73"/>
      <c r="H35" s="73"/>
      <c r="I35" s="73"/>
      <c r="J35" s="73"/>
      <c r="K35" s="73"/>
      <c r="L35" s="73"/>
      <c r="M35" s="73"/>
      <c r="N35" s="73"/>
      <c r="O35" s="73"/>
      <c r="P35" s="73"/>
      <c r="Q35" s="73"/>
      <c r="R35" s="73"/>
      <c r="S35" s="73"/>
      <c r="T35" s="73"/>
      <c r="U35" s="73"/>
      <c r="V35" s="73"/>
      <c r="W35" s="73"/>
      <c r="X35" s="73"/>
    </row>
    <row r="36" spans="1:24">
      <c r="A36" s="73"/>
      <c r="B36" s="73"/>
      <c r="C36" s="73"/>
      <c r="D36" s="73"/>
      <c r="E36" s="73"/>
      <c r="F36" s="73"/>
      <c r="G36" s="73"/>
      <c r="H36" s="73"/>
      <c r="I36" s="73"/>
      <c r="J36" s="73"/>
      <c r="K36" s="73"/>
      <c r="L36" s="73"/>
      <c r="M36" s="73"/>
      <c r="N36" s="73"/>
      <c r="O36" s="73"/>
      <c r="P36" s="73"/>
      <c r="Q36" s="73"/>
      <c r="R36" s="73"/>
      <c r="S36" s="73"/>
      <c r="T36" s="73"/>
      <c r="U36" s="73"/>
      <c r="V36" s="73"/>
      <c r="W36" s="73"/>
      <c r="X36" s="73"/>
    </row>
    <row r="37" spans="1:24">
      <c r="A37" s="73"/>
      <c r="B37" s="73"/>
      <c r="C37" s="73"/>
      <c r="D37" s="73"/>
      <c r="E37" s="73"/>
      <c r="F37" s="73"/>
      <c r="G37" s="73"/>
      <c r="H37" s="73"/>
      <c r="I37" s="73"/>
      <c r="J37" s="73"/>
      <c r="K37" s="73"/>
      <c r="L37" s="73"/>
      <c r="M37" s="73"/>
      <c r="N37" s="73"/>
      <c r="O37" s="73"/>
      <c r="P37" s="73"/>
      <c r="Q37" s="73"/>
      <c r="R37" s="73"/>
      <c r="S37" s="73"/>
      <c r="T37" s="73"/>
      <c r="U37" s="73"/>
      <c r="V37" s="73"/>
      <c r="W37" s="73"/>
      <c r="X37" s="73"/>
    </row>
    <row r="38" spans="1:24">
      <c r="A38" s="73"/>
      <c r="B38" s="73"/>
      <c r="C38" s="73"/>
      <c r="D38" s="73"/>
      <c r="E38" s="73"/>
      <c r="F38" s="73"/>
      <c r="G38" s="73"/>
      <c r="H38" s="73"/>
      <c r="I38" s="73"/>
      <c r="J38" s="73"/>
      <c r="K38" s="73"/>
      <c r="L38" s="73"/>
      <c r="M38" s="73"/>
      <c r="N38" s="73"/>
      <c r="O38" s="73"/>
      <c r="P38" s="73"/>
      <c r="Q38" s="73"/>
      <c r="R38" s="73"/>
      <c r="S38" s="73"/>
      <c r="T38" s="73"/>
      <c r="U38" s="73"/>
      <c r="V38" s="73"/>
      <c r="W38" s="73"/>
      <c r="X38" s="73"/>
    </row>
    <row r="39" spans="1:24">
      <c r="A39" s="73"/>
      <c r="B39" s="73"/>
      <c r="C39" s="73"/>
      <c r="D39" s="73"/>
      <c r="E39" s="73"/>
      <c r="F39" s="73"/>
      <c r="G39" s="73"/>
      <c r="H39" s="73"/>
      <c r="I39" s="73"/>
      <c r="J39" s="73"/>
      <c r="K39" s="73"/>
      <c r="L39" s="73"/>
      <c r="M39" s="73"/>
      <c r="N39" s="73"/>
      <c r="O39" s="73"/>
      <c r="P39" s="73"/>
      <c r="Q39" s="73"/>
      <c r="R39" s="73"/>
      <c r="S39" s="73"/>
      <c r="T39" s="73"/>
      <c r="U39" s="73"/>
      <c r="V39" s="73"/>
      <c r="W39" s="73"/>
      <c r="X39" s="73"/>
    </row>
    <row r="40" spans="1:24">
      <c r="A40" s="73"/>
      <c r="B40" s="73"/>
      <c r="C40" s="73"/>
      <c r="D40" s="73"/>
      <c r="E40" s="73"/>
      <c r="F40" s="73"/>
      <c r="G40" s="73"/>
      <c r="H40" s="73"/>
      <c r="I40" s="73"/>
      <c r="J40" s="73"/>
      <c r="K40" s="73"/>
      <c r="L40" s="73"/>
      <c r="M40" s="73"/>
      <c r="N40" s="73"/>
      <c r="O40" s="73"/>
      <c r="P40" s="73"/>
      <c r="Q40" s="73"/>
      <c r="R40" s="73"/>
      <c r="S40" s="73"/>
      <c r="T40" s="73"/>
      <c r="U40" s="73"/>
      <c r="V40" s="73"/>
      <c r="W40" s="73"/>
      <c r="X40" s="73"/>
    </row>
    <row r="41" spans="1:24">
      <c r="A41" s="73"/>
      <c r="B41" s="73"/>
      <c r="C41" s="73"/>
      <c r="D41" s="73"/>
      <c r="E41" s="73"/>
      <c r="F41" s="73"/>
      <c r="G41" s="73"/>
      <c r="H41" s="73"/>
      <c r="I41" s="73"/>
      <c r="J41" s="73"/>
      <c r="K41" s="73"/>
      <c r="L41" s="73"/>
      <c r="M41" s="73"/>
      <c r="N41" s="73"/>
      <c r="O41" s="73"/>
      <c r="P41" s="73"/>
      <c r="Q41" s="73"/>
      <c r="R41" s="73"/>
      <c r="S41" s="73"/>
      <c r="T41" s="73"/>
      <c r="U41" s="73"/>
      <c r="V41" s="73"/>
      <c r="W41" s="73"/>
      <c r="X41" s="73"/>
    </row>
    <row r="42" spans="1:24">
      <c r="A42" s="73"/>
      <c r="B42" s="73"/>
      <c r="C42" s="73"/>
      <c r="D42" s="73"/>
      <c r="E42" s="73"/>
      <c r="F42" s="73"/>
      <c r="G42" s="73"/>
      <c r="H42" s="73"/>
      <c r="I42" s="73"/>
      <c r="J42" s="73"/>
      <c r="K42" s="73"/>
      <c r="L42" s="73"/>
      <c r="M42" s="73"/>
      <c r="N42" s="73"/>
      <c r="O42" s="73"/>
      <c r="P42" s="73"/>
      <c r="Q42" s="73"/>
      <c r="R42" s="73"/>
      <c r="S42" s="73"/>
      <c r="T42" s="73"/>
      <c r="U42" s="73"/>
      <c r="V42" s="73"/>
      <c r="W42" s="73"/>
      <c r="X42" s="73"/>
    </row>
    <row r="43" spans="1:24">
      <c r="A43" s="73"/>
      <c r="B43" s="73"/>
      <c r="C43" s="73"/>
      <c r="D43" s="73"/>
      <c r="E43" s="73"/>
      <c r="F43" s="73"/>
      <c r="G43" s="73"/>
      <c r="H43" s="73"/>
      <c r="I43" s="73"/>
      <c r="J43" s="73"/>
      <c r="K43" s="73"/>
      <c r="L43" s="73"/>
      <c r="M43" s="73"/>
      <c r="N43" s="73"/>
      <c r="O43" s="73"/>
      <c r="P43" s="73"/>
      <c r="Q43" s="73"/>
      <c r="R43" s="73"/>
      <c r="S43" s="73"/>
      <c r="T43" s="73"/>
      <c r="U43" s="73"/>
      <c r="V43" s="73"/>
      <c r="W43" s="73"/>
      <c r="X43" s="73"/>
    </row>
    <row r="44" spans="1:24">
      <c r="A44" s="73"/>
      <c r="B44" s="73"/>
      <c r="C44" s="73"/>
      <c r="D44" s="73"/>
      <c r="E44" s="73"/>
      <c r="F44" s="73"/>
      <c r="G44" s="73"/>
      <c r="H44" s="73"/>
      <c r="I44" s="73"/>
      <c r="J44" s="73"/>
      <c r="K44" s="73"/>
      <c r="L44" s="73"/>
      <c r="M44" s="73"/>
      <c r="N44" s="73"/>
      <c r="O44" s="73"/>
      <c r="P44" s="73"/>
      <c r="Q44" s="73"/>
      <c r="R44" s="73"/>
      <c r="S44" s="73"/>
      <c r="T44" s="73"/>
      <c r="U44" s="73"/>
      <c r="V44" s="73"/>
      <c r="W44" s="73"/>
      <c r="X44" s="73"/>
    </row>
    <row r="45" spans="1:24">
      <c r="A45" s="73"/>
      <c r="B45" s="73"/>
      <c r="C45" s="73"/>
      <c r="D45" s="73"/>
      <c r="E45" s="73"/>
      <c r="F45" s="73"/>
      <c r="G45" s="73"/>
      <c r="H45" s="73"/>
      <c r="I45" s="73"/>
      <c r="J45" s="73"/>
      <c r="K45" s="73"/>
      <c r="L45" s="73"/>
      <c r="M45" s="73"/>
      <c r="N45" s="73"/>
      <c r="O45" s="73"/>
      <c r="P45" s="73"/>
      <c r="Q45" s="73"/>
      <c r="R45" s="73"/>
      <c r="S45" s="73"/>
      <c r="T45" s="73"/>
      <c r="U45" s="73"/>
      <c r="V45" s="73"/>
      <c r="W45" s="73"/>
      <c r="X45" s="73"/>
    </row>
    <row r="46" spans="1:24">
      <c r="A46" s="73"/>
      <c r="B46" s="73"/>
      <c r="C46" s="73"/>
      <c r="D46" s="73"/>
      <c r="E46" s="73"/>
      <c r="F46" s="73"/>
      <c r="G46" s="73"/>
      <c r="H46" s="73"/>
      <c r="I46" s="73"/>
      <c r="J46" s="73"/>
      <c r="K46" s="73"/>
      <c r="L46" s="73"/>
      <c r="M46" s="73"/>
      <c r="N46" s="73"/>
      <c r="O46" s="73"/>
      <c r="P46" s="73"/>
      <c r="Q46" s="73"/>
      <c r="R46" s="73"/>
      <c r="S46" s="73"/>
      <c r="T46" s="73"/>
      <c r="U46" s="73"/>
      <c r="V46" s="73"/>
      <c r="W46" s="73"/>
      <c r="X46" s="73"/>
    </row>
    <row r="47" spans="1:24">
      <c r="A47" s="73"/>
      <c r="B47" s="73"/>
      <c r="C47" s="73"/>
      <c r="D47" s="73"/>
      <c r="E47" s="73"/>
      <c r="F47" s="73"/>
      <c r="G47" s="73"/>
      <c r="H47" s="73"/>
      <c r="I47" s="73"/>
      <c r="J47" s="73"/>
      <c r="K47" s="73"/>
      <c r="L47" s="73"/>
      <c r="M47" s="73"/>
      <c r="N47" s="73"/>
      <c r="O47" s="73"/>
      <c r="P47" s="73"/>
      <c r="Q47" s="73"/>
      <c r="R47" s="73"/>
      <c r="S47" s="73"/>
      <c r="T47" s="73"/>
      <c r="U47" s="73"/>
      <c r="V47" s="73"/>
      <c r="W47" s="73"/>
      <c r="X47" s="73"/>
    </row>
    <row r="48" spans="1:24">
      <c r="A48" s="73"/>
      <c r="B48" s="73"/>
      <c r="C48" s="73"/>
      <c r="D48" s="73"/>
      <c r="E48" s="73"/>
      <c r="F48" s="73"/>
      <c r="G48" s="73"/>
      <c r="H48" s="73"/>
      <c r="I48" s="73"/>
      <c r="J48" s="73"/>
      <c r="K48" s="73"/>
      <c r="L48" s="73"/>
      <c r="M48" s="73"/>
      <c r="N48" s="73"/>
      <c r="O48" s="73"/>
      <c r="P48" s="73"/>
      <c r="Q48" s="73"/>
      <c r="R48" s="73"/>
      <c r="S48" s="73"/>
      <c r="T48" s="73"/>
      <c r="U48" s="73"/>
      <c r="V48" s="73"/>
      <c r="W48" s="73"/>
      <c r="X48" s="73"/>
    </row>
    <row r="49" spans="1:24">
      <c r="A49" s="73"/>
      <c r="B49" s="73"/>
      <c r="C49" s="73"/>
      <c r="D49" s="73"/>
      <c r="E49" s="73"/>
      <c r="F49" s="73"/>
      <c r="G49" s="73"/>
      <c r="H49" s="73"/>
      <c r="I49" s="73"/>
      <c r="J49" s="73"/>
      <c r="K49" s="73"/>
      <c r="L49" s="73"/>
      <c r="M49" s="73"/>
      <c r="N49" s="73"/>
      <c r="O49" s="73"/>
      <c r="P49" s="73"/>
      <c r="Q49" s="73"/>
      <c r="R49" s="73"/>
      <c r="S49" s="73"/>
      <c r="T49" s="73"/>
      <c r="U49" s="73"/>
      <c r="V49" s="73"/>
      <c r="W49" s="73"/>
      <c r="X49" s="73"/>
    </row>
    <row r="50" spans="1:24">
      <c r="A50" s="73"/>
      <c r="B50" s="73"/>
      <c r="C50" s="73"/>
      <c r="D50" s="73"/>
      <c r="E50" s="73"/>
      <c r="F50" s="73"/>
      <c r="G50" s="73"/>
      <c r="H50" s="73"/>
      <c r="I50" s="73"/>
      <c r="J50" s="73"/>
      <c r="K50" s="73"/>
      <c r="L50" s="73"/>
      <c r="M50" s="73"/>
      <c r="N50" s="73"/>
      <c r="O50" s="73"/>
      <c r="P50" s="73"/>
      <c r="Q50" s="73"/>
      <c r="R50" s="73"/>
      <c r="S50" s="73"/>
      <c r="T50" s="73"/>
      <c r="U50" s="73"/>
      <c r="V50" s="73"/>
      <c r="W50" s="73"/>
      <c r="X50" s="73"/>
    </row>
    <row r="51" spans="1:24">
      <c r="A51" s="73"/>
      <c r="B51" s="73"/>
      <c r="C51" s="73"/>
      <c r="D51" s="73"/>
      <c r="E51" s="73"/>
      <c r="F51" s="73"/>
      <c r="G51" s="73"/>
      <c r="H51" s="73"/>
      <c r="I51" s="73"/>
      <c r="J51" s="73"/>
      <c r="K51" s="73"/>
      <c r="L51" s="73"/>
      <c r="M51" s="73"/>
      <c r="N51" s="73"/>
      <c r="O51" s="73"/>
      <c r="P51" s="73"/>
      <c r="Q51" s="73"/>
      <c r="R51" s="73"/>
      <c r="S51" s="73"/>
      <c r="T51" s="73"/>
      <c r="U51" s="73"/>
      <c r="V51" s="73"/>
      <c r="W51" s="73"/>
      <c r="X51" s="73"/>
    </row>
    <row r="52" spans="1:24">
      <c r="A52" s="73"/>
      <c r="B52" s="73"/>
      <c r="C52" s="73"/>
      <c r="D52" s="73"/>
      <c r="E52" s="73"/>
      <c r="F52" s="73"/>
      <c r="G52" s="73"/>
      <c r="H52" s="73"/>
      <c r="I52" s="73"/>
      <c r="J52" s="73"/>
      <c r="K52" s="73"/>
      <c r="L52" s="73"/>
      <c r="M52" s="73"/>
      <c r="N52" s="73"/>
      <c r="O52" s="73"/>
      <c r="P52" s="73"/>
      <c r="Q52" s="73"/>
      <c r="R52" s="73"/>
      <c r="S52" s="73"/>
      <c r="T52" s="73"/>
      <c r="U52" s="73"/>
      <c r="V52" s="73"/>
      <c r="W52" s="73"/>
      <c r="X52" s="73"/>
    </row>
    <row r="53" spans="1:24">
      <c r="A53" s="73"/>
      <c r="B53" s="73"/>
      <c r="C53" s="73"/>
      <c r="D53" s="73"/>
      <c r="E53" s="73"/>
      <c r="F53" s="73"/>
      <c r="G53" s="73"/>
      <c r="H53" s="73"/>
      <c r="I53" s="73"/>
      <c r="J53" s="73"/>
      <c r="K53" s="73"/>
      <c r="L53" s="73"/>
      <c r="M53" s="73"/>
      <c r="N53" s="73"/>
      <c r="O53" s="73"/>
      <c r="P53" s="73"/>
      <c r="Q53" s="73"/>
      <c r="R53" s="73"/>
      <c r="S53" s="73"/>
      <c r="T53" s="73"/>
      <c r="U53" s="73"/>
      <c r="V53" s="73"/>
      <c r="W53" s="73"/>
      <c r="X53" s="73"/>
    </row>
    <row r="54" spans="1:24">
      <c r="A54" s="73"/>
      <c r="B54" s="73"/>
      <c r="C54" s="73"/>
      <c r="D54" s="73"/>
      <c r="E54" s="73"/>
      <c r="F54" s="73"/>
      <c r="G54" s="73"/>
      <c r="H54" s="73"/>
      <c r="I54" s="73"/>
      <c r="J54" s="73"/>
      <c r="K54" s="73"/>
      <c r="L54" s="73"/>
      <c r="M54" s="73"/>
      <c r="N54" s="73"/>
      <c r="O54" s="73"/>
      <c r="P54" s="73"/>
      <c r="Q54" s="73"/>
      <c r="R54" s="73"/>
      <c r="S54" s="73"/>
      <c r="T54" s="73"/>
      <c r="U54" s="73"/>
      <c r="V54" s="73"/>
      <c r="W54" s="73"/>
      <c r="X54" s="73"/>
    </row>
    <row r="55" spans="1:24">
      <c r="A55" s="73"/>
      <c r="B55" s="73"/>
      <c r="C55" s="73"/>
      <c r="D55" s="73"/>
      <c r="E55" s="73"/>
      <c r="F55" s="73"/>
      <c r="G55" s="73"/>
      <c r="H55" s="73"/>
      <c r="I55" s="73"/>
      <c r="J55" s="73"/>
      <c r="K55" s="73"/>
      <c r="L55" s="73"/>
      <c r="M55" s="73"/>
      <c r="N55" s="73"/>
      <c r="O55" s="73"/>
      <c r="P55" s="73"/>
      <c r="Q55" s="73"/>
      <c r="R55" s="73"/>
      <c r="S55" s="73"/>
      <c r="T55" s="73"/>
      <c r="U55" s="73"/>
      <c r="V55" s="73"/>
      <c r="W55" s="73"/>
      <c r="X55" s="73"/>
    </row>
    <row r="56" spans="1:24">
      <c r="A56" s="73"/>
      <c r="B56" s="73"/>
      <c r="C56" s="73"/>
      <c r="D56" s="73"/>
      <c r="E56" s="73"/>
      <c r="F56" s="73"/>
      <c r="G56" s="73"/>
      <c r="H56" s="73"/>
      <c r="I56" s="73"/>
      <c r="J56" s="73"/>
      <c r="K56" s="73"/>
      <c r="L56" s="73"/>
      <c r="M56" s="73"/>
      <c r="N56" s="73"/>
      <c r="O56" s="73"/>
      <c r="P56" s="73"/>
      <c r="Q56" s="73"/>
      <c r="R56" s="73"/>
      <c r="S56" s="73"/>
      <c r="T56" s="73"/>
      <c r="U56" s="73"/>
      <c r="V56" s="73"/>
      <c r="W56" s="73"/>
      <c r="X56" s="73"/>
    </row>
    <row r="57" spans="1:24">
      <c r="A57" s="73"/>
      <c r="B57" s="73"/>
      <c r="C57" s="73"/>
      <c r="D57" s="73"/>
      <c r="E57" s="73"/>
      <c r="F57" s="73"/>
      <c r="G57" s="73"/>
      <c r="H57" s="73"/>
      <c r="I57" s="73"/>
      <c r="J57" s="73"/>
      <c r="K57" s="73"/>
      <c r="L57" s="73"/>
      <c r="M57" s="73"/>
      <c r="N57" s="73"/>
      <c r="O57" s="73"/>
      <c r="P57" s="73"/>
      <c r="Q57" s="73"/>
      <c r="R57" s="73"/>
      <c r="S57" s="73"/>
      <c r="T57" s="73"/>
      <c r="U57" s="73"/>
      <c r="V57" s="73"/>
      <c r="W57" s="73"/>
      <c r="X57" s="73"/>
    </row>
    <row r="58" spans="1:24">
      <c r="A58" s="73"/>
      <c r="B58" s="73"/>
      <c r="C58" s="73"/>
      <c r="D58" s="73"/>
      <c r="E58" s="73"/>
      <c r="F58" s="73"/>
      <c r="G58" s="73"/>
      <c r="H58" s="73"/>
      <c r="I58" s="73"/>
      <c r="J58" s="73"/>
      <c r="K58" s="73"/>
      <c r="L58" s="73"/>
      <c r="M58" s="73"/>
      <c r="N58" s="73"/>
      <c r="O58" s="73"/>
      <c r="P58" s="73"/>
      <c r="Q58" s="73"/>
      <c r="R58" s="73"/>
      <c r="S58" s="73"/>
      <c r="T58" s="73"/>
      <c r="U58" s="73"/>
      <c r="V58" s="73"/>
      <c r="W58" s="73"/>
      <c r="X58" s="73"/>
    </row>
    <row r="59" spans="1:24">
      <c r="A59" s="73"/>
      <c r="B59" s="73"/>
      <c r="C59" s="73"/>
      <c r="D59" s="73"/>
      <c r="E59" s="73"/>
      <c r="F59" s="73"/>
      <c r="G59" s="73"/>
      <c r="H59" s="73"/>
      <c r="I59" s="73"/>
      <c r="J59" s="73"/>
      <c r="K59" s="73"/>
      <c r="L59" s="73"/>
      <c r="M59" s="73"/>
      <c r="N59" s="73"/>
      <c r="O59" s="73"/>
      <c r="P59" s="73"/>
      <c r="Q59" s="73"/>
      <c r="R59" s="73"/>
      <c r="S59" s="73"/>
      <c r="T59" s="73"/>
      <c r="U59" s="73"/>
      <c r="V59" s="73"/>
      <c r="W59" s="73"/>
      <c r="X59" s="73"/>
    </row>
    <row r="60" spans="1:24">
      <c r="A60" s="73"/>
      <c r="B60" s="73"/>
      <c r="C60" s="73"/>
      <c r="D60" s="73"/>
      <c r="E60" s="73"/>
      <c r="F60" s="73"/>
      <c r="G60" s="73"/>
      <c r="H60" s="73"/>
      <c r="I60" s="73"/>
      <c r="J60" s="73"/>
      <c r="K60" s="73"/>
      <c r="L60" s="73"/>
      <c r="M60" s="73"/>
      <c r="N60" s="73"/>
      <c r="O60" s="73"/>
      <c r="P60" s="73"/>
      <c r="Q60" s="73"/>
      <c r="R60" s="73"/>
      <c r="S60" s="73"/>
      <c r="T60" s="73"/>
      <c r="U60" s="73"/>
      <c r="V60" s="73"/>
      <c r="W60" s="73"/>
      <c r="X60" s="73"/>
    </row>
    <row r="61" spans="1:24">
      <c r="A61" s="73"/>
      <c r="B61" s="73"/>
      <c r="C61" s="73"/>
      <c r="D61" s="73"/>
      <c r="E61" s="73"/>
      <c r="F61" s="73"/>
      <c r="G61" s="73"/>
      <c r="H61" s="73"/>
      <c r="I61" s="73"/>
      <c r="J61" s="73"/>
      <c r="K61" s="73"/>
      <c r="L61" s="73"/>
      <c r="M61" s="73"/>
      <c r="N61" s="73"/>
      <c r="O61" s="73"/>
      <c r="P61" s="73"/>
      <c r="Q61" s="73"/>
      <c r="R61" s="73"/>
      <c r="S61" s="73"/>
      <c r="T61" s="73"/>
      <c r="U61" s="73"/>
      <c r="V61" s="73"/>
      <c r="W61" s="73"/>
      <c r="X61" s="73"/>
    </row>
    <row r="62" spans="1:24">
      <c r="A62" s="73"/>
      <c r="B62" s="73"/>
      <c r="C62" s="73"/>
      <c r="D62" s="73"/>
      <c r="E62" s="73"/>
      <c r="F62" s="73"/>
      <c r="G62" s="73"/>
      <c r="H62" s="73"/>
      <c r="I62" s="73"/>
      <c r="J62" s="73"/>
      <c r="K62" s="73"/>
      <c r="L62" s="73"/>
      <c r="M62" s="73"/>
      <c r="N62" s="73"/>
      <c r="O62" s="73"/>
      <c r="P62" s="73"/>
      <c r="Q62" s="73"/>
      <c r="R62" s="73"/>
      <c r="S62" s="73"/>
      <c r="T62" s="73"/>
      <c r="U62" s="73"/>
      <c r="V62" s="73"/>
      <c r="W62" s="73"/>
      <c r="X62" s="73"/>
    </row>
    <row r="63" spans="1:24">
      <c r="A63" s="73"/>
      <c r="B63" s="73"/>
      <c r="C63" s="73"/>
      <c r="D63" s="73"/>
      <c r="E63" s="73"/>
      <c r="F63" s="73"/>
      <c r="G63" s="73"/>
      <c r="H63" s="73"/>
      <c r="I63" s="73"/>
      <c r="J63" s="73"/>
      <c r="K63" s="73"/>
      <c r="L63" s="73"/>
      <c r="M63" s="73"/>
      <c r="N63" s="73"/>
      <c r="O63" s="73"/>
      <c r="P63" s="73"/>
      <c r="Q63" s="73"/>
      <c r="R63" s="73"/>
      <c r="S63" s="73"/>
      <c r="T63" s="73"/>
      <c r="U63" s="73"/>
      <c r="V63" s="73"/>
      <c r="W63" s="73"/>
      <c r="X63" s="73"/>
    </row>
    <row r="64" spans="1:24">
      <c r="A64" s="73"/>
      <c r="B64" s="73"/>
      <c r="C64" s="73"/>
      <c r="D64" s="73"/>
      <c r="E64" s="73"/>
      <c r="F64" s="73"/>
      <c r="G64" s="73"/>
      <c r="H64" s="73"/>
      <c r="I64" s="73"/>
      <c r="J64" s="73"/>
      <c r="K64" s="73"/>
      <c r="L64" s="73"/>
      <c r="M64" s="73"/>
      <c r="N64" s="73"/>
      <c r="O64" s="73"/>
      <c r="P64" s="73"/>
      <c r="Q64" s="73"/>
      <c r="R64" s="73"/>
      <c r="S64" s="73"/>
      <c r="T64" s="73"/>
      <c r="U64" s="73"/>
      <c r="V64" s="73"/>
      <c r="W64" s="73"/>
      <c r="X64" s="73"/>
    </row>
    <row r="65" spans="1:24">
      <c r="A65" s="73"/>
      <c r="B65" s="73"/>
      <c r="C65" s="73"/>
      <c r="D65" s="73"/>
      <c r="E65" s="73"/>
      <c r="F65" s="73"/>
      <c r="G65" s="73"/>
      <c r="H65" s="73"/>
      <c r="I65" s="73"/>
      <c r="J65" s="73"/>
      <c r="K65" s="73"/>
      <c r="L65" s="73"/>
      <c r="M65" s="73"/>
      <c r="N65" s="73"/>
      <c r="O65" s="73"/>
      <c r="P65" s="73"/>
      <c r="Q65" s="73"/>
      <c r="R65" s="73"/>
      <c r="S65" s="73"/>
      <c r="T65" s="73"/>
      <c r="U65" s="73"/>
      <c r="V65" s="73"/>
      <c r="W65" s="73"/>
      <c r="X65" s="73"/>
    </row>
    <row r="66" spans="1:24">
      <c r="A66" s="73"/>
      <c r="B66" s="73"/>
      <c r="C66" s="73"/>
      <c r="D66" s="73"/>
      <c r="E66" s="73"/>
      <c r="F66" s="73"/>
      <c r="G66" s="73"/>
      <c r="H66" s="73"/>
      <c r="I66" s="73"/>
      <c r="J66" s="73"/>
      <c r="K66" s="73"/>
      <c r="L66" s="73"/>
      <c r="M66" s="73"/>
      <c r="N66" s="73"/>
      <c r="O66" s="73"/>
      <c r="P66" s="73"/>
      <c r="Q66" s="73"/>
      <c r="R66" s="73"/>
      <c r="S66" s="73"/>
      <c r="T66" s="73"/>
      <c r="U66" s="73"/>
      <c r="V66" s="73"/>
      <c r="W66" s="73"/>
      <c r="X66" s="73"/>
    </row>
    <row r="67" spans="1:24">
      <c r="A67" s="73"/>
      <c r="B67" s="73"/>
      <c r="C67" s="73"/>
      <c r="D67" s="73"/>
      <c r="E67" s="73"/>
      <c r="F67" s="73"/>
      <c r="G67" s="73"/>
      <c r="H67" s="73"/>
      <c r="I67" s="73"/>
      <c r="J67" s="73"/>
      <c r="K67" s="73"/>
      <c r="L67" s="73"/>
      <c r="M67" s="73"/>
      <c r="N67" s="73"/>
      <c r="O67" s="73"/>
      <c r="P67" s="73"/>
      <c r="Q67" s="73"/>
      <c r="R67" s="73"/>
      <c r="S67" s="73"/>
      <c r="T67" s="73"/>
      <c r="U67" s="73"/>
      <c r="V67" s="73"/>
      <c r="W67" s="73"/>
      <c r="X67" s="73"/>
    </row>
    <row r="68" spans="1:24">
      <c r="A68" s="73"/>
      <c r="B68" s="73"/>
      <c r="C68" s="73"/>
      <c r="D68" s="73"/>
      <c r="E68" s="73"/>
      <c r="F68" s="73"/>
      <c r="G68" s="73"/>
      <c r="H68" s="73"/>
      <c r="I68" s="73"/>
      <c r="J68" s="73"/>
      <c r="K68" s="73"/>
      <c r="L68" s="73"/>
      <c r="M68" s="73"/>
      <c r="N68" s="73"/>
      <c r="O68" s="73"/>
      <c r="P68" s="73"/>
      <c r="Q68" s="73"/>
      <c r="R68" s="73"/>
      <c r="S68" s="73"/>
      <c r="T68" s="73"/>
      <c r="U68" s="73"/>
      <c r="V68" s="73"/>
      <c r="W68" s="73"/>
      <c r="X68" s="73"/>
    </row>
    <row r="69" spans="1:24">
      <c r="A69" s="73"/>
      <c r="B69" s="73"/>
      <c r="C69" s="73"/>
      <c r="D69" s="73"/>
      <c r="E69" s="73"/>
      <c r="F69" s="73"/>
      <c r="G69" s="73"/>
      <c r="H69" s="73"/>
      <c r="I69" s="73"/>
      <c r="J69" s="73"/>
      <c r="K69" s="73"/>
      <c r="L69" s="73"/>
      <c r="M69" s="73"/>
      <c r="N69" s="73"/>
      <c r="O69" s="73"/>
      <c r="P69" s="73"/>
      <c r="Q69" s="73"/>
      <c r="R69" s="73"/>
      <c r="S69" s="73"/>
      <c r="T69" s="73"/>
      <c r="U69" s="73"/>
      <c r="V69" s="73"/>
      <c r="W69" s="73"/>
      <c r="X69" s="73"/>
    </row>
    <row r="70" spans="1:24">
      <c r="A70" s="73"/>
      <c r="B70" s="73"/>
      <c r="C70" s="73"/>
      <c r="D70" s="73"/>
      <c r="E70" s="73"/>
      <c r="F70" s="73"/>
      <c r="G70" s="73"/>
      <c r="H70" s="73"/>
      <c r="I70" s="73"/>
      <c r="J70" s="73"/>
      <c r="K70" s="73"/>
      <c r="L70" s="73"/>
      <c r="M70" s="73"/>
      <c r="N70" s="73"/>
      <c r="O70" s="73"/>
      <c r="P70" s="73"/>
      <c r="Q70" s="73"/>
      <c r="R70" s="73"/>
      <c r="S70" s="73"/>
      <c r="T70" s="73"/>
      <c r="U70" s="73"/>
      <c r="V70" s="73"/>
      <c r="W70" s="73"/>
      <c r="X70" s="73"/>
    </row>
    <row r="71" spans="1:24">
      <c r="A71" s="73"/>
      <c r="B71" s="73"/>
      <c r="C71" s="73"/>
      <c r="D71" s="73"/>
      <c r="E71" s="73"/>
      <c r="F71" s="73"/>
      <c r="G71" s="73"/>
      <c r="H71" s="73"/>
      <c r="I71" s="73"/>
      <c r="J71" s="73"/>
      <c r="K71" s="73"/>
      <c r="L71" s="73"/>
      <c r="M71" s="73"/>
      <c r="N71" s="73"/>
      <c r="O71" s="73"/>
      <c r="P71" s="73"/>
      <c r="Q71" s="73"/>
      <c r="R71" s="73"/>
      <c r="S71" s="73"/>
      <c r="T71" s="73"/>
      <c r="U71" s="73"/>
      <c r="V71" s="73"/>
      <c r="W71" s="73"/>
      <c r="X71" s="73"/>
    </row>
    <row r="72" spans="1:24">
      <c r="A72" s="73"/>
      <c r="B72" s="73"/>
      <c r="C72" s="73"/>
      <c r="D72" s="73"/>
      <c r="E72" s="73"/>
      <c r="F72" s="73"/>
      <c r="G72" s="73"/>
      <c r="H72" s="73"/>
      <c r="I72" s="73"/>
      <c r="J72" s="73"/>
      <c r="K72" s="73"/>
      <c r="L72" s="73"/>
      <c r="M72" s="73"/>
      <c r="N72" s="73"/>
      <c r="O72" s="73"/>
      <c r="P72" s="73"/>
      <c r="Q72" s="73"/>
      <c r="R72" s="73"/>
      <c r="S72" s="73"/>
      <c r="T72" s="73"/>
      <c r="U72" s="73"/>
      <c r="V72" s="73"/>
      <c r="W72" s="73"/>
      <c r="X72" s="73"/>
    </row>
    <row r="73" spans="1:24">
      <c r="A73" s="73"/>
      <c r="B73" s="73"/>
      <c r="C73" s="73"/>
      <c r="D73" s="73"/>
      <c r="E73" s="73"/>
      <c r="F73" s="73"/>
      <c r="G73" s="73"/>
      <c r="H73" s="73"/>
      <c r="I73" s="73"/>
      <c r="J73" s="73"/>
      <c r="K73" s="73"/>
      <c r="L73" s="73"/>
      <c r="M73" s="73"/>
      <c r="N73" s="73"/>
      <c r="O73" s="73"/>
      <c r="P73" s="73"/>
      <c r="Q73" s="73"/>
      <c r="R73" s="73"/>
      <c r="S73" s="73"/>
      <c r="T73" s="73"/>
      <c r="U73" s="73"/>
      <c r="V73" s="73"/>
      <c r="W73" s="73"/>
      <c r="X73" s="73"/>
    </row>
    <row r="74" spans="1:24">
      <c r="A74" s="73"/>
      <c r="B74" s="73"/>
      <c r="C74" s="73"/>
      <c r="D74" s="73"/>
      <c r="E74" s="73"/>
      <c r="F74" s="73"/>
      <c r="G74" s="73"/>
      <c r="H74" s="73"/>
      <c r="I74" s="73"/>
      <c r="J74" s="73"/>
      <c r="K74" s="73"/>
      <c r="L74" s="73"/>
      <c r="M74" s="73"/>
      <c r="N74" s="73"/>
      <c r="O74" s="73"/>
      <c r="P74" s="73"/>
      <c r="Q74" s="73"/>
      <c r="R74" s="73"/>
      <c r="S74" s="73"/>
      <c r="T74" s="73"/>
      <c r="U74" s="73"/>
      <c r="V74" s="73"/>
      <c r="W74" s="73"/>
      <c r="X74" s="73"/>
    </row>
    <row r="75" spans="1:24">
      <c r="A75" s="73"/>
      <c r="B75" s="73"/>
      <c r="C75" s="73"/>
      <c r="D75" s="73"/>
      <c r="E75" s="73"/>
      <c r="F75" s="73"/>
      <c r="G75" s="73"/>
      <c r="H75" s="73"/>
      <c r="I75" s="73"/>
      <c r="J75" s="73"/>
      <c r="K75" s="73"/>
      <c r="L75" s="73"/>
      <c r="M75" s="73"/>
      <c r="N75" s="73"/>
      <c r="O75" s="73"/>
      <c r="P75" s="73"/>
      <c r="Q75" s="73"/>
      <c r="R75" s="73"/>
      <c r="S75" s="73"/>
      <c r="T75" s="73"/>
      <c r="U75" s="73"/>
      <c r="V75" s="73"/>
      <c r="W75" s="73"/>
      <c r="X75" s="73"/>
    </row>
    <row r="76" spans="1:24">
      <c r="A76" s="73"/>
      <c r="B76" s="73"/>
      <c r="C76" s="73"/>
      <c r="D76" s="73"/>
      <c r="E76" s="73"/>
      <c r="F76" s="73"/>
      <c r="G76" s="73"/>
      <c r="H76" s="73"/>
      <c r="I76" s="73"/>
      <c r="J76" s="73"/>
      <c r="K76" s="73"/>
      <c r="L76" s="73"/>
      <c r="M76" s="73"/>
      <c r="N76" s="73"/>
      <c r="O76" s="73"/>
      <c r="P76" s="73"/>
      <c r="Q76" s="73"/>
      <c r="R76" s="73"/>
      <c r="S76" s="73"/>
      <c r="T76" s="73"/>
      <c r="U76" s="73"/>
      <c r="V76" s="73"/>
      <c r="W76" s="73"/>
      <c r="X76" s="73"/>
    </row>
    <row r="77" spans="1:24">
      <c r="A77" s="73"/>
      <c r="B77" s="73"/>
      <c r="C77" s="73"/>
      <c r="D77" s="73"/>
      <c r="E77" s="73"/>
      <c r="F77" s="73"/>
      <c r="G77" s="73"/>
      <c r="H77" s="73"/>
      <c r="I77" s="73"/>
      <c r="J77" s="73"/>
      <c r="K77" s="73"/>
      <c r="L77" s="73"/>
      <c r="M77" s="73"/>
      <c r="N77" s="73"/>
      <c r="O77" s="73"/>
      <c r="P77" s="73"/>
      <c r="Q77" s="73"/>
      <c r="R77" s="73"/>
      <c r="S77" s="73"/>
      <c r="T77" s="73"/>
      <c r="U77" s="73"/>
      <c r="V77" s="73"/>
      <c r="W77" s="73"/>
      <c r="X77" s="73"/>
    </row>
    <row r="78" spans="1:24">
      <c r="A78" s="73"/>
      <c r="B78" s="73"/>
      <c r="C78" s="73"/>
      <c r="D78" s="73"/>
      <c r="E78" s="73"/>
      <c r="F78" s="73"/>
      <c r="G78" s="73"/>
      <c r="H78" s="73"/>
      <c r="I78" s="73"/>
      <c r="J78" s="73"/>
      <c r="K78" s="73"/>
      <c r="L78" s="73"/>
      <c r="M78" s="73"/>
      <c r="N78" s="73"/>
      <c r="O78" s="73"/>
      <c r="P78" s="73"/>
      <c r="Q78" s="73"/>
      <c r="R78" s="73"/>
      <c r="S78" s="73"/>
      <c r="T78" s="73"/>
      <c r="U78" s="73"/>
      <c r="V78" s="73"/>
      <c r="W78" s="73"/>
      <c r="X78" s="73"/>
    </row>
    <row r="79" spans="1:24">
      <c r="A79" s="73"/>
      <c r="B79" s="73"/>
      <c r="C79" s="73"/>
      <c r="D79" s="73"/>
      <c r="E79" s="73"/>
      <c r="F79" s="73"/>
      <c r="G79" s="73"/>
      <c r="H79" s="73"/>
      <c r="I79" s="73"/>
      <c r="J79" s="73"/>
      <c r="K79" s="73"/>
      <c r="L79" s="73"/>
      <c r="M79" s="73"/>
      <c r="N79" s="73"/>
      <c r="O79" s="73"/>
      <c r="P79" s="73"/>
      <c r="Q79" s="73"/>
      <c r="R79" s="73"/>
      <c r="S79" s="73"/>
      <c r="T79" s="73"/>
      <c r="U79" s="73"/>
      <c r="V79" s="73"/>
      <c r="W79" s="73"/>
      <c r="X79" s="73"/>
    </row>
    <row r="80" spans="1:24">
      <c r="A80" s="73"/>
      <c r="B80" s="73"/>
      <c r="C80" s="73"/>
      <c r="D80" s="73"/>
      <c r="E80" s="73"/>
      <c r="F80" s="73"/>
      <c r="G80" s="73"/>
      <c r="H80" s="73"/>
      <c r="I80" s="73"/>
      <c r="J80" s="73"/>
      <c r="K80" s="73"/>
      <c r="L80" s="73"/>
      <c r="M80" s="73"/>
      <c r="N80" s="73"/>
      <c r="O80" s="73"/>
      <c r="P80" s="73"/>
      <c r="Q80" s="73"/>
      <c r="R80" s="73"/>
      <c r="S80" s="73"/>
      <c r="T80" s="73"/>
      <c r="U80" s="73"/>
      <c r="V80" s="73"/>
      <c r="W80" s="73"/>
      <c r="X80" s="73"/>
    </row>
    <row r="81" spans="1:24">
      <c r="A81" s="73"/>
      <c r="B81" s="73"/>
      <c r="C81" s="73"/>
      <c r="D81" s="73"/>
      <c r="E81" s="73"/>
      <c r="F81" s="73"/>
      <c r="G81" s="73"/>
      <c r="H81" s="73"/>
      <c r="I81" s="73"/>
      <c r="J81" s="73"/>
      <c r="K81" s="73"/>
      <c r="L81" s="73"/>
      <c r="M81" s="73"/>
      <c r="N81" s="73"/>
      <c r="O81" s="73"/>
      <c r="P81" s="73"/>
      <c r="Q81" s="73"/>
      <c r="R81" s="73"/>
      <c r="S81" s="73"/>
      <c r="T81" s="73"/>
      <c r="U81" s="73"/>
      <c r="V81" s="73"/>
      <c r="W81" s="73"/>
      <c r="X81" s="73"/>
    </row>
    <row r="82" spans="1:24">
      <c r="A82" s="73"/>
      <c r="B82" s="73"/>
      <c r="C82" s="73"/>
      <c r="D82" s="73"/>
      <c r="E82" s="73"/>
      <c r="F82" s="73"/>
      <c r="G82" s="73"/>
      <c r="H82" s="73"/>
      <c r="I82" s="73"/>
      <c r="J82" s="73"/>
      <c r="K82" s="73"/>
      <c r="L82" s="73"/>
      <c r="M82" s="73"/>
      <c r="N82" s="73"/>
      <c r="O82" s="73"/>
      <c r="P82" s="73"/>
      <c r="Q82" s="73"/>
      <c r="R82" s="73"/>
      <c r="S82" s="73"/>
      <c r="T82" s="73"/>
      <c r="U82" s="73"/>
      <c r="V82" s="73"/>
      <c r="W82" s="73"/>
      <c r="X82" s="73"/>
    </row>
    <row r="83" spans="1:24">
      <c r="A83" s="73"/>
      <c r="B83" s="73"/>
      <c r="C83" s="73"/>
      <c r="D83" s="73"/>
      <c r="E83" s="73"/>
      <c r="F83" s="73"/>
      <c r="G83" s="73"/>
      <c r="H83" s="73"/>
      <c r="I83" s="73"/>
      <c r="J83" s="73"/>
      <c r="K83" s="73"/>
      <c r="L83" s="73"/>
      <c r="M83" s="73"/>
      <c r="N83" s="73"/>
      <c r="O83" s="73"/>
      <c r="P83" s="73"/>
      <c r="Q83" s="73"/>
      <c r="R83" s="73"/>
      <c r="S83" s="73"/>
      <c r="T83" s="73"/>
      <c r="U83" s="73"/>
      <c r="V83" s="73"/>
      <c r="W83" s="73"/>
      <c r="X83" s="73"/>
    </row>
    <row r="84" spans="1:24">
      <c r="A84" s="73"/>
      <c r="B84" s="73"/>
      <c r="C84" s="73"/>
      <c r="D84" s="73"/>
      <c r="E84" s="73"/>
      <c r="F84" s="73"/>
      <c r="G84" s="73"/>
      <c r="H84" s="73"/>
      <c r="I84" s="73"/>
      <c r="J84" s="73"/>
      <c r="K84" s="73"/>
      <c r="L84" s="73"/>
      <c r="M84" s="73"/>
      <c r="N84" s="73"/>
      <c r="O84" s="73"/>
      <c r="P84" s="73"/>
      <c r="Q84" s="73"/>
      <c r="R84" s="73"/>
      <c r="S84" s="73"/>
      <c r="T84" s="73"/>
      <c r="U84" s="73"/>
      <c r="V84" s="73"/>
      <c r="W84" s="73"/>
      <c r="X84" s="73"/>
    </row>
    <row r="85" spans="1:24">
      <c r="A85" s="73"/>
      <c r="B85" s="73"/>
      <c r="C85" s="73"/>
      <c r="D85" s="73"/>
      <c r="E85" s="73"/>
      <c r="F85" s="73"/>
      <c r="G85" s="73"/>
      <c r="H85" s="73"/>
      <c r="I85" s="73"/>
      <c r="J85" s="73"/>
      <c r="K85" s="73"/>
      <c r="L85" s="73"/>
      <c r="M85" s="73"/>
      <c r="N85" s="73"/>
      <c r="O85" s="73"/>
      <c r="P85" s="73"/>
      <c r="Q85" s="73"/>
      <c r="R85" s="73"/>
      <c r="S85" s="73"/>
      <c r="T85" s="73"/>
      <c r="U85" s="73"/>
      <c r="V85" s="73"/>
      <c r="W85" s="73"/>
      <c r="X85" s="73"/>
    </row>
    <row r="86" spans="1:24">
      <c r="A86" s="73"/>
      <c r="B86" s="73"/>
      <c r="C86" s="73"/>
      <c r="D86" s="73"/>
      <c r="E86" s="73"/>
      <c r="F86" s="73"/>
      <c r="G86" s="73"/>
      <c r="H86" s="73"/>
      <c r="I86" s="73"/>
      <c r="J86" s="73"/>
      <c r="K86" s="73"/>
      <c r="L86" s="73"/>
      <c r="M86" s="73"/>
      <c r="N86" s="73"/>
      <c r="O86" s="73"/>
      <c r="P86" s="73"/>
      <c r="Q86" s="73"/>
      <c r="R86" s="73"/>
      <c r="S86" s="73"/>
      <c r="T86" s="73"/>
      <c r="U86" s="73"/>
      <c r="V86" s="73"/>
      <c r="W86" s="73"/>
      <c r="X86" s="73"/>
    </row>
    <row r="87" spans="1:24">
      <c r="A87" s="73"/>
      <c r="B87" s="73"/>
      <c r="C87" s="73"/>
      <c r="D87" s="73"/>
      <c r="E87" s="73"/>
      <c r="F87" s="73"/>
      <c r="G87" s="73"/>
      <c r="H87" s="73"/>
      <c r="I87" s="73"/>
      <c r="J87" s="73"/>
      <c r="K87" s="73"/>
      <c r="L87" s="73"/>
      <c r="M87" s="73"/>
      <c r="N87" s="73"/>
      <c r="O87" s="73"/>
      <c r="P87" s="73"/>
      <c r="Q87" s="73"/>
      <c r="R87" s="73"/>
      <c r="S87" s="73"/>
      <c r="T87" s="73"/>
      <c r="U87" s="73"/>
      <c r="V87" s="73"/>
      <c r="W87" s="73"/>
      <c r="X87" s="73"/>
    </row>
    <row r="88" spans="1:24">
      <c r="A88" s="73"/>
      <c r="B88" s="73"/>
      <c r="C88" s="73"/>
      <c r="D88" s="73"/>
      <c r="E88" s="73"/>
      <c r="F88" s="73"/>
      <c r="G88" s="73"/>
      <c r="H88" s="73"/>
      <c r="I88" s="73"/>
      <c r="J88" s="73"/>
      <c r="K88" s="73"/>
      <c r="L88" s="73"/>
      <c r="M88" s="73"/>
      <c r="N88" s="73"/>
      <c r="O88" s="73"/>
      <c r="P88" s="73"/>
      <c r="Q88" s="73"/>
      <c r="R88" s="73"/>
      <c r="S88" s="73"/>
      <c r="T88" s="73"/>
      <c r="U88" s="73"/>
      <c r="V88" s="73"/>
      <c r="W88" s="73"/>
      <c r="X88" s="73"/>
    </row>
    <row r="89" spans="1:24">
      <c r="A89" s="73"/>
      <c r="B89" s="73"/>
      <c r="C89" s="73"/>
      <c r="D89" s="73"/>
      <c r="E89" s="73"/>
      <c r="F89" s="73"/>
      <c r="G89" s="73"/>
      <c r="H89" s="73"/>
      <c r="I89" s="73"/>
      <c r="J89" s="73"/>
      <c r="K89" s="73"/>
      <c r="L89" s="73"/>
      <c r="M89" s="73"/>
      <c r="N89" s="73"/>
      <c r="O89" s="73"/>
      <c r="P89" s="73"/>
      <c r="Q89" s="73"/>
      <c r="R89" s="73"/>
      <c r="S89" s="73"/>
      <c r="T89" s="73"/>
      <c r="U89" s="73"/>
      <c r="V89" s="73"/>
      <c r="W89" s="73"/>
      <c r="X89" s="73"/>
    </row>
    <row r="90" spans="1:24">
      <c r="A90" s="73"/>
      <c r="B90" s="73"/>
      <c r="C90" s="73"/>
      <c r="D90" s="73"/>
      <c r="E90" s="73"/>
      <c r="F90" s="73"/>
      <c r="G90" s="73"/>
      <c r="H90" s="73"/>
      <c r="I90" s="73"/>
      <c r="J90" s="73"/>
      <c r="K90" s="73"/>
      <c r="L90" s="73"/>
      <c r="M90" s="73"/>
      <c r="N90" s="73"/>
      <c r="O90" s="73"/>
      <c r="P90" s="73"/>
      <c r="Q90" s="73"/>
      <c r="R90" s="73"/>
      <c r="S90" s="73"/>
      <c r="T90" s="73"/>
      <c r="U90" s="73"/>
      <c r="V90" s="73"/>
      <c r="W90" s="73"/>
      <c r="X90" s="73"/>
    </row>
    <row r="91" spans="1:24">
      <c r="A91" s="73"/>
      <c r="B91" s="73"/>
      <c r="C91" s="73"/>
      <c r="D91" s="73"/>
      <c r="E91" s="73"/>
      <c r="F91" s="73"/>
      <c r="G91" s="73"/>
      <c r="H91" s="73"/>
      <c r="I91" s="73"/>
      <c r="J91" s="73"/>
      <c r="K91" s="73"/>
      <c r="L91" s="73"/>
      <c r="M91" s="73"/>
      <c r="N91" s="73"/>
      <c r="O91" s="73"/>
      <c r="P91" s="73"/>
      <c r="Q91" s="73"/>
      <c r="R91" s="73"/>
      <c r="S91" s="73"/>
      <c r="T91" s="73"/>
      <c r="U91" s="73"/>
      <c r="V91" s="73"/>
      <c r="W91" s="73"/>
      <c r="X91" s="73"/>
    </row>
    <row r="92" spans="1:24">
      <c r="A92" s="73"/>
      <c r="B92" s="73"/>
      <c r="C92" s="73"/>
      <c r="D92" s="73"/>
      <c r="E92" s="73"/>
      <c r="F92" s="73"/>
      <c r="G92" s="73"/>
      <c r="H92" s="73"/>
      <c r="I92" s="73"/>
      <c r="J92" s="73"/>
      <c r="K92" s="73"/>
      <c r="L92" s="73"/>
      <c r="M92" s="73"/>
      <c r="N92" s="73"/>
      <c r="O92" s="73"/>
      <c r="P92" s="73"/>
      <c r="Q92" s="73"/>
      <c r="R92" s="73"/>
      <c r="S92" s="73"/>
      <c r="T92" s="73"/>
      <c r="U92" s="73"/>
      <c r="V92" s="73"/>
      <c r="W92" s="73"/>
      <c r="X92" s="73"/>
    </row>
    <row r="93" spans="1:24">
      <c r="A93" s="73"/>
      <c r="B93" s="73"/>
      <c r="C93" s="73"/>
      <c r="D93" s="73"/>
      <c r="E93" s="73"/>
      <c r="F93" s="73"/>
      <c r="G93" s="73"/>
      <c r="H93" s="73"/>
      <c r="I93" s="73"/>
      <c r="J93" s="73"/>
      <c r="K93" s="73"/>
      <c r="L93" s="73"/>
      <c r="M93" s="73"/>
      <c r="N93" s="73"/>
      <c r="O93" s="73"/>
      <c r="P93" s="73"/>
      <c r="Q93" s="73"/>
      <c r="R93" s="73"/>
      <c r="S93" s="73"/>
      <c r="T93" s="73"/>
      <c r="U93" s="73"/>
      <c r="V93" s="73"/>
      <c r="W93" s="73"/>
      <c r="X93" s="73"/>
    </row>
    <row r="94" spans="1:24">
      <c r="A94" s="73"/>
      <c r="B94" s="73"/>
      <c r="C94" s="73"/>
      <c r="D94" s="73"/>
      <c r="E94" s="73"/>
      <c r="F94" s="73"/>
      <c r="G94" s="73"/>
      <c r="H94" s="73"/>
      <c r="I94" s="73"/>
      <c r="J94" s="73"/>
      <c r="K94" s="73"/>
      <c r="L94" s="73"/>
      <c r="M94" s="73"/>
      <c r="N94" s="73"/>
      <c r="O94" s="73"/>
      <c r="P94" s="73"/>
      <c r="Q94" s="73"/>
      <c r="R94" s="73"/>
      <c r="S94" s="73"/>
      <c r="T94" s="73"/>
      <c r="U94" s="73"/>
      <c r="V94" s="73"/>
      <c r="W94" s="73"/>
      <c r="X94" s="73"/>
    </row>
    <row r="95" spans="1:24">
      <c r="A95" s="73"/>
      <c r="B95" s="73"/>
      <c r="C95" s="73"/>
      <c r="D95" s="73"/>
      <c r="E95" s="73"/>
      <c r="F95" s="73"/>
      <c r="G95" s="73"/>
      <c r="H95" s="73"/>
      <c r="I95" s="73"/>
      <c r="J95" s="73"/>
      <c r="K95" s="73"/>
      <c r="L95" s="73"/>
      <c r="M95" s="73"/>
      <c r="N95" s="73"/>
      <c r="O95" s="73"/>
      <c r="P95" s="73"/>
      <c r="Q95" s="73"/>
      <c r="R95" s="73"/>
      <c r="S95" s="73"/>
      <c r="T95" s="73"/>
      <c r="U95" s="73"/>
      <c r="V95" s="73"/>
      <c r="W95" s="73"/>
      <c r="X95" s="73"/>
    </row>
    <row r="96" spans="1:24">
      <c r="A96" s="73"/>
      <c r="B96" s="73"/>
      <c r="C96" s="73"/>
      <c r="D96" s="73"/>
      <c r="E96" s="73"/>
      <c r="F96" s="73"/>
      <c r="G96" s="73"/>
      <c r="H96" s="73"/>
      <c r="I96" s="73"/>
      <c r="J96" s="73"/>
      <c r="K96" s="73"/>
      <c r="L96" s="73"/>
      <c r="M96" s="73"/>
      <c r="N96" s="73"/>
      <c r="O96" s="73"/>
      <c r="P96" s="73"/>
      <c r="Q96" s="73"/>
      <c r="R96" s="73"/>
      <c r="S96" s="73"/>
      <c r="T96" s="73"/>
      <c r="U96" s="73"/>
      <c r="V96" s="73"/>
      <c r="W96" s="73"/>
      <c r="X96" s="73"/>
    </row>
    <row r="97" spans="1:24">
      <c r="A97" s="73"/>
      <c r="B97" s="73"/>
      <c r="C97" s="73"/>
      <c r="D97" s="73"/>
      <c r="E97" s="73"/>
      <c r="F97" s="73"/>
      <c r="G97" s="73"/>
      <c r="H97" s="73"/>
      <c r="I97" s="73"/>
      <c r="J97" s="73"/>
      <c r="K97" s="73"/>
      <c r="L97" s="73"/>
      <c r="M97" s="73"/>
      <c r="N97" s="73"/>
      <c r="O97" s="73"/>
      <c r="P97" s="73"/>
      <c r="Q97" s="73"/>
      <c r="R97" s="73"/>
      <c r="S97" s="73"/>
      <c r="T97" s="73"/>
      <c r="U97" s="73"/>
      <c r="V97" s="73"/>
      <c r="W97" s="73"/>
      <c r="X97" s="73"/>
    </row>
    <row r="98" spans="1:24">
      <c r="A98" s="73"/>
      <c r="B98" s="73"/>
      <c r="C98" s="73"/>
      <c r="D98" s="73"/>
      <c r="E98" s="73"/>
      <c r="F98" s="73"/>
      <c r="G98" s="73"/>
      <c r="H98" s="73"/>
      <c r="I98" s="73"/>
      <c r="J98" s="73"/>
      <c r="K98" s="73"/>
      <c r="L98" s="73"/>
      <c r="M98" s="73"/>
      <c r="N98" s="73"/>
      <c r="O98" s="73"/>
      <c r="P98" s="73"/>
      <c r="Q98" s="73"/>
      <c r="R98" s="73"/>
      <c r="S98" s="73"/>
      <c r="T98" s="73"/>
      <c r="U98" s="73"/>
      <c r="V98" s="73"/>
      <c r="W98" s="73"/>
      <c r="X98" s="73"/>
    </row>
    <row r="99" spans="1:24">
      <c r="A99" s="73"/>
      <c r="B99" s="73"/>
      <c r="C99" s="73"/>
      <c r="D99" s="73"/>
      <c r="E99" s="73"/>
      <c r="F99" s="73"/>
      <c r="G99" s="73"/>
      <c r="H99" s="73"/>
      <c r="I99" s="73"/>
      <c r="J99" s="73"/>
      <c r="K99" s="73"/>
      <c r="L99" s="73"/>
      <c r="M99" s="73"/>
      <c r="N99" s="73"/>
      <c r="O99" s="73"/>
      <c r="P99" s="73"/>
      <c r="Q99" s="73"/>
      <c r="R99" s="73"/>
      <c r="S99" s="73"/>
      <c r="T99" s="73"/>
      <c r="U99" s="73"/>
      <c r="V99" s="73"/>
      <c r="W99" s="73"/>
      <c r="X99" s="73"/>
    </row>
    <row r="100" spans="1:24">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row>
    <row r="101" spans="1:24">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row>
    <row r="102" spans="1:24">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row>
    <row r="103" spans="1:24">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row>
    <row r="104" spans="1:2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row>
    <row r="105" spans="1:24">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row>
    <row r="106" spans="1:24">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row>
    <row r="107" spans="1:24">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row>
    <row r="108" spans="1:24">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row>
    <row r="109" spans="1:24">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row>
    <row r="110" spans="1:24">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row>
    <row r="111" spans="1:24">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row>
    <row r="112" spans="1:24">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row>
    <row r="113" spans="1:24">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row>
    <row r="114" spans="1:2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row>
    <row r="115" spans="1:24">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row>
    <row r="116" spans="1:24">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row>
    <row r="117" spans="1:24">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row>
    <row r="118" spans="1:24">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row>
    <row r="119" spans="1:24">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row>
    <row r="120" spans="1:24">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row>
    <row r="121" spans="1:24">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row>
    <row r="122" spans="1:24">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row>
    <row r="123" spans="1:24">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row>
    <row r="124" spans="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row>
    <row r="125" spans="1:24">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row>
    <row r="126" spans="1:24">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row>
    <row r="127" spans="1:24">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row>
    <row r="128" spans="1:24">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row>
    <row r="129" spans="1:24">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row>
    <row r="130" spans="1:24">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row>
    <row r="131" spans="1:24">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row>
    <row r="132" spans="1:24">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row>
    <row r="133" spans="1:24">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row>
    <row r="134" spans="1:2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row>
    <row r="135" spans="1:24">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row>
    <row r="136" spans="1:24">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row>
    <row r="137" spans="1:24">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row>
    <row r="138" spans="1:24">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row>
    <row r="139" spans="1:24">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row>
    <row r="140" spans="1:24">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row>
    <row r="141" spans="1:24">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row>
    <row r="142" spans="1:24">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row>
    <row r="143" spans="1:24">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row>
    <row r="144" spans="1:2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row>
    <row r="145" spans="1:24">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row>
    <row r="146" spans="1:24">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row>
    <row r="147" spans="1:24">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row>
    <row r="148" spans="1:24">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row>
    <row r="149" spans="1:24">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row>
    <row r="150" spans="1:24">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row>
    <row r="151" spans="1:24">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row>
    <row r="152" spans="1:24">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row>
    <row r="153" spans="1:24">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row>
    <row r="154" spans="1:2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row>
    <row r="155" spans="1:24">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row>
    <row r="156" spans="1:24">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row>
    <row r="157" spans="1:24">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row>
    <row r="158" spans="1:24">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row>
    <row r="159" spans="1:24">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row>
    <row r="160" spans="1:24">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row>
    <row r="161" spans="1:24">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row>
    <row r="162" spans="1:24">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row>
    <row r="163" spans="1:24">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row>
    <row r="164" spans="1:2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row>
    <row r="165" spans="1:24">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row>
    <row r="166" spans="1:24">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row>
    <row r="167" spans="1:24">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row>
    <row r="168" spans="1:24">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row>
    <row r="169" spans="1:24">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row>
    <row r="170" spans="1:24">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row>
    <row r="171" spans="1:24">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row>
    <row r="172" spans="1:24">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row>
    <row r="173" spans="1:24">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row>
    <row r="174" spans="1:2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row>
    <row r="175" spans="1:24">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row>
    <row r="176" spans="1:24">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row>
    <row r="177" spans="1:24">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row>
    <row r="178" spans="1:24">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row>
    <row r="179" spans="1:24">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row>
    <row r="180" spans="1:24">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row>
    <row r="181" spans="1:24">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row>
    <row r="182" spans="1:24">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row>
    <row r="183" spans="1:24">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row>
    <row r="184" spans="1:2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row>
    <row r="185" spans="1:24">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row>
    <row r="186" spans="1:24">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row>
    <row r="187" spans="1:24">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row>
    <row r="188" spans="1:24">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row>
    <row r="189" spans="1:24">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row>
    <row r="190" spans="1:24">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row>
    <row r="191" spans="1:24">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row>
    <row r="192" spans="1:24">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row>
    <row r="193" spans="1:24">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row>
    <row r="194" spans="1:2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row>
    <row r="195" spans="1:24">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row>
    <row r="196" spans="1:24">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row>
    <row r="197" spans="1:24">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row>
    <row r="198" spans="1:24">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row>
    <row r="199" spans="1:24">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row>
    <row r="200" spans="1:24">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row>
    <row r="201" spans="1:24">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row>
    <row r="202" spans="1:24">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row>
    <row r="203" spans="1:24">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row>
    <row r="204" spans="1:2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row>
    <row r="205" spans="1:24">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row>
    <row r="206" spans="1:24">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row>
    <row r="207" spans="1:24">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row>
    <row r="208" spans="1:24">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row>
    <row r="209" spans="1:24">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row>
    <row r="210" spans="1:24">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row>
    <row r="211" spans="1:24">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row>
    <row r="212" spans="1:24">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row>
    <row r="213" spans="1:24">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row>
    <row r="214" spans="1:2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row>
    <row r="215" spans="1:24">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row>
    <row r="216" spans="1:24">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row>
    <row r="217" spans="1:24">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row>
    <row r="218" spans="1:24">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row>
    <row r="219" spans="1:24">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row>
    <row r="220" spans="1:24">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row>
    <row r="221" spans="1:24">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row>
    <row r="222" spans="1:24">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row>
    <row r="223" spans="1:24">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row>
    <row r="224" spans="1: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row>
    <row r="225" spans="1:24">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row>
    <row r="226" spans="1:24">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row>
    <row r="227" spans="1:24">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row>
    <row r="228" spans="1:24">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row>
    <row r="229" spans="1:24">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row>
    <row r="230" spans="1:24">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row>
    <row r="231" spans="1:24">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row>
    <row r="232" spans="1:24">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row>
    <row r="233" spans="1:24">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row>
    <row r="234" spans="1:2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row>
    <row r="235" spans="1:24">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row>
    <row r="236" spans="1:24">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row>
    <row r="237" spans="1:24">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row>
    <row r="238" spans="1:24">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row>
    <row r="239" spans="1:24">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row>
    <row r="240" spans="1:24">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row>
    <row r="241" spans="1:24">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row>
    <row r="242" spans="1:24">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row>
    <row r="243" spans="1:24">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row>
    <row r="244" spans="1:2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row>
    <row r="245" spans="1:24">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row>
    <row r="246" spans="1:24">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row>
    <row r="247" spans="1:24">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row>
    <row r="248" spans="1:24">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row>
    <row r="249" spans="1:24">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row>
    <row r="250" spans="1:24">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row>
    <row r="251" spans="1:24">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row>
    <row r="252" spans="1:24">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row>
    <row r="253" spans="1:24">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row>
    <row r="254" spans="1:2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row>
    <row r="255" spans="1:24">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row>
    <row r="256" spans="1:24">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row>
    <row r="257" spans="1:24">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row>
    <row r="258" spans="1:24">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row>
    <row r="259" spans="1:24">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row>
    <row r="260" spans="1:24">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row>
    <row r="261" spans="1:24">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row>
    <row r="262" spans="1:24">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row>
    <row r="263" spans="1:24">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row>
    <row r="264" spans="1:2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row>
    <row r="265" spans="1:24">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row>
    <row r="266" spans="1:24">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row>
    <row r="267" spans="1:24">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row>
    <row r="268" spans="1:24">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row>
    <row r="269" spans="1:24">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row>
    <row r="270" spans="1:24">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row>
    <row r="271" spans="1:24">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row>
    <row r="272" spans="1:24">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row>
    <row r="273" spans="1:24">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row>
    <row r="274" spans="1:2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row>
    <row r="275" spans="1:24">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row>
    <row r="276" spans="1:24">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row>
    <row r="277" spans="1:24">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row>
    <row r="278" spans="1:24">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row>
    <row r="279" spans="1:24">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row>
    <row r="280" spans="1:24">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row>
    <row r="281" spans="1:24">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row>
    <row r="282" spans="1:24">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row>
    <row r="283" spans="1:24">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row>
    <row r="284" spans="1:2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row>
    <row r="285" spans="1:24">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row>
    <row r="286" spans="1:24">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row>
    <row r="287" spans="1:24">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row>
    <row r="288" spans="1:24">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row>
    <row r="289" spans="1:24">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row>
    <row r="290" spans="1:24">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row>
    <row r="291" spans="1:24">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row>
    <row r="292" spans="1:24">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row>
    <row r="293" spans="1:24">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row>
    <row r="294" spans="1:2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row>
    <row r="295" spans="1:24">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row>
    <row r="296" spans="1:24">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row>
    <row r="297" spans="1:24">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row>
    <row r="298" spans="1:24">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row>
    <row r="299" spans="1:24">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row>
    <row r="300" spans="1:24">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row>
    <row r="301" spans="1:24">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row>
    <row r="302" spans="1:24">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row>
    <row r="303" spans="1:24">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row>
    <row r="304" spans="1:2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row>
    <row r="305" spans="1:24">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row>
    <row r="306" spans="1:24">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row>
    <row r="307" spans="1:24">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row>
    <row r="308" spans="1:24">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row>
    <row r="309" spans="1:24">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row>
    <row r="310" spans="1:24">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row>
    <row r="311" spans="1:24">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row>
    <row r="312" spans="1:24">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row>
    <row r="313" spans="1:24">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row>
    <row r="314" spans="1:2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row>
    <row r="315" spans="1:24">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row>
    <row r="316" spans="1:24">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row>
    <row r="317" spans="1:24">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row>
    <row r="318" spans="1:24">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row>
    <row r="319" spans="1:24">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row>
    <row r="320" spans="1:24">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row>
    <row r="321" spans="1:24">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row>
    <row r="322" spans="1:24">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row>
    <row r="323" spans="1:24">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row>
    <row r="324" spans="1: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row>
    <row r="325" spans="1:24">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row>
    <row r="326" spans="1:24">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row>
    <row r="327" spans="1:24">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row>
    <row r="328" spans="1:24">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row>
    <row r="329" spans="1:24">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row>
    <row r="330" spans="1:24">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row>
    <row r="331" spans="1:24">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row>
    <row r="332" spans="1:24">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row>
    <row r="333" spans="1:24">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row>
    <row r="334" spans="1:2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row>
    <row r="335" spans="1:24">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row>
    <row r="336" spans="1:24">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row>
    <row r="337" spans="1:24">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row>
    <row r="338" spans="1:24">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row>
    <row r="339" spans="1:24">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row>
    <row r="340" spans="1:24">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row>
    <row r="341" spans="1:24">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row>
    <row r="342" spans="1:24">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row>
    <row r="343" spans="1:24">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row>
    <row r="344" spans="1:2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row>
    <row r="345" spans="1:24">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row>
    <row r="346" spans="1:24">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row>
    <row r="347" spans="1:24">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row>
    <row r="348" spans="1:24">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row>
    <row r="349" spans="1:24">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row>
    <row r="350" spans="1:24">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row>
    <row r="351" spans="1:24">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row>
    <row r="352" spans="1:24">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row>
    <row r="353" spans="1:24">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row>
    <row r="354" spans="1:2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row>
    <row r="355" spans="1:24">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row>
    <row r="356" spans="1:24">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row>
    <row r="357" spans="1:24">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row>
    <row r="358" spans="1:24">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row>
    <row r="359" spans="1:24">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row>
    <row r="360" spans="1:24">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row>
    <row r="361" spans="1:24">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row>
    <row r="362" spans="1:24">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row>
    <row r="363" spans="1:24">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row>
    <row r="364" spans="1:2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row>
    <row r="365" spans="1:24">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row>
    <row r="366" spans="1:24">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row>
    <row r="367" spans="1:24">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row>
    <row r="368" spans="1:24">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row>
    <row r="369" spans="1:24">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row>
    <row r="370" spans="1:24">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row>
    <row r="371" spans="1:24">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row>
    <row r="372" spans="1:24">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row>
    <row r="373" spans="1:24">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row>
    <row r="374" spans="1:2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row>
    <row r="375" spans="1:24">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row>
    <row r="376" spans="1:24">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row>
    <row r="377" spans="1:24">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row>
    <row r="378" spans="1:24">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row>
    <row r="379" spans="1:24">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row>
    <row r="380" spans="1:24">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row>
    <row r="381" spans="1:24">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row>
    <row r="382" spans="1:24">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row>
    <row r="383" spans="1:24">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row>
    <row r="384" spans="1:2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row>
    <row r="385" spans="1:24">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row>
    <row r="386" spans="1:24">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row>
    <row r="387" spans="1:24">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row>
    <row r="388" spans="1:24">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row>
    <row r="389" spans="1:24">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row>
    <row r="390" spans="1:24">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row>
    <row r="391" spans="1:24">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row>
    <row r="392" spans="1:24">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row>
    <row r="393" spans="1:24">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row>
    <row r="394" spans="1:2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row>
    <row r="395" spans="1:24">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row>
    <row r="396" spans="1:24">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row>
    <row r="397" spans="1:24">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row>
    <row r="398" spans="1:24">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row>
    <row r="399" spans="1:24">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row>
    <row r="400" spans="1:24">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row>
    <row r="401" spans="1:24">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row>
    <row r="402" spans="1:24">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row>
    <row r="403" spans="1:24">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row>
    <row r="404" spans="1:2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row>
    <row r="405" spans="1:24">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row>
    <row r="406" spans="1:24">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row>
    <row r="407" spans="1:24">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row>
    <row r="408" spans="1:24">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row>
    <row r="409" spans="1:24">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row>
    <row r="410" spans="1:24">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row>
    <row r="411" spans="1:24">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row>
    <row r="412" spans="1:24">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row>
    <row r="413" spans="1:24">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row>
    <row r="414" spans="1:2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row>
    <row r="415" spans="1:24">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row>
    <row r="416" spans="1:24">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row>
    <row r="417" spans="1:24">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row>
    <row r="418" spans="1:24">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row>
    <row r="419" spans="1:24">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row>
    <row r="420" spans="1:24">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row>
    <row r="421" spans="1:24">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row>
    <row r="422" spans="1:24">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row>
    <row r="423" spans="1:24">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row>
    <row r="424" spans="1: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row>
    <row r="425" spans="1:24">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row>
    <row r="426" spans="1:24">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row>
    <row r="427" spans="1:24">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row>
    <row r="428" spans="1:24">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row>
    <row r="429" spans="1:24">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row>
    <row r="430" spans="1:24">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row>
    <row r="431" spans="1:24">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row>
    <row r="432" spans="1:24">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row>
    <row r="433" spans="1:24">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row>
    <row r="434" spans="1:2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row>
    <row r="435" spans="1:24">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row>
    <row r="436" spans="1:24">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row>
    <row r="437" spans="1:24">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row>
    <row r="438" spans="1:24">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row>
    <row r="439" spans="1:24">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row>
    <row r="440" spans="1:24">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row>
    <row r="441" spans="1:24">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row>
    <row r="442" spans="1:24">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row>
    <row r="443" spans="1:24">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row>
    <row r="444" spans="1:2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row>
    <row r="445" spans="1:24">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row>
    <row r="446" spans="1:24">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row>
    <row r="447" spans="1:24">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row>
    <row r="448" spans="1:24">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row>
    <row r="449" spans="1:24">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row>
    <row r="450" spans="1:24">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row>
    <row r="451" spans="1:24">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row>
    <row r="452" spans="1:24">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row>
    <row r="453" spans="1:24">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row>
    <row r="454" spans="1:2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row>
    <row r="455" spans="1:24">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row>
    <row r="456" spans="1:24">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row>
    <row r="457" spans="1:24">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row>
    <row r="458" spans="1:24">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row>
    <row r="459" spans="1:24">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row>
    <row r="460" spans="1:24">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row>
    <row r="461" spans="1:24">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row>
    <row r="462" spans="1:24">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row>
    <row r="463" spans="1:24">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row>
    <row r="464" spans="1:2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row>
    <row r="465" spans="1:24">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row>
    <row r="466" spans="1:24">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row>
    <row r="467" spans="1:24">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row>
    <row r="468" spans="1:24">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row>
    <row r="469" spans="1:24">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row>
    <row r="470" spans="1:24">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row>
    <row r="471" spans="1:24">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row>
    <row r="472" spans="1:24">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row>
    <row r="473" spans="1:24">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row>
    <row r="474" spans="1:2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row>
    <row r="475" spans="1:24">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row>
    <row r="476" spans="1:24">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row>
    <row r="477" spans="1:24">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row>
    <row r="478" spans="1:24">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row>
    <row r="479" spans="1:24">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row>
    <row r="480" spans="1:24">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row>
    <row r="481" spans="1:24">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row>
    <row r="482" spans="1:24">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row>
    <row r="483" spans="1:24">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row>
    <row r="484" spans="1:2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row>
    <row r="485" spans="1:24">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row>
    <row r="486" spans="1:24">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row>
    <row r="487" spans="1:24">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row>
    <row r="488" spans="1:24">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row>
    <row r="489" spans="1:24">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row>
    <row r="490" spans="1:24">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row>
    <row r="491" spans="1:24">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row>
    <row r="492" spans="1:24">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row>
    <row r="493" spans="1:24">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row>
    <row r="494" spans="1:2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row>
    <row r="495" spans="1:24">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row>
    <row r="496" spans="1:24">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row>
    <row r="497" spans="1:24">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row>
    <row r="498" spans="1:24">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row>
    <row r="499" spans="1:24">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row>
    <row r="500" spans="1:24">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row>
    <row r="501" spans="1:24">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row>
    <row r="502" spans="1:24">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row>
    <row r="503" spans="1:24">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row>
    <row r="504" spans="1:2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row>
    <row r="505" spans="1:24">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row>
    <row r="506" spans="1:24">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row>
    <row r="507" spans="1:24">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row>
    <row r="508" spans="1:24">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row>
    <row r="509" spans="1:24">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row>
    <row r="510" spans="1:24">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row>
    <row r="511" spans="1:24">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row>
    <row r="512" spans="1:24">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row>
    <row r="513" spans="1:24">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row>
    <row r="514" spans="1:2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row>
    <row r="515" spans="1:24">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row>
    <row r="516" spans="1:24">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row>
    <row r="517" spans="1:24">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row>
    <row r="518" spans="1:24">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row>
    <row r="519" spans="1:24">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row>
    <row r="520" spans="1:24">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row>
    <row r="521" spans="1:24">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row>
    <row r="522" spans="1:24">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row>
    <row r="523" spans="1:24">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row>
    <row r="524" spans="1: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row>
    <row r="525" spans="1:24">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row>
    <row r="526" spans="1:24">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row>
    <row r="527" spans="1:24">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row>
    <row r="528" spans="1:24">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row>
    <row r="529" spans="1:24">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row>
    <row r="530" spans="1:24">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row>
    <row r="531" spans="1:24">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row>
    <row r="532" spans="1:24">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row>
    <row r="533" spans="1:24">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row>
    <row r="534" spans="1:2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row>
    <row r="535" spans="1:24">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row>
    <row r="536" spans="1:24">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row>
    <row r="537" spans="1:24">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row>
    <row r="538" spans="1:24">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row>
    <row r="539" spans="1:24">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row>
    <row r="540" spans="1:24">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row>
    <row r="541" spans="1:24">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row>
    <row r="542" spans="1:24">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row>
    <row r="543" spans="1:24">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row>
    <row r="544" spans="1:2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row>
    <row r="545" spans="1:24">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row>
    <row r="546" spans="1:24">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row>
    <row r="547" spans="1:24">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row>
    <row r="548" spans="1:24">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row>
    <row r="549" spans="1:24">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row>
    <row r="550" spans="1:24">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row>
    <row r="551" spans="1:24">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row>
    <row r="552" spans="1:24">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row>
    <row r="553" spans="1:24">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row>
    <row r="554" spans="1:2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row>
    <row r="555" spans="1:24">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row>
    <row r="556" spans="1:24">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row>
    <row r="557" spans="1:24">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row>
    <row r="558" spans="1:24">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row>
    <row r="559" spans="1:24">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row>
    <row r="560" spans="1:24">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row>
    <row r="561" spans="1:24">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row>
    <row r="562" spans="1:24">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row>
    <row r="563" spans="1:24">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row>
    <row r="564" spans="1:2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row>
    <row r="565" spans="1:24">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row>
    <row r="566" spans="1:24">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row>
    <row r="567" spans="1:24">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row>
    <row r="568" spans="1:24">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row>
    <row r="569" spans="1:24">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row>
    <row r="570" spans="1:24">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row>
    <row r="571" spans="1:24">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row>
    <row r="572" spans="1:24">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row>
    <row r="573" spans="1:24">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row>
    <row r="574" spans="1:2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row>
    <row r="575" spans="1:24">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row>
    <row r="576" spans="1:24">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row>
    <row r="577" spans="1:24">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row>
    <row r="578" spans="1:24">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row>
    <row r="579" spans="1:24">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row>
    <row r="580" spans="1:24">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row>
    <row r="581" spans="1:24">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row>
    <row r="582" spans="1:24">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row>
    <row r="583" spans="1:24">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row>
    <row r="584" spans="1:2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row>
    <row r="585" spans="1:24">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row>
    <row r="586" spans="1:24">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row>
    <row r="587" spans="1:24">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row>
    <row r="588" spans="1:24">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row>
    <row r="589" spans="1:24">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row>
    <row r="590" spans="1:24">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row>
    <row r="591" spans="1:24">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row>
    <row r="592" spans="1:24">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row>
    <row r="593" spans="1:24">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row>
    <row r="594" spans="1:2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row>
    <row r="595" spans="1:24">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row>
    <row r="596" spans="1:24">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row>
    <row r="597" spans="1:24">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row>
    <row r="598" spans="1:24">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row>
    <row r="599" spans="1:24">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row>
    <row r="600" spans="1:24">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row>
    <row r="601" spans="1:24">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row>
    <row r="602" spans="1:24">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row>
    <row r="603" spans="1:24">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row>
    <row r="604" spans="1:2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row>
    <row r="605" spans="1:24">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row>
    <row r="606" spans="1:24">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row>
    <row r="607" spans="1:24">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row>
    <row r="608" spans="1:24">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row>
    <row r="609" spans="1:24">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row>
    <row r="610" spans="1:24">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row>
    <row r="611" spans="1:24">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row>
    <row r="612" spans="1:24">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row>
    <row r="613" spans="1:24">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row>
    <row r="614" spans="1:2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row>
    <row r="615" spans="1:24">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row>
    <row r="616" spans="1:24">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row>
    <row r="617" spans="1:24">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row>
    <row r="618" spans="1:24">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row>
    <row r="619" spans="1:24">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row>
    <row r="620" spans="1:24">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row>
    <row r="621" spans="1:24">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row>
    <row r="622" spans="1:24">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row>
    <row r="623" spans="1:24">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row>
    <row r="624" spans="1: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row>
    <row r="625" spans="1:24">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row>
    <row r="626" spans="1:24">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row>
    <row r="627" spans="1:24">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row>
    <row r="628" spans="1:24">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row>
    <row r="629" spans="1:24">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row>
    <row r="630" spans="1:24">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row>
    <row r="631" spans="1:24">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row>
    <row r="632" spans="1:24">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row>
    <row r="633" spans="1:24">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row>
    <row r="634" spans="1:2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row>
    <row r="635" spans="1:24">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row>
    <row r="636" spans="1:24">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row>
    <row r="637" spans="1:24">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row>
    <row r="638" spans="1:24">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row>
    <row r="639" spans="1:24">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row>
    <row r="640" spans="1:24">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row>
    <row r="641" spans="1:24">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row>
    <row r="642" spans="1:24">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row>
    <row r="643" spans="1:24">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row>
    <row r="644" spans="1:2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row>
    <row r="645" spans="1:24">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row>
    <row r="646" spans="1:24">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row>
    <row r="647" spans="1:24">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row>
    <row r="648" spans="1:24">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row>
    <row r="649" spans="1:24">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row>
    <row r="650" spans="1:24">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row>
    <row r="651" spans="1:24">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row>
    <row r="652" spans="1:24">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row>
    <row r="653" spans="1:24">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row>
    <row r="654" spans="1:2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row>
    <row r="655" spans="1:24">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row>
    <row r="656" spans="1:24">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row>
    <row r="657" spans="1:24">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row>
    <row r="658" spans="1:24">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row>
    <row r="659" spans="1:24">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row>
    <row r="660" spans="1:24">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row>
    <row r="661" spans="1:24">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row>
    <row r="662" spans="1:24">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row>
    <row r="663" spans="1:24">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row>
    <row r="664" spans="1:2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row>
    <row r="665" spans="1:24">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row>
    <row r="666" spans="1:24">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row>
    <row r="667" spans="1:24">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row>
    <row r="668" spans="1:24">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row>
    <row r="669" spans="1:24">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row>
    <row r="670" spans="1:24">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row>
    <row r="671" spans="1:24">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row>
    <row r="672" spans="1:24">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row>
    <row r="673" spans="1:24">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row>
    <row r="674" spans="1:2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row>
    <row r="675" spans="1:24">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row>
    <row r="676" spans="1:24">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row>
    <row r="677" spans="1:24">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row>
    <row r="678" spans="1:24">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row>
    <row r="679" spans="1:24">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row>
    <row r="680" spans="1:24">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row>
    <row r="681" spans="1:24">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row>
    <row r="682" spans="1:24">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row>
    <row r="683" spans="1:24">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row>
    <row r="684" spans="1:2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row>
    <row r="685" spans="1:24">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row>
    <row r="686" spans="1:24">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row>
    <row r="687" spans="1:24">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row>
    <row r="688" spans="1:24">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row>
    <row r="689" spans="1:24">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row>
    <row r="690" spans="1:24">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row>
    <row r="691" spans="1:24">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row>
    <row r="692" spans="1:24">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row>
    <row r="693" spans="1:24">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row>
    <row r="694" spans="1:2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row>
    <row r="695" spans="1:24">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row>
    <row r="696" spans="1:24">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row>
    <row r="697" spans="1:24">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row>
    <row r="698" spans="1:24">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row>
    <row r="699" spans="1:24">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row>
    <row r="700" spans="1:24">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row>
    <row r="701" spans="1:24">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row>
    <row r="702" spans="1:24">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row>
    <row r="703" spans="1:24">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row>
    <row r="704" spans="1:2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row>
    <row r="705" spans="1:24">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row>
    <row r="706" spans="1:24">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row>
    <row r="707" spans="1:24">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row>
    <row r="708" spans="1:24">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row>
    <row r="709" spans="1:24">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row>
    <row r="710" spans="1:24">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row>
    <row r="711" spans="1:24">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row>
    <row r="712" spans="1:24">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row>
    <row r="713" spans="1:24">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row>
    <row r="714" spans="1:2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row>
    <row r="715" spans="1:24">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row>
    <row r="716" spans="1:24">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row>
    <row r="717" spans="1:24">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row>
    <row r="718" spans="1:24">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row>
    <row r="719" spans="1:24">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row>
    <row r="720" spans="1:24">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row>
    <row r="721" spans="1:24">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row>
    <row r="722" spans="1:24">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row>
    <row r="723" spans="1:24">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row>
    <row r="724" spans="1: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row>
    <row r="725" spans="1:24">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row>
    <row r="726" spans="1:24">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row>
    <row r="727" spans="1:24">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row>
    <row r="728" spans="1:24">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row>
    <row r="729" spans="1:24">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row>
    <row r="730" spans="1:24">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row>
    <row r="731" spans="1:24">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row>
    <row r="732" spans="1:24">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row>
    <row r="733" spans="1:24">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row>
    <row r="734" spans="1:2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row>
    <row r="735" spans="1:24">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row>
    <row r="736" spans="1:24">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row>
    <row r="737" spans="1:24">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row>
    <row r="738" spans="1:24">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row>
    <row r="739" spans="1:24">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row>
    <row r="740" spans="1:24">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row>
    <row r="741" spans="1:24">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row>
    <row r="742" spans="1:24">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row>
    <row r="743" spans="1:24">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row>
    <row r="744" spans="1:2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row>
    <row r="745" spans="1:24">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row>
    <row r="746" spans="1:24">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row>
    <row r="747" spans="1:24">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row>
    <row r="748" spans="1:24">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row>
    <row r="749" spans="1:24">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row>
    <row r="750" spans="1:24">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row>
    <row r="751" spans="1:24">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row>
    <row r="752" spans="1:24">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row>
    <row r="753" spans="1:24">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row>
    <row r="754" spans="1:2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row>
    <row r="755" spans="1:24">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row>
    <row r="756" spans="1:24">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row>
    <row r="757" spans="1:24">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row>
    <row r="758" spans="1:24">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row>
    <row r="759" spans="1:24">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row>
    <row r="760" spans="1:24">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row>
    <row r="761" spans="1:24">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row>
    <row r="762" spans="1:24">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row>
    <row r="763" spans="1:24">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row>
    <row r="764" spans="1:2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row>
    <row r="765" spans="1:24">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row>
    <row r="766" spans="1:24">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row>
    <row r="767" spans="1:24">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row>
    <row r="768" spans="1:24">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row>
    <row r="769" spans="1:24">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row>
    <row r="770" spans="1:24">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row>
    <row r="771" spans="1:24">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row>
    <row r="772" spans="1:24">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row>
    <row r="773" spans="1:24">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row>
    <row r="774" spans="1:2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row>
    <row r="775" spans="1:24">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row>
    <row r="776" spans="1:24">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row>
    <row r="777" spans="1:24">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row>
    <row r="778" spans="1:24">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row>
    <row r="779" spans="1:24">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row>
    <row r="780" spans="1:24">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row>
    <row r="781" spans="1:24">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row>
    <row r="782" spans="1:24">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row>
    <row r="783" spans="1:24">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row>
    <row r="784" spans="1:2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row>
    <row r="785" spans="1:24">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row>
    <row r="786" spans="1:24">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row>
    <row r="787" spans="1:24">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row>
    <row r="788" spans="1:24">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row>
    <row r="789" spans="1:24">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row>
    <row r="790" spans="1:24">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row>
    <row r="791" spans="1:24">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row>
    <row r="792" spans="1:24">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row>
    <row r="793" spans="1:24">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row>
    <row r="794" spans="1:2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row>
    <row r="795" spans="1:24">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row>
    <row r="796" spans="1:24">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row>
    <row r="797" spans="1:24">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row>
    <row r="798" spans="1:24">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row>
    <row r="799" spans="1:24">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row>
    <row r="800" spans="1:24">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row>
    <row r="801" spans="1:24">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row>
    <row r="802" spans="1:24">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row>
    <row r="803" spans="1:24">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row>
    <row r="804" spans="1:2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row>
    <row r="805" spans="1:24">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row>
    <row r="806" spans="1:24">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row>
    <row r="807" spans="1:24">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row>
    <row r="808" spans="1:24">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row>
    <row r="809" spans="1:24">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row>
    <row r="810" spans="1:24">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row>
    <row r="811" spans="1:24">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row>
    <row r="812" spans="1:24">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row>
    <row r="813" spans="1:24">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row>
    <row r="814" spans="1:2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row>
    <row r="815" spans="1:24">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row>
    <row r="816" spans="1:24">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row>
    <row r="817" spans="1:24">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row>
    <row r="818" spans="1:24">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row>
    <row r="819" spans="1:24">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row>
    <row r="820" spans="1:24">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row>
    <row r="821" spans="1:24">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row>
    <row r="822" spans="1:24">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row>
    <row r="823" spans="1:24">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row>
    <row r="824" spans="1: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row>
    <row r="825" spans="1:24">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row>
    <row r="826" spans="1:24">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row>
    <row r="827" spans="1:24">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row>
    <row r="828" spans="1:24">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row>
    <row r="829" spans="1:24">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row>
    <row r="830" spans="1:24">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row>
    <row r="831" spans="1:24">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row>
    <row r="832" spans="1:24">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row>
    <row r="833" spans="1:24">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row>
    <row r="834" spans="1:2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row>
    <row r="835" spans="1:24">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row>
    <row r="836" spans="1:24">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row>
    <row r="837" spans="1:24">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row>
    <row r="838" spans="1:24">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row>
    <row r="839" spans="1:24">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row>
    <row r="840" spans="1:24">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row>
    <row r="841" spans="1:24">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row>
    <row r="842" spans="1:24">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row>
    <row r="843" spans="1:24">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row>
    <row r="844" spans="1:2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row>
    <row r="845" spans="1:24">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row>
    <row r="846" spans="1:24">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row>
    <row r="847" spans="1:24">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row>
    <row r="848" spans="1:24">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row>
    <row r="849" spans="1:24">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row>
    <row r="850" spans="1:24">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row>
    <row r="851" spans="1:24">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row>
    <row r="852" spans="1:24">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row>
    <row r="853" spans="1:24">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row>
    <row r="854" spans="1:2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row>
    <row r="855" spans="1:24">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row>
    <row r="856" spans="1:24">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row>
    <row r="857" spans="1:24">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row>
    <row r="858" spans="1:24">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row>
    <row r="859" spans="1:24">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row>
    <row r="860" spans="1:24">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row>
    <row r="861" spans="1:24">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row>
    <row r="862" spans="1:24">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row>
    <row r="863" spans="1:24">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row>
    <row r="864" spans="1:2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row>
    <row r="865" spans="1:24">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row>
    <row r="866" spans="1:24">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row>
    <row r="867" spans="1:24">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row>
    <row r="868" spans="1:24">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row>
    <row r="869" spans="1:24">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row>
    <row r="870" spans="1:24">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row>
    <row r="871" spans="1:24">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row>
    <row r="872" spans="1:24">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row>
    <row r="873" spans="1:24">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row>
    <row r="874" spans="1:2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row>
    <row r="875" spans="1:24">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row>
    <row r="876" spans="1:24">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row>
    <row r="877" spans="1:24">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row>
    <row r="878" spans="1:24">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row>
    <row r="879" spans="1:24">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row>
    <row r="880" spans="1:24">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row>
    <row r="881" spans="1:24">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row>
    <row r="882" spans="1:24">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row>
    <row r="883" spans="1:24">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row>
    <row r="884" spans="1:2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row>
    <row r="885" spans="1:24">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row>
    <row r="886" spans="1:24">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row>
    <row r="887" spans="1:24">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row>
    <row r="888" spans="1:24">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row>
    <row r="889" spans="1:24">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row>
    <row r="890" spans="1:24">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row>
    <row r="891" spans="1:24">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row>
    <row r="892" spans="1:24">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row>
    <row r="893" spans="1:24">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row>
    <row r="894" spans="1:2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row>
    <row r="895" spans="1:24">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row>
    <row r="896" spans="1:24">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row>
    <row r="897" spans="1:24">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row>
    <row r="898" spans="1:24">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row>
    <row r="899" spans="1:24">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row>
    <row r="900" spans="1:24">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row>
    <row r="901" spans="1:24">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row>
    <row r="902" spans="1:24">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row>
    <row r="903" spans="1:24">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row>
    <row r="904" spans="1:2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row>
    <row r="905" spans="1:24">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row>
    <row r="906" spans="1:24">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row>
    <row r="907" spans="1:24">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row>
    <row r="908" spans="1:24">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row>
    <row r="909" spans="1:24">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row>
    <row r="910" spans="1:24">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row>
    <row r="911" spans="1:24">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row>
    <row r="912" spans="1:24">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row>
    <row r="913" spans="1:24">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row>
    <row r="914" spans="1:2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row>
    <row r="915" spans="1:24">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row>
    <row r="916" spans="1:24">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row>
    <row r="917" spans="1:24">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row>
    <row r="918" spans="1:24">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row>
    <row r="919" spans="1:24">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row>
    <row r="920" spans="1:24">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row>
    <row r="921" spans="1:24">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row>
    <row r="922" spans="1:24">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row>
    <row r="923" spans="1:24">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row>
    <row r="924" spans="1: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row>
    <row r="925" spans="1:24">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row>
    <row r="926" spans="1:24">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row>
    <row r="927" spans="1:24">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row>
    <row r="928" spans="1:24">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row>
    <row r="929" spans="1:24">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row>
    <row r="930" spans="1:24">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row>
    <row r="931" spans="1:24">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row>
    <row r="932" spans="1:24">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row>
    <row r="933" spans="1:24">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row>
    <row r="934" spans="1:2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row>
    <row r="935" spans="1:24">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row>
    <row r="936" spans="1:24">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row>
    <row r="937" spans="1:24">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row>
    <row r="938" spans="1:24">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row>
    <row r="939" spans="1:24">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row>
    <row r="940" spans="1:24">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row>
    <row r="941" spans="1:24">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row>
    <row r="942" spans="1:24">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row>
    <row r="943" spans="1:24">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row>
    <row r="944" spans="1:2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row>
    <row r="945" spans="1:24">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row>
    <row r="946" spans="1:24">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row>
    <row r="947" spans="1:24">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row>
    <row r="948" spans="1:24">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row>
    <row r="949" spans="1:24">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row>
    <row r="950" spans="1:24">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row>
    <row r="951" spans="1:24">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row>
    <row r="952" spans="1:24">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row>
    <row r="953" spans="1:24">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row>
    <row r="954" spans="1:2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row>
    <row r="955" spans="1:24">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row>
    <row r="956" spans="1:24">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row>
    <row r="957" spans="1:24">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row>
    <row r="958" spans="1:24">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row>
    <row r="959" spans="1:24">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row>
    <row r="960" spans="1:24">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row>
    <row r="961" spans="1:24">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row>
    <row r="962" spans="1:24">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row>
    <row r="963" spans="1:24">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row>
    <row r="964" spans="1:2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row>
    <row r="965" spans="1:24">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row>
    <row r="966" spans="1:24">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row>
    <row r="967" spans="1:24">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row>
    <row r="968" spans="1:24">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row>
    <row r="969" spans="1:24">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row>
    <row r="970" spans="1:24">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row>
    <row r="971" spans="1:24">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row>
    <row r="972" spans="1:24">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row>
    <row r="973" spans="1:24">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row>
    <row r="974" spans="1:2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row>
    <row r="975" spans="1:24">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row>
    <row r="976" spans="1:24">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row>
    <row r="977" spans="1:24">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row>
    <row r="978" spans="1:24">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row>
    <row r="979" spans="1:24">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row>
    <row r="980" spans="1:24">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row>
    <row r="981" spans="1:24">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row>
    <row r="982" spans="1:24">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row>
    <row r="983" spans="1:24">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row>
    <row r="984" spans="1:2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row>
    <row r="985" spans="1:24">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row>
    <row r="986" spans="1:24">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row>
    <row r="987" spans="1:24">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row>
    <row r="988" spans="1:24">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row>
    <row r="989" spans="1:24">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row>
    <row r="990" spans="1:24">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row>
    <row r="991" spans="1:24">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row>
    <row r="992" spans="1:24">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row>
    <row r="993" spans="1:24">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row>
    <row r="994" spans="1:2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row>
    <row r="995" spans="1:24">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row>
    <row r="996" spans="1:24">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row>
    <row r="997" spans="1:24">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row>
  </sheetData>
  <mergeCells count="29">
    <mergeCell ref="A7:A14"/>
    <mergeCell ref="B7:B14"/>
    <mergeCell ref="C7:C14"/>
    <mergeCell ref="B2:I2"/>
    <mergeCell ref="E5:F5"/>
    <mergeCell ref="B3:I3"/>
    <mergeCell ref="E4:F4"/>
    <mergeCell ref="B4:C4"/>
    <mergeCell ref="D7:D14"/>
    <mergeCell ref="E7:E14"/>
    <mergeCell ref="F7:F14"/>
    <mergeCell ref="H7:H14"/>
    <mergeCell ref="I7:I14"/>
    <mergeCell ref="F15:F18"/>
    <mergeCell ref="H15:H18"/>
    <mergeCell ref="I15:I18"/>
    <mergeCell ref="A19:A20"/>
    <mergeCell ref="B19:B20"/>
    <mergeCell ref="C19:C20"/>
    <mergeCell ref="D19:D20"/>
    <mergeCell ref="E19:E20"/>
    <mergeCell ref="F19:F20"/>
    <mergeCell ref="H19:H20"/>
    <mergeCell ref="I19:I20"/>
    <mergeCell ref="A15:A18"/>
    <mergeCell ref="B15:B18"/>
    <mergeCell ref="C15:C18"/>
    <mergeCell ref="D15:D18"/>
    <mergeCell ref="E15:E18"/>
  </mergeCells>
  <hyperlinks>
    <hyperlink ref="A1" location="'Modelo de dominio'!A1" display="&lt;&lt;&lt;Modelo de Dominio" xr:uid="{00000000-0004-0000-1700-000000000000}"/>
    <hyperlink ref="B1" location="'Objetos de dominio'!A1" display="&lt;&lt;&lt;Objetos de Dominio" xr:uid="{00000000-0004-0000-1700-000001000000}"/>
    <hyperlink ref="B3" location="'Objetos de dominio'!B13" display="Objeto de dominio que representa el detalle de cada venta , agrupando que productos se vendieron , la cantidad ,el precio asociado a cada uno y el subtotal (que viene dado por la cantidad y el precio de cada producto)    " xr:uid="{00000000-0004-0000-1700-000002000000}"/>
  </hyperlink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35">
    <outlinePr summaryBelow="0" summaryRight="0"/>
  </sheetPr>
  <dimension ref="A1:Z1000"/>
  <sheetViews>
    <sheetView workbookViewId="0">
      <selection activeCell="D15" sqref="D15"/>
    </sheetView>
  </sheetViews>
  <sheetFormatPr baseColWidth="10" defaultColWidth="12.625" defaultRowHeight="15.8" customHeight="1"/>
  <cols>
    <col min="1" max="1" width="16.125" customWidth="1"/>
    <col min="2" max="2" width="142" customWidth="1"/>
    <col min="3" max="3" width="18.375" customWidth="1"/>
    <col min="4" max="4" width="27.625" customWidth="1"/>
  </cols>
  <sheetData>
    <row r="1" spans="1:26" ht="14.3" customHeight="1">
      <c r="A1" s="2" t="s">
        <v>0</v>
      </c>
      <c r="B1" s="132" t="s">
        <v>1</v>
      </c>
      <c r="C1" s="27"/>
      <c r="D1" s="73"/>
      <c r="E1" s="27"/>
      <c r="F1" s="27"/>
      <c r="G1" s="27"/>
      <c r="H1" s="27"/>
      <c r="I1" s="27"/>
      <c r="J1" s="27"/>
      <c r="K1" s="27"/>
      <c r="L1" s="27"/>
      <c r="M1" s="27"/>
      <c r="N1" s="27"/>
      <c r="O1" s="27"/>
      <c r="P1" s="27"/>
      <c r="Q1" s="27"/>
      <c r="R1" s="27"/>
      <c r="S1" s="27"/>
      <c r="T1" s="27"/>
      <c r="U1" s="27"/>
      <c r="V1" s="27"/>
      <c r="W1" s="27"/>
      <c r="X1" s="27"/>
      <c r="Y1" s="27"/>
      <c r="Z1" s="27"/>
    </row>
    <row r="2" spans="1:26" ht="14.3" customHeight="1">
      <c r="A2" s="54" t="s">
        <v>233</v>
      </c>
      <c r="B2" s="1237" t="s">
        <v>49</v>
      </c>
      <c r="C2" s="1032"/>
      <c r="D2" s="1033"/>
      <c r="E2" s="27"/>
      <c r="F2" s="27"/>
      <c r="G2" s="27"/>
      <c r="H2" s="27"/>
      <c r="I2" s="27"/>
      <c r="J2" s="27"/>
      <c r="K2" s="27"/>
      <c r="L2" s="27"/>
      <c r="M2" s="27"/>
      <c r="N2" s="27"/>
      <c r="O2" s="27"/>
      <c r="P2" s="27"/>
      <c r="Q2" s="27"/>
      <c r="R2" s="27"/>
      <c r="S2" s="27"/>
      <c r="T2" s="27"/>
      <c r="U2" s="27"/>
      <c r="V2" s="27"/>
      <c r="W2" s="27"/>
      <c r="X2" s="27"/>
      <c r="Y2" s="27"/>
      <c r="Z2" s="27"/>
    </row>
    <row r="3" spans="1:26" ht="43.5" customHeight="1">
      <c r="A3" s="54" t="s">
        <v>21</v>
      </c>
      <c r="B3" s="1236" t="str">
        <f>'C-DetalleVenta'!B3</f>
        <v>Es cada uno de los productos que se vendieron en una venta, con la cantidad y el valor de cada uno.</v>
      </c>
      <c r="C3" s="1032"/>
      <c r="D3" s="1033"/>
      <c r="E3" s="27"/>
      <c r="F3" s="27"/>
      <c r="G3" s="27"/>
      <c r="H3" s="27"/>
      <c r="I3" s="27"/>
      <c r="J3" s="27"/>
      <c r="K3" s="27"/>
      <c r="L3" s="27"/>
      <c r="M3" s="27"/>
      <c r="N3" s="27"/>
      <c r="O3" s="27"/>
      <c r="P3" s="27"/>
      <c r="Q3" s="27"/>
      <c r="R3" s="27"/>
      <c r="S3" s="27"/>
      <c r="T3" s="27"/>
      <c r="U3" s="27"/>
      <c r="V3" s="27"/>
      <c r="W3" s="27"/>
      <c r="X3" s="27"/>
      <c r="Y3" s="27"/>
      <c r="Z3" s="27"/>
    </row>
    <row r="4" spans="1:26" ht="14.3" customHeight="1">
      <c r="A4" s="326" t="s">
        <v>234</v>
      </c>
      <c r="B4" s="326" t="s">
        <v>235</v>
      </c>
      <c r="C4" s="326" t="s">
        <v>236</v>
      </c>
      <c r="D4" s="326" t="s">
        <v>237</v>
      </c>
      <c r="E4" s="27"/>
      <c r="F4" s="27"/>
      <c r="G4" s="27"/>
      <c r="H4" s="27"/>
      <c r="I4" s="27"/>
      <c r="J4" s="27"/>
      <c r="K4" s="27"/>
      <c r="L4" s="27"/>
      <c r="M4" s="27"/>
      <c r="N4" s="27"/>
      <c r="O4" s="27"/>
      <c r="P4" s="27"/>
      <c r="Q4" s="27"/>
      <c r="R4" s="27"/>
      <c r="S4" s="27"/>
      <c r="T4" s="27"/>
      <c r="U4" s="27"/>
      <c r="V4" s="27"/>
      <c r="W4" s="27"/>
      <c r="X4" s="27"/>
      <c r="Y4" s="27"/>
      <c r="Z4" s="27"/>
    </row>
    <row r="5" spans="1:26" ht="14.3" customHeight="1">
      <c r="A5" s="325" t="s">
        <v>510</v>
      </c>
      <c r="B5" s="325" t="s">
        <v>511</v>
      </c>
      <c r="C5" s="325" t="s">
        <v>49</v>
      </c>
      <c r="D5" s="733"/>
      <c r="E5" s="27"/>
      <c r="F5" s="27"/>
      <c r="G5" s="27"/>
      <c r="H5" s="27"/>
      <c r="I5" s="27"/>
      <c r="J5" s="27"/>
      <c r="K5" s="27"/>
      <c r="L5" s="27"/>
      <c r="M5" s="27"/>
      <c r="N5" s="27"/>
      <c r="O5" s="27"/>
      <c r="P5" s="27"/>
      <c r="Q5" s="27"/>
      <c r="R5" s="27"/>
      <c r="S5" s="27"/>
      <c r="T5" s="27"/>
      <c r="U5" s="27"/>
      <c r="V5" s="27"/>
      <c r="W5" s="27"/>
      <c r="X5" s="27"/>
      <c r="Y5" s="27"/>
      <c r="Z5" s="27"/>
    </row>
    <row r="6" spans="1:26" ht="14.3" customHeight="1">
      <c r="A6" s="325" t="s">
        <v>512</v>
      </c>
      <c r="B6" s="325" t="s">
        <v>1620</v>
      </c>
      <c r="C6" s="732" t="s">
        <v>42</v>
      </c>
      <c r="D6" s="829" t="str">
        <f>HYPERLINK("#'P-Producto'!A15", 'P-Producto'!A15)</f>
        <v>P-PRO-011</v>
      </c>
      <c r="E6" s="27"/>
      <c r="F6" s="27"/>
      <c r="G6" s="27"/>
      <c r="H6" s="27"/>
      <c r="I6" s="27"/>
      <c r="J6" s="27"/>
      <c r="K6" s="27"/>
      <c r="L6" s="27"/>
      <c r="M6" s="27"/>
      <c r="N6" s="27"/>
      <c r="O6" s="27"/>
      <c r="P6" s="27"/>
      <c r="Q6" s="27"/>
      <c r="R6" s="27"/>
      <c r="S6" s="27"/>
      <c r="T6" s="27"/>
      <c r="U6" s="27"/>
      <c r="V6" s="27"/>
      <c r="W6" s="27"/>
      <c r="X6" s="27"/>
      <c r="Y6" s="27"/>
      <c r="Z6" s="27"/>
    </row>
    <row r="7" spans="1:26" ht="14.3" customHeight="1">
      <c r="A7" s="325" t="s">
        <v>513</v>
      </c>
      <c r="B7" s="325" t="s">
        <v>1621</v>
      </c>
      <c r="C7" s="325" t="s">
        <v>49</v>
      </c>
      <c r="D7" s="734"/>
      <c r="E7" s="27"/>
      <c r="F7" s="27"/>
      <c r="G7" s="27"/>
      <c r="H7" s="27"/>
      <c r="I7" s="27"/>
      <c r="J7" s="27"/>
      <c r="K7" s="27"/>
      <c r="L7" s="27"/>
      <c r="M7" s="27"/>
      <c r="N7" s="27"/>
      <c r="O7" s="27"/>
      <c r="P7" s="27"/>
      <c r="Q7" s="27"/>
      <c r="R7" s="27"/>
      <c r="S7" s="27"/>
      <c r="T7" s="27"/>
      <c r="U7" s="27"/>
      <c r="V7" s="27"/>
      <c r="W7" s="27"/>
      <c r="X7" s="27"/>
      <c r="Y7" s="27"/>
      <c r="Z7" s="27"/>
    </row>
    <row r="8" spans="1:26" ht="14.3" customHeight="1">
      <c r="A8" s="325" t="s">
        <v>514</v>
      </c>
      <c r="B8" s="287" t="s">
        <v>515</v>
      </c>
      <c r="C8" s="573" t="s">
        <v>47</v>
      </c>
      <c r="D8" s="830" t="str">
        <f>HYPERLINK("#'P-HistoricoPrecio'!A13", 'P-HistoricoPrecio'!A13)</f>
        <v>P-HP-009</v>
      </c>
      <c r="E8" s="27"/>
      <c r="F8" s="27"/>
      <c r="G8" s="27"/>
      <c r="H8" s="27"/>
      <c r="I8" s="27"/>
      <c r="J8" s="27"/>
      <c r="K8" s="27"/>
      <c r="L8" s="27"/>
      <c r="M8" s="27"/>
      <c r="N8" s="27"/>
      <c r="O8" s="27"/>
      <c r="P8" s="27"/>
      <c r="Q8" s="27"/>
      <c r="R8" s="27"/>
      <c r="S8" s="27"/>
      <c r="T8" s="27"/>
      <c r="U8" s="27"/>
      <c r="V8" s="27"/>
      <c r="W8" s="27"/>
      <c r="X8" s="27"/>
      <c r="Y8" s="27"/>
      <c r="Z8" s="27"/>
    </row>
    <row r="9" spans="1:26" ht="14.3" customHeight="1">
      <c r="A9" s="325" t="s">
        <v>516</v>
      </c>
      <c r="B9" s="325" t="s">
        <v>517</v>
      </c>
      <c r="C9" s="732" t="s">
        <v>44</v>
      </c>
      <c r="D9" s="829" t="str">
        <f>HYPERLINK("#'P-Venta'!A11", 'P-Venta'!A11)</f>
        <v>P-VEN-007</v>
      </c>
      <c r="E9" s="27"/>
      <c r="F9" s="27"/>
      <c r="G9" s="27"/>
      <c r="H9" s="27"/>
      <c r="I9" s="27"/>
      <c r="J9" s="27"/>
      <c r="K9" s="27"/>
      <c r="L9" s="27"/>
      <c r="M9" s="27"/>
      <c r="N9" s="27"/>
      <c r="O9" s="27"/>
      <c r="P9" s="27"/>
      <c r="Q9" s="27"/>
      <c r="R9" s="27"/>
      <c r="S9" s="27"/>
      <c r="T9" s="27"/>
      <c r="U9" s="27"/>
      <c r="V9" s="27"/>
      <c r="W9" s="27"/>
      <c r="X9" s="27"/>
      <c r="Y9" s="27"/>
      <c r="Z9" s="27"/>
    </row>
    <row r="10" spans="1:26" ht="14.3" customHeight="1">
      <c r="A10" s="325" t="s">
        <v>518</v>
      </c>
      <c r="B10" s="325" t="s">
        <v>519</v>
      </c>
      <c r="C10" s="325" t="s">
        <v>49</v>
      </c>
      <c r="D10" s="734"/>
      <c r="E10" s="27"/>
      <c r="F10" s="27"/>
      <c r="G10" s="27"/>
      <c r="H10" s="27"/>
      <c r="I10" s="27"/>
      <c r="J10" s="27"/>
      <c r="K10" s="27"/>
      <c r="L10" s="27"/>
      <c r="M10" s="27"/>
      <c r="N10" s="27"/>
      <c r="O10" s="27"/>
      <c r="P10" s="27"/>
      <c r="Q10" s="27"/>
      <c r="R10" s="27"/>
      <c r="S10" s="27"/>
      <c r="T10" s="27"/>
      <c r="U10" s="27"/>
      <c r="V10" s="27"/>
      <c r="W10" s="27"/>
      <c r="X10" s="27"/>
      <c r="Y10" s="27"/>
      <c r="Z10" s="27"/>
    </row>
    <row r="11" spans="1:26" ht="14.3" customHeight="1">
      <c r="A11" s="325" t="s">
        <v>520</v>
      </c>
      <c r="B11" s="325" t="s">
        <v>521</v>
      </c>
      <c r="C11" s="325" t="s">
        <v>49</v>
      </c>
      <c r="D11" s="573"/>
      <c r="E11" s="27"/>
      <c r="F11" s="27"/>
      <c r="G11" s="27"/>
      <c r="H11" s="27"/>
      <c r="I11" s="27"/>
      <c r="J11" s="27"/>
      <c r="K11" s="27"/>
      <c r="L11" s="27"/>
      <c r="M11" s="27"/>
      <c r="N11" s="27"/>
      <c r="O11" s="27"/>
      <c r="P11" s="27"/>
      <c r="Q11" s="27"/>
      <c r="R11" s="27"/>
      <c r="S11" s="27"/>
      <c r="T11" s="27"/>
      <c r="U11" s="27"/>
      <c r="V11" s="27"/>
      <c r="W11" s="27"/>
      <c r="X11" s="27"/>
      <c r="Y11" s="27"/>
      <c r="Z11" s="27"/>
    </row>
    <row r="12" spans="1:26" ht="14.3" customHeight="1">
      <c r="A12" s="325" t="s">
        <v>522</v>
      </c>
      <c r="B12" s="325" t="s">
        <v>523</v>
      </c>
      <c r="C12" s="325" t="s">
        <v>49</v>
      </c>
      <c r="D12" s="733"/>
      <c r="E12" s="27"/>
      <c r="F12" s="27"/>
      <c r="G12" s="27"/>
      <c r="H12" s="27"/>
      <c r="I12" s="27"/>
      <c r="J12" s="27"/>
      <c r="K12" s="27"/>
      <c r="L12" s="27"/>
      <c r="M12" s="27"/>
      <c r="N12" s="27"/>
      <c r="O12" s="27"/>
      <c r="P12" s="27"/>
      <c r="Q12" s="27"/>
      <c r="R12" s="27"/>
      <c r="S12" s="27"/>
      <c r="T12" s="27"/>
      <c r="U12" s="27"/>
      <c r="V12" s="27"/>
      <c r="W12" s="27"/>
      <c r="X12" s="27"/>
      <c r="Y12" s="27"/>
      <c r="Z12" s="27"/>
    </row>
    <row r="13" spans="1:26" ht="14.3" customHeight="1">
      <c r="A13" s="325" t="s">
        <v>524</v>
      </c>
      <c r="B13" s="325" t="s">
        <v>525</v>
      </c>
      <c r="C13" s="732" t="s">
        <v>44</v>
      </c>
      <c r="D13" s="829" t="str">
        <f>HYPERLINK("#'P-Venta'!A13", 'P-Venta'!A13)</f>
        <v>P-VEN-009</v>
      </c>
      <c r="E13" s="27"/>
      <c r="F13" s="27"/>
      <c r="G13" s="27"/>
      <c r="H13" s="27"/>
      <c r="I13" s="27"/>
      <c r="J13" s="27"/>
      <c r="K13" s="27"/>
      <c r="L13" s="27"/>
      <c r="M13" s="27"/>
      <c r="N13" s="27"/>
      <c r="O13" s="27"/>
      <c r="P13" s="27"/>
      <c r="Q13" s="27"/>
      <c r="R13" s="27"/>
      <c r="S13" s="27"/>
      <c r="T13" s="27"/>
      <c r="U13" s="27"/>
      <c r="V13" s="27"/>
      <c r="W13" s="27"/>
      <c r="X13" s="27"/>
      <c r="Y13" s="27"/>
      <c r="Z13" s="27"/>
    </row>
    <row r="14" spans="1:26" ht="14.3" customHeight="1">
      <c r="A14" s="325" t="s">
        <v>526</v>
      </c>
      <c r="B14" s="325" t="s">
        <v>527</v>
      </c>
      <c r="C14" s="325" t="s">
        <v>195</v>
      </c>
      <c r="D14" s="831" t="str">
        <f>HYPERLINK("#'P-Venta'!A9", 'P-Venta'!A9)</f>
        <v>P-VEN-005</v>
      </c>
      <c r="E14" s="27"/>
      <c r="F14" s="27"/>
      <c r="G14" s="27"/>
      <c r="H14" s="27"/>
      <c r="I14" s="27"/>
      <c r="J14" s="27"/>
      <c r="K14" s="27"/>
      <c r="L14" s="27"/>
      <c r="M14" s="27"/>
      <c r="N14" s="27"/>
      <c r="O14" s="27"/>
      <c r="P14" s="27"/>
      <c r="Q14" s="27"/>
      <c r="R14" s="27"/>
      <c r="S14" s="27"/>
      <c r="T14" s="27"/>
      <c r="U14" s="27"/>
      <c r="V14" s="27"/>
      <c r="W14" s="27"/>
      <c r="X14" s="27"/>
      <c r="Y14" s="27"/>
      <c r="Z14" s="27"/>
    </row>
    <row r="15" spans="1:26" ht="14.3" customHeight="1">
      <c r="A15" s="325" t="s">
        <v>528</v>
      </c>
      <c r="B15" s="325" t="s">
        <v>1622</v>
      </c>
      <c r="C15" s="325" t="s">
        <v>58</v>
      </c>
      <c r="D15" s="796" t="str">
        <f>HYPERLINK("#'P-ConsumoVenta'!A6", 'P-ConsumoVenta'!A6)</f>
        <v>P-CV-002</v>
      </c>
      <c r="E15" s="27"/>
      <c r="F15" s="27"/>
      <c r="G15" s="27"/>
      <c r="H15" s="27"/>
      <c r="I15" s="27"/>
      <c r="J15" s="27"/>
      <c r="K15" s="27"/>
      <c r="L15" s="27"/>
      <c r="M15" s="27"/>
      <c r="N15" s="27"/>
      <c r="O15" s="27"/>
      <c r="P15" s="27"/>
      <c r="Q15" s="27"/>
      <c r="R15" s="27"/>
      <c r="S15" s="27"/>
      <c r="T15" s="27"/>
      <c r="U15" s="27"/>
      <c r="V15" s="27"/>
      <c r="W15" s="27"/>
      <c r="X15" s="27"/>
      <c r="Y15" s="27"/>
      <c r="Z15" s="27"/>
    </row>
    <row r="16" spans="1:26" ht="14.3" customHeight="1">
      <c r="A16" s="325" t="s">
        <v>529</v>
      </c>
      <c r="B16" s="573" t="s">
        <v>530</v>
      </c>
      <c r="C16" s="325" t="s">
        <v>49</v>
      </c>
      <c r="D16" s="562"/>
      <c r="E16" s="27"/>
      <c r="F16" s="27"/>
      <c r="G16" s="27"/>
      <c r="H16" s="27"/>
      <c r="I16" s="27"/>
      <c r="J16" s="27"/>
      <c r="K16" s="27"/>
      <c r="L16" s="27"/>
      <c r="M16" s="27"/>
      <c r="N16" s="27"/>
      <c r="O16" s="27"/>
      <c r="P16" s="27"/>
      <c r="Q16" s="27"/>
      <c r="R16" s="27"/>
      <c r="S16" s="27"/>
      <c r="T16" s="27"/>
      <c r="U16" s="27"/>
      <c r="V16" s="27"/>
      <c r="W16" s="27"/>
      <c r="X16" s="27"/>
      <c r="Y16" s="27"/>
      <c r="Z16" s="27"/>
    </row>
    <row r="17" spans="1:26" ht="14.3" customHeight="1">
      <c r="A17" s="325" t="s">
        <v>1623</v>
      </c>
      <c r="B17" s="573" t="s">
        <v>1624</v>
      </c>
      <c r="C17" s="325" t="s">
        <v>49</v>
      </c>
      <c r="D17" s="562"/>
      <c r="E17" s="27"/>
      <c r="F17" s="27"/>
      <c r="G17" s="27"/>
      <c r="H17" s="27"/>
      <c r="I17" s="27"/>
      <c r="J17" s="27"/>
      <c r="K17" s="27"/>
      <c r="L17" s="27"/>
      <c r="M17" s="27"/>
      <c r="N17" s="27"/>
      <c r="O17" s="27"/>
      <c r="P17" s="27"/>
      <c r="Q17" s="27"/>
      <c r="R17" s="27"/>
      <c r="S17" s="27"/>
      <c r="T17" s="27"/>
      <c r="U17" s="27"/>
      <c r="V17" s="27"/>
      <c r="W17" s="27"/>
      <c r="X17" s="27"/>
      <c r="Y17" s="27"/>
      <c r="Z17" s="27"/>
    </row>
    <row r="18" spans="1:26" ht="14.3" customHeight="1">
      <c r="A18" s="27"/>
      <c r="B18" s="27"/>
      <c r="C18" s="27"/>
      <c r="D18" s="73"/>
      <c r="E18" s="27"/>
      <c r="F18" s="27"/>
      <c r="G18" s="27"/>
      <c r="H18" s="27"/>
      <c r="I18" s="27"/>
      <c r="J18" s="27"/>
      <c r="K18" s="27"/>
      <c r="L18" s="27"/>
      <c r="M18" s="27"/>
      <c r="N18" s="27"/>
      <c r="O18" s="27"/>
      <c r="P18" s="27"/>
      <c r="Q18" s="27"/>
      <c r="R18" s="27"/>
      <c r="S18" s="27"/>
      <c r="T18" s="27"/>
      <c r="U18" s="27"/>
      <c r="V18" s="27"/>
      <c r="W18" s="27"/>
      <c r="X18" s="27"/>
      <c r="Y18" s="27"/>
      <c r="Z18" s="27"/>
    </row>
    <row r="19" spans="1:26" ht="14.3" customHeight="1">
      <c r="A19" s="27"/>
      <c r="B19" s="27"/>
      <c r="C19" s="27"/>
      <c r="D19" s="73"/>
      <c r="E19" s="27"/>
      <c r="F19" s="27"/>
      <c r="G19" s="27"/>
      <c r="H19" s="27"/>
      <c r="I19" s="27"/>
      <c r="J19" s="27"/>
      <c r="K19" s="27"/>
      <c r="L19" s="27"/>
      <c r="M19" s="27"/>
      <c r="N19" s="27"/>
      <c r="O19" s="27"/>
      <c r="P19" s="27"/>
      <c r="Q19" s="27"/>
      <c r="R19" s="27"/>
      <c r="S19" s="27"/>
      <c r="T19" s="27"/>
      <c r="U19" s="27"/>
      <c r="V19" s="27"/>
      <c r="W19" s="27"/>
      <c r="X19" s="27"/>
      <c r="Y19" s="27"/>
      <c r="Z19" s="27"/>
    </row>
    <row r="20" spans="1:26" ht="14.3" customHeight="1">
      <c r="A20" s="27"/>
      <c r="B20" s="27"/>
      <c r="C20" s="27"/>
      <c r="D20" s="73"/>
      <c r="E20" s="27"/>
      <c r="F20" s="27"/>
      <c r="G20" s="27"/>
      <c r="H20" s="27"/>
      <c r="I20" s="27"/>
      <c r="J20" s="27"/>
      <c r="K20" s="27"/>
      <c r="L20" s="27"/>
      <c r="M20" s="27"/>
      <c r="N20" s="27"/>
      <c r="O20" s="27"/>
      <c r="P20" s="27"/>
      <c r="Q20" s="27"/>
      <c r="R20" s="27"/>
      <c r="S20" s="27"/>
      <c r="T20" s="27"/>
      <c r="U20" s="27"/>
      <c r="V20" s="27"/>
      <c r="W20" s="27"/>
      <c r="X20" s="27"/>
      <c r="Y20" s="27"/>
      <c r="Z20" s="27"/>
    </row>
    <row r="21" spans="1:26" ht="14.3" customHeight="1">
      <c r="A21" s="27"/>
      <c r="B21" s="27"/>
      <c r="C21" s="27"/>
      <c r="D21" s="73"/>
      <c r="E21" s="27"/>
      <c r="F21" s="27"/>
      <c r="G21" s="27"/>
      <c r="H21" s="27"/>
      <c r="I21" s="27"/>
      <c r="J21" s="27"/>
      <c r="K21" s="27"/>
      <c r="L21" s="27"/>
      <c r="M21" s="27"/>
      <c r="N21" s="27"/>
      <c r="O21" s="27"/>
      <c r="P21" s="27"/>
      <c r="Q21" s="27"/>
      <c r="R21" s="27"/>
      <c r="S21" s="27"/>
      <c r="T21" s="27"/>
      <c r="U21" s="27"/>
      <c r="V21" s="27"/>
      <c r="W21" s="27"/>
      <c r="X21" s="27"/>
      <c r="Y21" s="27"/>
      <c r="Z21" s="27"/>
    </row>
    <row r="22" spans="1:26" ht="14.3" customHeight="1">
      <c r="A22" s="27"/>
      <c r="B22" s="27"/>
      <c r="C22" s="27"/>
      <c r="D22" s="73"/>
      <c r="E22" s="27"/>
      <c r="F22" s="27"/>
      <c r="G22" s="27"/>
      <c r="H22" s="27"/>
      <c r="I22" s="27"/>
      <c r="J22" s="27"/>
      <c r="K22" s="27"/>
      <c r="L22" s="27"/>
      <c r="M22" s="27"/>
      <c r="N22" s="27"/>
      <c r="O22" s="27"/>
      <c r="P22" s="27"/>
      <c r="Q22" s="27"/>
      <c r="R22" s="27"/>
      <c r="S22" s="27"/>
      <c r="T22" s="27"/>
      <c r="U22" s="27"/>
      <c r="V22" s="27"/>
      <c r="W22" s="27"/>
      <c r="X22" s="27"/>
      <c r="Y22" s="27"/>
      <c r="Z22" s="27"/>
    </row>
    <row r="23" spans="1:26" ht="14.3" customHeight="1">
      <c r="A23" s="27"/>
      <c r="B23" s="27"/>
      <c r="C23" s="27"/>
      <c r="D23" s="73"/>
      <c r="E23" s="27"/>
      <c r="F23" s="27"/>
      <c r="G23" s="27"/>
      <c r="H23" s="27"/>
      <c r="I23" s="27"/>
      <c r="J23" s="27"/>
      <c r="K23" s="27"/>
      <c r="L23" s="27"/>
      <c r="M23" s="27"/>
      <c r="N23" s="27"/>
      <c r="O23" s="27"/>
      <c r="P23" s="27"/>
      <c r="Q23" s="27"/>
      <c r="R23" s="27"/>
      <c r="S23" s="27"/>
      <c r="T23" s="27"/>
      <c r="U23" s="27"/>
      <c r="V23" s="27"/>
      <c r="W23" s="27"/>
      <c r="X23" s="27"/>
      <c r="Y23" s="27"/>
      <c r="Z23" s="27"/>
    </row>
    <row r="24" spans="1:26" ht="14.3" customHeight="1">
      <c r="A24" s="27"/>
      <c r="B24" s="27"/>
      <c r="C24" s="27"/>
      <c r="D24" s="73"/>
      <c r="E24" s="27"/>
      <c r="F24" s="27"/>
      <c r="G24" s="27"/>
      <c r="H24" s="27"/>
      <c r="I24" s="27"/>
      <c r="J24" s="27"/>
      <c r="K24" s="27"/>
      <c r="L24" s="27"/>
      <c r="M24" s="27"/>
      <c r="N24" s="27"/>
      <c r="O24" s="27"/>
      <c r="P24" s="27"/>
      <c r="Q24" s="27"/>
      <c r="R24" s="27"/>
      <c r="S24" s="27"/>
      <c r="T24" s="27"/>
      <c r="U24" s="27"/>
      <c r="V24" s="27"/>
      <c r="W24" s="27"/>
      <c r="X24" s="27"/>
      <c r="Y24" s="27"/>
      <c r="Z24" s="27"/>
    </row>
    <row r="25" spans="1:26" ht="14.3" customHeight="1">
      <c r="A25" s="27"/>
      <c r="B25" s="27"/>
      <c r="C25" s="27"/>
      <c r="D25" s="73"/>
      <c r="E25" s="27"/>
      <c r="F25" s="27"/>
      <c r="G25" s="27"/>
      <c r="H25" s="27"/>
      <c r="I25" s="27"/>
      <c r="J25" s="27"/>
      <c r="K25" s="27"/>
      <c r="L25" s="27"/>
      <c r="M25" s="27"/>
      <c r="N25" s="27"/>
      <c r="O25" s="27"/>
      <c r="P25" s="27"/>
      <c r="Q25" s="27"/>
      <c r="R25" s="27"/>
      <c r="S25" s="27"/>
      <c r="T25" s="27"/>
      <c r="U25" s="27"/>
      <c r="V25" s="27"/>
      <c r="W25" s="27"/>
      <c r="X25" s="27"/>
      <c r="Y25" s="27"/>
      <c r="Z25" s="27"/>
    </row>
    <row r="26" spans="1:26" ht="14.3" customHeight="1">
      <c r="A26" s="27"/>
      <c r="B26" s="27"/>
      <c r="C26" s="27"/>
      <c r="D26" s="73"/>
      <c r="E26" s="27"/>
      <c r="F26" s="27"/>
      <c r="G26" s="27"/>
      <c r="H26" s="27"/>
      <c r="I26" s="27"/>
      <c r="J26" s="27"/>
      <c r="K26" s="27"/>
      <c r="L26" s="27"/>
      <c r="M26" s="27"/>
      <c r="N26" s="27"/>
      <c r="O26" s="27"/>
      <c r="P26" s="27"/>
      <c r="Q26" s="27"/>
      <c r="R26" s="27"/>
      <c r="S26" s="27"/>
      <c r="T26" s="27"/>
      <c r="U26" s="27"/>
      <c r="V26" s="27"/>
      <c r="W26" s="27"/>
      <c r="X26" s="27"/>
      <c r="Y26" s="27"/>
      <c r="Z26" s="27"/>
    </row>
    <row r="27" spans="1:26" ht="14.3" customHeight="1">
      <c r="A27" s="27"/>
      <c r="B27" s="27"/>
      <c r="C27" s="27"/>
      <c r="D27" s="73"/>
      <c r="E27" s="27"/>
      <c r="F27" s="27"/>
      <c r="G27" s="27"/>
      <c r="H27" s="27"/>
      <c r="I27" s="27"/>
      <c r="J27" s="27"/>
      <c r="K27" s="27"/>
      <c r="L27" s="27"/>
      <c r="M27" s="27"/>
      <c r="N27" s="27"/>
      <c r="O27" s="27"/>
      <c r="P27" s="27"/>
      <c r="Q27" s="27"/>
      <c r="R27" s="27"/>
      <c r="S27" s="27"/>
      <c r="T27" s="27"/>
      <c r="U27" s="27"/>
      <c r="V27" s="27"/>
      <c r="W27" s="27"/>
      <c r="X27" s="27"/>
      <c r="Y27" s="27"/>
      <c r="Z27" s="27"/>
    </row>
    <row r="28" spans="1:26" ht="14.3" customHeight="1">
      <c r="A28" s="27"/>
      <c r="B28" s="27"/>
      <c r="C28" s="27"/>
      <c r="D28" s="73"/>
      <c r="E28" s="27"/>
      <c r="F28" s="27"/>
      <c r="G28" s="27"/>
      <c r="H28" s="27"/>
      <c r="I28" s="27"/>
      <c r="J28" s="27"/>
      <c r="K28" s="27"/>
      <c r="L28" s="27"/>
      <c r="M28" s="27"/>
      <c r="N28" s="27"/>
      <c r="O28" s="27"/>
      <c r="P28" s="27"/>
      <c r="Q28" s="27"/>
      <c r="R28" s="27"/>
      <c r="S28" s="27"/>
      <c r="T28" s="27"/>
      <c r="U28" s="27"/>
      <c r="V28" s="27"/>
      <c r="W28" s="27"/>
      <c r="X28" s="27"/>
      <c r="Y28" s="27"/>
      <c r="Z28" s="27"/>
    </row>
    <row r="29" spans="1:26" ht="14.3" customHeight="1">
      <c r="A29" s="27"/>
      <c r="B29" s="27"/>
      <c r="C29" s="27"/>
      <c r="D29" s="73"/>
      <c r="E29" s="27"/>
      <c r="F29" s="27"/>
      <c r="G29" s="27"/>
      <c r="H29" s="27"/>
      <c r="I29" s="27"/>
      <c r="J29" s="27"/>
      <c r="K29" s="27"/>
      <c r="L29" s="27"/>
      <c r="M29" s="27"/>
      <c r="N29" s="27"/>
      <c r="O29" s="27"/>
      <c r="P29" s="27"/>
      <c r="Q29" s="27"/>
      <c r="R29" s="27"/>
      <c r="S29" s="27"/>
      <c r="T29" s="27"/>
      <c r="U29" s="27"/>
      <c r="V29" s="27"/>
      <c r="W29" s="27"/>
      <c r="X29" s="27"/>
      <c r="Y29" s="27"/>
      <c r="Z29" s="27"/>
    </row>
    <row r="30" spans="1:26" ht="14.3" customHeight="1">
      <c r="A30" s="27"/>
      <c r="B30" s="27"/>
      <c r="C30" s="27"/>
      <c r="D30" s="73"/>
      <c r="E30" s="27"/>
      <c r="F30" s="27"/>
      <c r="G30" s="27"/>
      <c r="H30" s="27"/>
      <c r="I30" s="27"/>
      <c r="J30" s="27"/>
      <c r="K30" s="27"/>
      <c r="L30" s="27"/>
      <c r="M30" s="27"/>
      <c r="N30" s="27"/>
      <c r="O30" s="27"/>
      <c r="P30" s="27"/>
      <c r="Q30" s="27"/>
      <c r="R30" s="27"/>
      <c r="S30" s="27"/>
      <c r="T30" s="27"/>
      <c r="U30" s="27"/>
      <c r="V30" s="27"/>
      <c r="W30" s="27"/>
      <c r="X30" s="27"/>
      <c r="Y30" s="27"/>
      <c r="Z30" s="27"/>
    </row>
    <row r="31" spans="1:26" ht="14.3" customHeight="1">
      <c r="A31" s="27"/>
      <c r="B31" s="27"/>
      <c r="C31" s="27"/>
      <c r="D31" s="73"/>
      <c r="E31" s="27"/>
      <c r="F31" s="27"/>
      <c r="G31" s="27"/>
      <c r="H31" s="27"/>
      <c r="I31" s="27"/>
      <c r="J31" s="27"/>
      <c r="K31" s="27"/>
      <c r="L31" s="27"/>
      <c r="M31" s="27"/>
      <c r="N31" s="27"/>
      <c r="O31" s="27"/>
      <c r="P31" s="27"/>
      <c r="Q31" s="27"/>
      <c r="R31" s="27"/>
      <c r="S31" s="27"/>
      <c r="T31" s="27"/>
      <c r="U31" s="27"/>
      <c r="V31" s="27"/>
      <c r="W31" s="27"/>
      <c r="X31" s="27"/>
      <c r="Y31" s="27"/>
      <c r="Z31" s="27"/>
    </row>
    <row r="32" spans="1:26" ht="14.3" customHeight="1">
      <c r="A32" s="27"/>
      <c r="B32" s="27"/>
      <c r="C32" s="27"/>
      <c r="D32" s="73"/>
      <c r="E32" s="27"/>
      <c r="F32" s="27"/>
      <c r="G32" s="27"/>
      <c r="H32" s="27"/>
      <c r="I32" s="27"/>
      <c r="J32" s="27"/>
      <c r="K32" s="27"/>
      <c r="L32" s="27"/>
      <c r="M32" s="27"/>
      <c r="N32" s="27"/>
      <c r="O32" s="27"/>
      <c r="P32" s="27"/>
      <c r="Q32" s="27"/>
      <c r="R32" s="27"/>
      <c r="S32" s="27"/>
      <c r="T32" s="27"/>
      <c r="U32" s="27"/>
      <c r="V32" s="27"/>
      <c r="W32" s="27"/>
      <c r="X32" s="27"/>
      <c r="Y32" s="27"/>
      <c r="Z32" s="27"/>
    </row>
    <row r="33" spans="1:26" ht="14.3" customHeight="1">
      <c r="A33" s="27"/>
      <c r="B33" s="27"/>
      <c r="C33" s="27"/>
      <c r="D33" s="73"/>
      <c r="E33" s="27"/>
      <c r="F33" s="27"/>
      <c r="G33" s="27"/>
      <c r="H33" s="27"/>
      <c r="I33" s="27"/>
      <c r="J33" s="27"/>
      <c r="K33" s="27"/>
      <c r="L33" s="27"/>
      <c r="M33" s="27"/>
      <c r="N33" s="27"/>
      <c r="O33" s="27"/>
      <c r="P33" s="27"/>
      <c r="Q33" s="27"/>
      <c r="R33" s="27"/>
      <c r="S33" s="27"/>
      <c r="T33" s="27"/>
      <c r="U33" s="27"/>
      <c r="V33" s="27"/>
      <c r="W33" s="27"/>
      <c r="X33" s="27"/>
      <c r="Y33" s="27"/>
      <c r="Z33" s="27"/>
    </row>
    <row r="34" spans="1:26" ht="14.3" customHeight="1">
      <c r="A34" s="27"/>
      <c r="B34" s="27"/>
      <c r="C34" s="27"/>
      <c r="D34" s="73"/>
      <c r="E34" s="27"/>
      <c r="F34" s="27"/>
      <c r="G34" s="27"/>
      <c r="H34" s="27"/>
      <c r="I34" s="27"/>
      <c r="J34" s="27"/>
      <c r="K34" s="27"/>
      <c r="L34" s="27"/>
      <c r="M34" s="27"/>
      <c r="N34" s="27"/>
      <c r="O34" s="27"/>
      <c r="P34" s="27"/>
      <c r="Q34" s="27"/>
      <c r="R34" s="27"/>
      <c r="S34" s="27"/>
      <c r="T34" s="27"/>
      <c r="U34" s="27"/>
      <c r="V34" s="27"/>
      <c r="W34" s="27"/>
      <c r="X34" s="27"/>
      <c r="Y34" s="27"/>
      <c r="Z34" s="27"/>
    </row>
    <row r="35" spans="1:26" ht="14.3" customHeight="1">
      <c r="A35" s="27"/>
      <c r="B35" s="27"/>
      <c r="C35" s="27"/>
      <c r="D35" s="73"/>
      <c r="E35" s="27"/>
      <c r="F35" s="27"/>
      <c r="G35" s="27"/>
      <c r="H35" s="27"/>
      <c r="I35" s="27"/>
      <c r="J35" s="27"/>
      <c r="K35" s="27"/>
      <c r="L35" s="27"/>
      <c r="M35" s="27"/>
      <c r="N35" s="27"/>
      <c r="O35" s="27"/>
      <c r="P35" s="27"/>
      <c r="Q35" s="27"/>
      <c r="R35" s="27"/>
      <c r="S35" s="27"/>
      <c r="T35" s="27"/>
      <c r="U35" s="27"/>
      <c r="V35" s="27"/>
      <c r="W35" s="27"/>
      <c r="X35" s="27"/>
      <c r="Y35" s="27"/>
      <c r="Z35" s="27"/>
    </row>
    <row r="36" spans="1:26" ht="14.3" customHeight="1">
      <c r="A36" s="27"/>
      <c r="B36" s="27"/>
      <c r="C36" s="27"/>
      <c r="D36" s="73"/>
      <c r="E36" s="27"/>
      <c r="F36" s="27"/>
      <c r="G36" s="27"/>
      <c r="H36" s="27"/>
      <c r="I36" s="27"/>
      <c r="J36" s="27"/>
      <c r="K36" s="27"/>
      <c r="L36" s="27"/>
      <c r="M36" s="27"/>
      <c r="N36" s="27"/>
      <c r="O36" s="27"/>
      <c r="P36" s="27"/>
      <c r="Q36" s="27"/>
      <c r="R36" s="27"/>
      <c r="S36" s="27"/>
      <c r="T36" s="27"/>
      <c r="U36" s="27"/>
      <c r="V36" s="27"/>
      <c r="W36" s="27"/>
      <c r="X36" s="27"/>
      <c r="Y36" s="27"/>
      <c r="Z36" s="27"/>
    </row>
    <row r="37" spans="1:26" ht="14.3" customHeight="1">
      <c r="A37" s="27"/>
      <c r="B37" s="27"/>
      <c r="C37" s="27"/>
      <c r="D37" s="73"/>
      <c r="E37" s="27"/>
      <c r="F37" s="27"/>
      <c r="G37" s="27"/>
      <c r="H37" s="27"/>
      <c r="I37" s="27"/>
      <c r="J37" s="27"/>
      <c r="K37" s="27"/>
      <c r="L37" s="27"/>
      <c r="M37" s="27"/>
      <c r="N37" s="27"/>
      <c r="O37" s="27"/>
      <c r="P37" s="27"/>
      <c r="Q37" s="27"/>
      <c r="R37" s="27"/>
      <c r="S37" s="27"/>
      <c r="T37" s="27"/>
      <c r="U37" s="27"/>
      <c r="V37" s="27"/>
      <c r="W37" s="27"/>
      <c r="X37" s="27"/>
      <c r="Y37" s="27"/>
      <c r="Z37" s="27"/>
    </row>
    <row r="38" spans="1:26" ht="14.3" customHeight="1">
      <c r="A38" s="27"/>
      <c r="B38" s="27"/>
      <c r="C38" s="27"/>
      <c r="D38" s="73"/>
      <c r="E38" s="27"/>
      <c r="F38" s="27"/>
      <c r="G38" s="27"/>
      <c r="H38" s="27"/>
      <c r="I38" s="27"/>
      <c r="J38" s="27"/>
      <c r="K38" s="27"/>
      <c r="L38" s="27"/>
      <c r="M38" s="27"/>
      <c r="N38" s="27"/>
      <c r="O38" s="27"/>
      <c r="P38" s="27"/>
      <c r="Q38" s="27"/>
      <c r="R38" s="27"/>
      <c r="S38" s="27"/>
      <c r="T38" s="27"/>
      <c r="U38" s="27"/>
      <c r="V38" s="27"/>
      <c r="W38" s="27"/>
      <c r="X38" s="27"/>
      <c r="Y38" s="27"/>
      <c r="Z38" s="27"/>
    </row>
    <row r="39" spans="1:26" ht="14.3" customHeight="1">
      <c r="A39" s="27"/>
      <c r="B39" s="27"/>
      <c r="C39" s="27"/>
      <c r="D39" s="73"/>
      <c r="E39" s="27"/>
      <c r="F39" s="27"/>
      <c r="G39" s="27"/>
      <c r="H39" s="27"/>
      <c r="I39" s="27"/>
      <c r="J39" s="27"/>
      <c r="K39" s="27"/>
      <c r="L39" s="27"/>
      <c r="M39" s="27"/>
      <c r="N39" s="27"/>
      <c r="O39" s="27"/>
      <c r="P39" s="27"/>
      <c r="Q39" s="27"/>
      <c r="R39" s="27"/>
      <c r="S39" s="27"/>
      <c r="T39" s="27"/>
      <c r="U39" s="27"/>
      <c r="V39" s="27"/>
      <c r="W39" s="27"/>
      <c r="X39" s="27"/>
      <c r="Y39" s="27"/>
      <c r="Z39" s="27"/>
    </row>
    <row r="40" spans="1:26" ht="14.3" customHeight="1">
      <c r="A40" s="27"/>
      <c r="B40" s="27"/>
      <c r="C40" s="27"/>
      <c r="D40" s="73"/>
      <c r="E40" s="27"/>
      <c r="F40" s="27"/>
      <c r="G40" s="27"/>
      <c r="H40" s="27"/>
      <c r="I40" s="27"/>
      <c r="J40" s="27"/>
      <c r="K40" s="27"/>
      <c r="L40" s="27"/>
      <c r="M40" s="27"/>
      <c r="N40" s="27"/>
      <c r="O40" s="27"/>
      <c r="P40" s="27"/>
      <c r="Q40" s="27"/>
      <c r="R40" s="27"/>
      <c r="S40" s="27"/>
      <c r="T40" s="27"/>
      <c r="U40" s="27"/>
      <c r="V40" s="27"/>
      <c r="W40" s="27"/>
      <c r="X40" s="27"/>
      <c r="Y40" s="27"/>
      <c r="Z40" s="27"/>
    </row>
    <row r="41" spans="1:26" ht="14.3" customHeight="1">
      <c r="A41" s="27"/>
      <c r="B41" s="27"/>
      <c r="C41" s="27"/>
      <c r="D41" s="73"/>
      <c r="E41" s="27"/>
      <c r="F41" s="27"/>
      <c r="G41" s="27"/>
      <c r="H41" s="27"/>
      <c r="I41" s="27"/>
      <c r="J41" s="27"/>
      <c r="K41" s="27"/>
      <c r="L41" s="27"/>
      <c r="M41" s="27"/>
      <c r="N41" s="27"/>
      <c r="O41" s="27"/>
      <c r="P41" s="27"/>
      <c r="Q41" s="27"/>
      <c r="R41" s="27"/>
      <c r="S41" s="27"/>
      <c r="T41" s="27"/>
      <c r="U41" s="27"/>
      <c r="V41" s="27"/>
      <c r="W41" s="27"/>
      <c r="X41" s="27"/>
      <c r="Y41" s="27"/>
      <c r="Z41" s="27"/>
    </row>
    <row r="42" spans="1:26" ht="14.3" customHeight="1">
      <c r="A42" s="27"/>
      <c r="B42" s="27"/>
      <c r="C42" s="27"/>
      <c r="D42" s="73"/>
      <c r="E42" s="27"/>
      <c r="F42" s="27"/>
      <c r="G42" s="27"/>
      <c r="H42" s="27"/>
      <c r="I42" s="27"/>
      <c r="J42" s="27"/>
      <c r="K42" s="27"/>
      <c r="L42" s="27"/>
      <c r="M42" s="27"/>
      <c r="N42" s="27"/>
      <c r="O42" s="27"/>
      <c r="P42" s="27"/>
      <c r="Q42" s="27"/>
      <c r="R42" s="27"/>
      <c r="S42" s="27"/>
      <c r="T42" s="27"/>
      <c r="U42" s="27"/>
      <c r="V42" s="27"/>
      <c r="W42" s="27"/>
      <c r="X42" s="27"/>
      <c r="Y42" s="27"/>
      <c r="Z42" s="27"/>
    </row>
    <row r="43" spans="1:26" ht="14.3" customHeight="1">
      <c r="A43" s="27"/>
      <c r="B43" s="27"/>
      <c r="C43" s="27"/>
      <c r="D43" s="73"/>
      <c r="E43" s="27"/>
      <c r="F43" s="27"/>
      <c r="G43" s="27"/>
      <c r="H43" s="27"/>
      <c r="I43" s="27"/>
      <c r="J43" s="27"/>
      <c r="K43" s="27"/>
      <c r="L43" s="27"/>
      <c r="M43" s="27"/>
      <c r="N43" s="27"/>
      <c r="O43" s="27"/>
      <c r="P43" s="27"/>
      <c r="Q43" s="27"/>
      <c r="R43" s="27"/>
      <c r="S43" s="27"/>
      <c r="T43" s="27"/>
      <c r="U43" s="27"/>
      <c r="V43" s="27"/>
      <c r="W43" s="27"/>
      <c r="X43" s="27"/>
      <c r="Y43" s="27"/>
      <c r="Z43" s="27"/>
    </row>
    <row r="44" spans="1:26" ht="14.3" customHeight="1">
      <c r="A44" s="27"/>
      <c r="B44" s="27"/>
      <c r="C44" s="27"/>
      <c r="D44" s="73"/>
      <c r="E44" s="27"/>
      <c r="F44" s="27"/>
      <c r="G44" s="27"/>
      <c r="H44" s="27"/>
      <c r="I44" s="27"/>
      <c r="J44" s="27"/>
      <c r="K44" s="27"/>
      <c r="L44" s="27"/>
      <c r="M44" s="27"/>
      <c r="N44" s="27"/>
      <c r="O44" s="27"/>
      <c r="P44" s="27"/>
      <c r="Q44" s="27"/>
      <c r="R44" s="27"/>
      <c r="S44" s="27"/>
      <c r="T44" s="27"/>
      <c r="U44" s="27"/>
      <c r="V44" s="27"/>
      <c r="W44" s="27"/>
      <c r="X44" s="27"/>
      <c r="Y44" s="27"/>
      <c r="Z44" s="27"/>
    </row>
    <row r="45" spans="1:26" ht="14.3" customHeight="1">
      <c r="A45" s="27"/>
      <c r="B45" s="27"/>
      <c r="C45" s="27"/>
      <c r="D45" s="73"/>
      <c r="E45" s="27"/>
      <c r="F45" s="27"/>
      <c r="G45" s="27"/>
      <c r="H45" s="27"/>
      <c r="I45" s="27"/>
      <c r="J45" s="27"/>
      <c r="K45" s="27"/>
      <c r="L45" s="27"/>
      <c r="M45" s="27"/>
      <c r="N45" s="27"/>
      <c r="O45" s="27"/>
      <c r="P45" s="27"/>
      <c r="Q45" s="27"/>
      <c r="R45" s="27"/>
      <c r="S45" s="27"/>
      <c r="T45" s="27"/>
      <c r="U45" s="27"/>
      <c r="V45" s="27"/>
      <c r="W45" s="27"/>
      <c r="X45" s="27"/>
      <c r="Y45" s="27"/>
      <c r="Z45" s="27"/>
    </row>
    <row r="46" spans="1:26" ht="14.3" customHeight="1">
      <c r="A46" s="27"/>
      <c r="B46" s="27"/>
      <c r="C46" s="27"/>
      <c r="D46" s="73"/>
      <c r="E46" s="27"/>
      <c r="F46" s="27"/>
      <c r="G46" s="27"/>
      <c r="H46" s="27"/>
      <c r="I46" s="27"/>
      <c r="J46" s="27"/>
      <c r="K46" s="27"/>
      <c r="L46" s="27"/>
      <c r="M46" s="27"/>
      <c r="N46" s="27"/>
      <c r="O46" s="27"/>
      <c r="P46" s="27"/>
      <c r="Q46" s="27"/>
      <c r="R46" s="27"/>
      <c r="S46" s="27"/>
      <c r="T46" s="27"/>
      <c r="U46" s="27"/>
      <c r="V46" s="27"/>
      <c r="W46" s="27"/>
      <c r="X46" s="27"/>
      <c r="Y46" s="27"/>
      <c r="Z46" s="27"/>
    </row>
    <row r="47" spans="1:26" ht="14.3" customHeight="1">
      <c r="A47" s="27"/>
      <c r="B47" s="27"/>
      <c r="C47" s="27"/>
      <c r="D47" s="73"/>
      <c r="E47" s="27"/>
      <c r="F47" s="27"/>
      <c r="G47" s="27"/>
      <c r="H47" s="27"/>
      <c r="I47" s="27"/>
      <c r="J47" s="27"/>
      <c r="K47" s="27"/>
      <c r="L47" s="27"/>
      <c r="M47" s="27"/>
      <c r="N47" s="27"/>
      <c r="O47" s="27"/>
      <c r="P47" s="27"/>
      <c r="Q47" s="27"/>
      <c r="R47" s="27"/>
      <c r="S47" s="27"/>
      <c r="T47" s="27"/>
      <c r="U47" s="27"/>
      <c r="V47" s="27"/>
      <c r="W47" s="27"/>
      <c r="X47" s="27"/>
      <c r="Y47" s="27"/>
      <c r="Z47" s="27"/>
    </row>
    <row r="48" spans="1:26" ht="14.3" customHeight="1">
      <c r="A48" s="27"/>
      <c r="B48" s="27"/>
      <c r="C48" s="27"/>
      <c r="D48" s="73"/>
      <c r="E48" s="27"/>
      <c r="F48" s="27"/>
      <c r="G48" s="27"/>
      <c r="H48" s="27"/>
      <c r="I48" s="27"/>
      <c r="J48" s="27"/>
      <c r="K48" s="27"/>
      <c r="L48" s="27"/>
      <c r="M48" s="27"/>
      <c r="N48" s="27"/>
      <c r="O48" s="27"/>
      <c r="P48" s="27"/>
      <c r="Q48" s="27"/>
      <c r="R48" s="27"/>
      <c r="S48" s="27"/>
      <c r="T48" s="27"/>
      <c r="U48" s="27"/>
      <c r="V48" s="27"/>
      <c r="W48" s="27"/>
      <c r="X48" s="27"/>
      <c r="Y48" s="27"/>
      <c r="Z48" s="27"/>
    </row>
    <row r="49" spans="1:26" ht="14.3" customHeight="1">
      <c r="A49" s="27"/>
      <c r="B49" s="27"/>
      <c r="C49" s="27"/>
      <c r="D49" s="73"/>
      <c r="E49" s="27"/>
      <c r="F49" s="27"/>
      <c r="G49" s="27"/>
      <c r="H49" s="27"/>
      <c r="I49" s="27"/>
      <c r="J49" s="27"/>
      <c r="K49" s="27"/>
      <c r="L49" s="27"/>
      <c r="M49" s="27"/>
      <c r="N49" s="27"/>
      <c r="O49" s="27"/>
      <c r="P49" s="27"/>
      <c r="Q49" s="27"/>
      <c r="R49" s="27"/>
      <c r="S49" s="27"/>
      <c r="T49" s="27"/>
      <c r="U49" s="27"/>
      <c r="V49" s="27"/>
      <c r="W49" s="27"/>
      <c r="X49" s="27"/>
      <c r="Y49" s="27"/>
      <c r="Z49" s="27"/>
    </row>
    <row r="50" spans="1:26" ht="14.3" customHeight="1">
      <c r="A50" s="27"/>
      <c r="B50" s="27"/>
      <c r="C50" s="27"/>
      <c r="D50" s="73"/>
      <c r="E50" s="27"/>
      <c r="F50" s="27"/>
      <c r="G50" s="27"/>
      <c r="H50" s="27"/>
      <c r="I50" s="27"/>
      <c r="J50" s="27"/>
      <c r="K50" s="27"/>
      <c r="L50" s="27"/>
      <c r="M50" s="27"/>
      <c r="N50" s="27"/>
      <c r="O50" s="27"/>
      <c r="P50" s="27"/>
      <c r="Q50" s="27"/>
      <c r="R50" s="27"/>
      <c r="S50" s="27"/>
      <c r="T50" s="27"/>
      <c r="U50" s="27"/>
      <c r="V50" s="27"/>
      <c r="W50" s="27"/>
      <c r="X50" s="27"/>
      <c r="Y50" s="27"/>
      <c r="Z50" s="27"/>
    </row>
    <row r="51" spans="1:26" ht="14.3" customHeight="1">
      <c r="A51" s="27"/>
      <c r="B51" s="27"/>
      <c r="C51" s="27"/>
      <c r="D51" s="73"/>
      <c r="E51" s="27"/>
      <c r="F51" s="27"/>
      <c r="G51" s="27"/>
      <c r="H51" s="27"/>
      <c r="I51" s="27"/>
      <c r="J51" s="27"/>
      <c r="K51" s="27"/>
      <c r="L51" s="27"/>
      <c r="M51" s="27"/>
      <c r="N51" s="27"/>
      <c r="O51" s="27"/>
      <c r="P51" s="27"/>
      <c r="Q51" s="27"/>
      <c r="R51" s="27"/>
      <c r="S51" s="27"/>
      <c r="T51" s="27"/>
      <c r="U51" s="27"/>
      <c r="V51" s="27"/>
      <c r="W51" s="27"/>
      <c r="X51" s="27"/>
      <c r="Y51" s="27"/>
      <c r="Z51" s="27"/>
    </row>
    <row r="52" spans="1:26" ht="14.3" customHeight="1">
      <c r="A52" s="27"/>
      <c r="B52" s="27"/>
      <c r="C52" s="27"/>
      <c r="D52" s="73"/>
      <c r="E52" s="27"/>
      <c r="F52" s="27"/>
      <c r="G52" s="27"/>
      <c r="H52" s="27"/>
      <c r="I52" s="27"/>
      <c r="J52" s="27"/>
      <c r="K52" s="27"/>
      <c r="L52" s="27"/>
      <c r="M52" s="27"/>
      <c r="N52" s="27"/>
      <c r="O52" s="27"/>
      <c r="P52" s="27"/>
      <c r="Q52" s="27"/>
      <c r="R52" s="27"/>
      <c r="S52" s="27"/>
      <c r="T52" s="27"/>
      <c r="U52" s="27"/>
      <c r="V52" s="27"/>
      <c r="W52" s="27"/>
      <c r="X52" s="27"/>
      <c r="Y52" s="27"/>
      <c r="Z52" s="27"/>
    </row>
    <row r="53" spans="1:26" ht="14.3" customHeight="1">
      <c r="A53" s="27"/>
      <c r="B53" s="27"/>
      <c r="C53" s="27"/>
      <c r="D53" s="73"/>
      <c r="E53" s="27"/>
      <c r="F53" s="27"/>
      <c r="G53" s="27"/>
      <c r="H53" s="27"/>
      <c r="I53" s="27"/>
      <c r="J53" s="27"/>
      <c r="K53" s="27"/>
      <c r="L53" s="27"/>
      <c r="M53" s="27"/>
      <c r="N53" s="27"/>
      <c r="O53" s="27"/>
      <c r="P53" s="27"/>
      <c r="Q53" s="27"/>
      <c r="R53" s="27"/>
      <c r="S53" s="27"/>
      <c r="T53" s="27"/>
      <c r="U53" s="27"/>
      <c r="V53" s="27"/>
      <c r="W53" s="27"/>
      <c r="X53" s="27"/>
      <c r="Y53" s="27"/>
      <c r="Z53" s="27"/>
    </row>
    <row r="54" spans="1:26" ht="14.3" customHeight="1">
      <c r="A54" s="27"/>
      <c r="B54" s="27"/>
      <c r="C54" s="27"/>
      <c r="D54" s="73"/>
      <c r="E54" s="27"/>
      <c r="F54" s="27"/>
      <c r="G54" s="27"/>
      <c r="H54" s="27"/>
      <c r="I54" s="27"/>
      <c r="J54" s="27"/>
      <c r="K54" s="27"/>
      <c r="L54" s="27"/>
      <c r="M54" s="27"/>
      <c r="N54" s="27"/>
      <c r="O54" s="27"/>
      <c r="P54" s="27"/>
      <c r="Q54" s="27"/>
      <c r="R54" s="27"/>
      <c r="S54" s="27"/>
      <c r="T54" s="27"/>
      <c r="U54" s="27"/>
      <c r="V54" s="27"/>
      <c r="W54" s="27"/>
      <c r="X54" s="27"/>
      <c r="Y54" s="27"/>
      <c r="Z54" s="27"/>
    </row>
    <row r="55" spans="1:26" ht="14.3" customHeight="1">
      <c r="A55" s="27"/>
      <c r="B55" s="27"/>
      <c r="C55" s="27"/>
      <c r="D55" s="73"/>
      <c r="E55" s="27"/>
      <c r="F55" s="27"/>
      <c r="G55" s="27"/>
      <c r="H55" s="27"/>
      <c r="I55" s="27"/>
      <c r="J55" s="27"/>
      <c r="K55" s="27"/>
      <c r="L55" s="27"/>
      <c r="M55" s="27"/>
      <c r="N55" s="27"/>
      <c r="O55" s="27"/>
      <c r="P55" s="27"/>
      <c r="Q55" s="27"/>
      <c r="R55" s="27"/>
      <c r="S55" s="27"/>
      <c r="T55" s="27"/>
      <c r="U55" s="27"/>
      <c r="V55" s="27"/>
      <c r="W55" s="27"/>
      <c r="X55" s="27"/>
      <c r="Y55" s="27"/>
      <c r="Z55" s="27"/>
    </row>
    <row r="56" spans="1:26" ht="14.3" customHeight="1">
      <c r="A56" s="27"/>
      <c r="B56" s="27"/>
      <c r="C56" s="27"/>
      <c r="D56" s="73"/>
      <c r="E56" s="27"/>
      <c r="F56" s="27"/>
      <c r="G56" s="27"/>
      <c r="H56" s="27"/>
      <c r="I56" s="27"/>
      <c r="J56" s="27"/>
      <c r="K56" s="27"/>
      <c r="L56" s="27"/>
      <c r="M56" s="27"/>
      <c r="N56" s="27"/>
      <c r="O56" s="27"/>
      <c r="P56" s="27"/>
      <c r="Q56" s="27"/>
      <c r="R56" s="27"/>
      <c r="S56" s="27"/>
      <c r="T56" s="27"/>
      <c r="U56" s="27"/>
      <c r="V56" s="27"/>
      <c r="W56" s="27"/>
      <c r="X56" s="27"/>
      <c r="Y56" s="27"/>
      <c r="Z56" s="27"/>
    </row>
    <row r="57" spans="1:26" ht="14.3" customHeight="1">
      <c r="A57" s="27"/>
      <c r="B57" s="27"/>
      <c r="C57" s="27"/>
      <c r="D57" s="73"/>
      <c r="E57" s="27"/>
      <c r="F57" s="27"/>
      <c r="G57" s="27"/>
      <c r="H57" s="27"/>
      <c r="I57" s="27"/>
      <c r="J57" s="27"/>
      <c r="K57" s="27"/>
      <c r="L57" s="27"/>
      <c r="M57" s="27"/>
      <c r="N57" s="27"/>
      <c r="O57" s="27"/>
      <c r="P57" s="27"/>
      <c r="Q57" s="27"/>
      <c r="R57" s="27"/>
      <c r="S57" s="27"/>
      <c r="T57" s="27"/>
      <c r="U57" s="27"/>
      <c r="V57" s="27"/>
      <c r="W57" s="27"/>
      <c r="X57" s="27"/>
      <c r="Y57" s="27"/>
      <c r="Z57" s="27"/>
    </row>
    <row r="58" spans="1:26" ht="14.3" customHeight="1">
      <c r="A58" s="27"/>
      <c r="B58" s="27"/>
      <c r="C58" s="27"/>
      <c r="D58" s="73"/>
      <c r="E58" s="27"/>
      <c r="F58" s="27"/>
      <c r="G58" s="27"/>
      <c r="H58" s="27"/>
      <c r="I58" s="27"/>
      <c r="J58" s="27"/>
      <c r="K58" s="27"/>
      <c r="L58" s="27"/>
      <c r="M58" s="27"/>
      <c r="N58" s="27"/>
      <c r="O58" s="27"/>
      <c r="P58" s="27"/>
      <c r="Q58" s="27"/>
      <c r="R58" s="27"/>
      <c r="S58" s="27"/>
      <c r="T58" s="27"/>
      <c r="U58" s="27"/>
      <c r="V58" s="27"/>
      <c r="W58" s="27"/>
      <c r="X58" s="27"/>
      <c r="Y58" s="27"/>
      <c r="Z58" s="27"/>
    </row>
    <row r="59" spans="1:26" ht="14.3" customHeight="1">
      <c r="A59" s="27"/>
      <c r="B59" s="27"/>
      <c r="C59" s="27"/>
      <c r="D59" s="73"/>
      <c r="E59" s="27"/>
      <c r="F59" s="27"/>
      <c r="G59" s="27"/>
      <c r="H59" s="27"/>
      <c r="I59" s="27"/>
      <c r="J59" s="27"/>
      <c r="K59" s="27"/>
      <c r="L59" s="27"/>
      <c r="M59" s="27"/>
      <c r="N59" s="27"/>
      <c r="O59" s="27"/>
      <c r="P59" s="27"/>
      <c r="Q59" s="27"/>
      <c r="R59" s="27"/>
      <c r="S59" s="27"/>
      <c r="T59" s="27"/>
      <c r="U59" s="27"/>
      <c r="V59" s="27"/>
      <c r="W59" s="27"/>
      <c r="X59" s="27"/>
      <c r="Y59" s="27"/>
      <c r="Z59" s="27"/>
    </row>
    <row r="60" spans="1:26" ht="14.3" customHeight="1">
      <c r="A60" s="27"/>
      <c r="B60" s="27"/>
      <c r="C60" s="27"/>
      <c r="D60" s="73"/>
      <c r="E60" s="27"/>
      <c r="F60" s="27"/>
      <c r="G60" s="27"/>
      <c r="H60" s="27"/>
      <c r="I60" s="27"/>
      <c r="J60" s="27"/>
      <c r="K60" s="27"/>
      <c r="L60" s="27"/>
      <c r="M60" s="27"/>
      <c r="N60" s="27"/>
      <c r="O60" s="27"/>
      <c r="P60" s="27"/>
      <c r="Q60" s="27"/>
      <c r="R60" s="27"/>
      <c r="S60" s="27"/>
      <c r="T60" s="27"/>
      <c r="U60" s="27"/>
      <c r="V60" s="27"/>
      <c r="W60" s="27"/>
      <c r="X60" s="27"/>
      <c r="Y60" s="27"/>
      <c r="Z60" s="27"/>
    </row>
    <row r="61" spans="1:26" ht="14.3" customHeight="1">
      <c r="A61" s="27"/>
      <c r="B61" s="27"/>
      <c r="C61" s="27"/>
      <c r="D61" s="73"/>
      <c r="E61" s="27"/>
      <c r="F61" s="27"/>
      <c r="G61" s="27"/>
      <c r="H61" s="27"/>
      <c r="I61" s="27"/>
      <c r="J61" s="27"/>
      <c r="K61" s="27"/>
      <c r="L61" s="27"/>
      <c r="M61" s="27"/>
      <c r="N61" s="27"/>
      <c r="O61" s="27"/>
      <c r="P61" s="27"/>
      <c r="Q61" s="27"/>
      <c r="R61" s="27"/>
      <c r="S61" s="27"/>
      <c r="T61" s="27"/>
      <c r="U61" s="27"/>
      <c r="V61" s="27"/>
      <c r="W61" s="27"/>
      <c r="X61" s="27"/>
      <c r="Y61" s="27"/>
      <c r="Z61" s="27"/>
    </row>
    <row r="62" spans="1:26" ht="14.3" customHeight="1">
      <c r="A62" s="27"/>
      <c r="B62" s="27"/>
      <c r="C62" s="27"/>
      <c r="D62" s="73"/>
      <c r="E62" s="27"/>
      <c r="F62" s="27"/>
      <c r="G62" s="27"/>
      <c r="H62" s="27"/>
      <c r="I62" s="27"/>
      <c r="J62" s="27"/>
      <c r="K62" s="27"/>
      <c r="L62" s="27"/>
      <c r="M62" s="27"/>
      <c r="N62" s="27"/>
      <c r="O62" s="27"/>
      <c r="P62" s="27"/>
      <c r="Q62" s="27"/>
      <c r="R62" s="27"/>
      <c r="S62" s="27"/>
      <c r="T62" s="27"/>
      <c r="U62" s="27"/>
      <c r="V62" s="27"/>
      <c r="W62" s="27"/>
      <c r="X62" s="27"/>
      <c r="Y62" s="27"/>
      <c r="Z62" s="27"/>
    </row>
    <row r="63" spans="1:26" ht="14.3" customHeight="1">
      <c r="A63" s="27"/>
      <c r="B63" s="27"/>
      <c r="C63" s="27"/>
      <c r="D63" s="73"/>
      <c r="E63" s="27"/>
      <c r="F63" s="27"/>
      <c r="G63" s="27"/>
      <c r="H63" s="27"/>
      <c r="I63" s="27"/>
      <c r="J63" s="27"/>
      <c r="K63" s="27"/>
      <c r="L63" s="27"/>
      <c r="M63" s="27"/>
      <c r="N63" s="27"/>
      <c r="O63" s="27"/>
      <c r="P63" s="27"/>
      <c r="Q63" s="27"/>
      <c r="R63" s="27"/>
      <c r="S63" s="27"/>
      <c r="T63" s="27"/>
      <c r="U63" s="27"/>
      <c r="V63" s="27"/>
      <c r="W63" s="27"/>
      <c r="X63" s="27"/>
      <c r="Y63" s="27"/>
      <c r="Z63" s="27"/>
    </row>
    <row r="64" spans="1:26" ht="14.3" customHeight="1">
      <c r="A64" s="27"/>
      <c r="B64" s="27"/>
      <c r="C64" s="27"/>
      <c r="D64" s="73"/>
      <c r="E64" s="27"/>
      <c r="F64" s="27"/>
      <c r="G64" s="27"/>
      <c r="H64" s="27"/>
      <c r="I64" s="27"/>
      <c r="J64" s="27"/>
      <c r="K64" s="27"/>
      <c r="L64" s="27"/>
      <c r="M64" s="27"/>
      <c r="N64" s="27"/>
      <c r="O64" s="27"/>
      <c r="P64" s="27"/>
      <c r="Q64" s="27"/>
      <c r="R64" s="27"/>
      <c r="S64" s="27"/>
      <c r="T64" s="27"/>
      <c r="U64" s="27"/>
      <c r="V64" s="27"/>
      <c r="W64" s="27"/>
      <c r="X64" s="27"/>
      <c r="Y64" s="27"/>
      <c r="Z64" s="27"/>
    </row>
    <row r="65" spans="1:26" ht="14.3" customHeight="1">
      <c r="A65" s="27"/>
      <c r="B65" s="27"/>
      <c r="C65" s="27"/>
      <c r="D65" s="73"/>
      <c r="E65" s="27"/>
      <c r="F65" s="27"/>
      <c r="G65" s="27"/>
      <c r="H65" s="27"/>
      <c r="I65" s="27"/>
      <c r="J65" s="27"/>
      <c r="K65" s="27"/>
      <c r="L65" s="27"/>
      <c r="M65" s="27"/>
      <c r="N65" s="27"/>
      <c r="O65" s="27"/>
      <c r="P65" s="27"/>
      <c r="Q65" s="27"/>
      <c r="R65" s="27"/>
      <c r="S65" s="27"/>
      <c r="T65" s="27"/>
      <c r="U65" s="27"/>
      <c r="V65" s="27"/>
      <c r="W65" s="27"/>
      <c r="X65" s="27"/>
      <c r="Y65" s="27"/>
      <c r="Z65" s="27"/>
    </row>
    <row r="66" spans="1:26" ht="14.3" customHeight="1">
      <c r="A66" s="27"/>
      <c r="B66" s="27"/>
      <c r="C66" s="27"/>
      <c r="D66" s="73"/>
      <c r="E66" s="27"/>
      <c r="F66" s="27"/>
      <c r="G66" s="27"/>
      <c r="H66" s="27"/>
      <c r="I66" s="27"/>
      <c r="J66" s="27"/>
      <c r="K66" s="27"/>
      <c r="L66" s="27"/>
      <c r="M66" s="27"/>
      <c r="N66" s="27"/>
      <c r="O66" s="27"/>
      <c r="P66" s="27"/>
      <c r="Q66" s="27"/>
      <c r="R66" s="27"/>
      <c r="S66" s="27"/>
      <c r="T66" s="27"/>
      <c r="U66" s="27"/>
      <c r="V66" s="27"/>
      <c r="W66" s="27"/>
      <c r="X66" s="27"/>
      <c r="Y66" s="27"/>
      <c r="Z66" s="27"/>
    </row>
    <row r="67" spans="1:26" ht="14.3" customHeight="1">
      <c r="A67" s="27"/>
      <c r="B67" s="27"/>
      <c r="C67" s="27"/>
      <c r="D67" s="73"/>
      <c r="E67" s="27"/>
      <c r="F67" s="27"/>
      <c r="G67" s="27"/>
      <c r="H67" s="27"/>
      <c r="I67" s="27"/>
      <c r="J67" s="27"/>
      <c r="K67" s="27"/>
      <c r="L67" s="27"/>
      <c r="M67" s="27"/>
      <c r="N67" s="27"/>
      <c r="O67" s="27"/>
      <c r="P67" s="27"/>
      <c r="Q67" s="27"/>
      <c r="R67" s="27"/>
      <c r="S67" s="27"/>
      <c r="T67" s="27"/>
      <c r="U67" s="27"/>
      <c r="V67" s="27"/>
      <c r="W67" s="27"/>
      <c r="X67" s="27"/>
      <c r="Y67" s="27"/>
      <c r="Z67" s="27"/>
    </row>
    <row r="68" spans="1:26" ht="14.3" customHeight="1">
      <c r="A68" s="27"/>
      <c r="B68" s="27"/>
      <c r="C68" s="27"/>
      <c r="D68" s="73"/>
      <c r="E68" s="27"/>
      <c r="F68" s="27"/>
      <c r="G68" s="27"/>
      <c r="H68" s="27"/>
      <c r="I68" s="27"/>
      <c r="J68" s="27"/>
      <c r="K68" s="27"/>
      <c r="L68" s="27"/>
      <c r="M68" s="27"/>
      <c r="N68" s="27"/>
      <c r="O68" s="27"/>
      <c r="P68" s="27"/>
      <c r="Q68" s="27"/>
      <c r="R68" s="27"/>
      <c r="S68" s="27"/>
      <c r="T68" s="27"/>
      <c r="U68" s="27"/>
      <c r="V68" s="27"/>
      <c r="W68" s="27"/>
      <c r="X68" s="27"/>
      <c r="Y68" s="27"/>
      <c r="Z68" s="27"/>
    </row>
    <row r="69" spans="1:26" ht="14.3" customHeight="1">
      <c r="A69" s="27"/>
      <c r="B69" s="27"/>
      <c r="C69" s="27"/>
      <c r="D69" s="73"/>
      <c r="E69" s="27"/>
      <c r="F69" s="27"/>
      <c r="G69" s="27"/>
      <c r="H69" s="27"/>
      <c r="I69" s="27"/>
      <c r="J69" s="27"/>
      <c r="K69" s="27"/>
      <c r="L69" s="27"/>
      <c r="M69" s="27"/>
      <c r="N69" s="27"/>
      <c r="O69" s="27"/>
      <c r="P69" s="27"/>
      <c r="Q69" s="27"/>
      <c r="R69" s="27"/>
      <c r="S69" s="27"/>
      <c r="T69" s="27"/>
      <c r="U69" s="27"/>
      <c r="V69" s="27"/>
      <c r="W69" s="27"/>
      <c r="X69" s="27"/>
      <c r="Y69" s="27"/>
      <c r="Z69" s="27"/>
    </row>
    <row r="70" spans="1:26" ht="14.3" customHeight="1">
      <c r="A70" s="27"/>
      <c r="B70" s="27"/>
      <c r="C70" s="27"/>
      <c r="D70" s="73"/>
      <c r="E70" s="27"/>
      <c r="F70" s="27"/>
      <c r="G70" s="27"/>
      <c r="H70" s="27"/>
      <c r="I70" s="27"/>
      <c r="J70" s="27"/>
      <c r="K70" s="27"/>
      <c r="L70" s="27"/>
      <c r="M70" s="27"/>
      <c r="N70" s="27"/>
      <c r="O70" s="27"/>
      <c r="P70" s="27"/>
      <c r="Q70" s="27"/>
      <c r="R70" s="27"/>
      <c r="S70" s="27"/>
      <c r="T70" s="27"/>
      <c r="U70" s="27"/>
      <c r="V70" s="27"/>
      <c r="W70" s="27"/>
      <c r="X70" s="27"/>
      <c r="Y70" s="27"/>
      <c r="Z70" s="27"/>
    </row>
    <row r="71" spans="1:26" ht="14.3" customHeight="1">
      <c r="A71" s="27"/>
      <c r="B71" s="27"/>
      <c r="C71" s="27"/>
      <c r="D71" s="73"/>
      <c r="E71" s="27"/>
      <c r="F71" s="27"/>
      <c r="G71" s="27"/>
      <c r="H71" s="27"/>
      <c r="I71" s="27"/>
      <c r="J71" s="27"/>
      <c r="K71" s="27"/>
      <c r="L71" s="27"/>
      <c r="M71" s="27"/>
      <c r="N71" s="27"/>
      <c r="O71" s="27"/>
      <c r="P71" s="27"/>
      <c r="Q71" s="27"/>
      <c r="R71" s="27"/>
      <c r="S71" s="27"/>
      <c r="T71" s="27"/>
      <c r="U71" s="27"/>
      <c r="V71" s="27"/>
      <c r="W71" s="27"/>
      <c r="X71" s="27"/>
      <c r="Y71" s="27"/>
      <c r="Z71" s="27"/>
    </row>
    <row r="72" spans="1:26" ht="14.3" customHeight="1">
      <c r="A72" s="27"/>
      <c r="B72" s="27"/>
      <c r="C72" s="27"/>
      <c r="D72" s="73"/>
      <c r="E72" s="27"/>
      <c r="F72" s="27"/>
      <c r="G72" s="27"/>
      <c r="H72" s="27"/>
      <c r="I72" s="27"/>
      <c r="J72" s="27"/>
      <c r="K72" s="27"/>
      <c r="L72" s="27"/>
      <c r="M72" s="27"/>
      <c r="N72" s="27"/>
      <c r="O72" s="27"/>
      <c r="P72" s="27"/>
      <c r="Q72" s="27"/>
      <c r="R72" s="27"/>
      <c r="S72" s="27"/>
      <c r="T72" s="27"/>
      <c r="U72" s="27"/>
      <c r="V72" s="27"/>
      <c r="W72" s="27"/>
      <c r="X72" s="27"/>
      <c r="Y72" s="27"/>
      <c r="Z72" s="27"/>
    </row>
    <row r="73" spans="1:26" ht="14.3" customHeight="1">
      <c r="A73" s="27"/>
      <c r="B73" s="27"/>
      <c r="C73" s="27"/>
      <c r="D73" s="73"/>
      <c r="E73" s="27"/>
      <c r="F73" s="27"/>
      <c r="G73" s="27"/>
      <c r="H73" s="27"/>
      <c r="I73" s="27"/>
      <c r="J73" s="27"/>
      <c r="K73" s="27"/>
      <c r="L73" s="27"/>
      <c r="M73" s="27"/>
      <c r="N73" s="27"/>
      <c r="O73" s="27"/>
      <c r="P73" s="27"/>
      <c r="Q73" s="27"/>
      <c r="R73" s="27"/>
      <c r="S73" s="27"/>
      <c r="T73" s="27"/>
      <c r="U73" s="27"/>
      <c r="V73" s="27"/>
      <c r="W73" s="27"/>
      <c r="X73" s="27"/>
      <c r="Y73" s="27"/>
      <c r="Z73" s="27"/>
    </row>
    <row r="74" spans="1:26" ht="14.3" customHeight="1">
      <c r="A74" s="27"/>
      <c r="B74" s="27"/>
      <c r="C74" s="27"/>
      <c r="D74" s="73"/>
      <c r="E74" s="27"/>
      <c r="F74" s="27"/>
      <c r="G74" s="27"/>
      <c r="H74" s="27"/>
      <c r="I74" s="27"/>
      <c r="J74" s="27"/>
      <c r="K74" s="27"/>
      <c r="L74" s="27"/>
      <c r="M74" s="27"/>
      <c r="N74" s="27"/>
      <c r="O74" s="27"/>
      <c r="P74" s="27"/>
      <c r="Q74" s="27"/>
      <c r="R74" s="27"/>
      <c r="S74" s="27"/>
      <c r="T74" s="27"/>
      <c r="U74" s="27"/>
      <c r="V74" s="27"/>
      <c r="W74" s="27"/>
      <c r="X74" s="27"/>
      <c r="Y74" s="27"/>
      <c r="Z74" s="27"/>
    </row>
    <row r="75" spans="1:26" ht="14.3" customHeight="1">
      <c r="A75" s="27"/>
      <c r="B75" s="27"/>
      <c r="C75" s="27"/>
      <c r="D75" s="73"/>
      <c r="E75" s="27"/>
      <c r="F75" s="27"/>
      <c r="G75" s="27"/>
      <c r="H75" s="27"/>
      <c r="I75" s="27"/>
      <c r="J75" s="27"/>
      <c r="K75" s="27"/>
      <c r="L75" s="27"/>
      <c r="M75" s="27"/>
      <c r="N75" s="27"/>
      <c r="O75" s="27"/>
      <c r="P75" s="27"/>
      <c r="Q75" s="27"/>
      <c r="R75" s="27"/>
      <c r="S75" s="27"/>
      <c r="T75" s="27"/>
      <c r="U75" s="27"/>
      <c r="V75" s="27"/>
      <c r="W75" s="27"/>
      <c r="X75" s="27"/>
      <c r="Y75" s="27"/>
      <c r="Z75" s="27"/>
    </row>
    <row r="76" spans="1:26" ht="14.3" customHeight="1">
      <c r="A76" s="27"/>
      <c r="B76" s="27"/>
      <c r="C76" s="27"/>
      <c r="D76" s="73"/>
      <c r="E76" s="27"/>
      <c r="F76" s="27"/>
      <c r="G76" s="27"/>
      <c r="H76" s="27"/>
      <c r="I76" s="27"/>
      <c r="J76" s="27"/>
      <c r="K76" s="27"/>
      <c r="L76" s="27"/>
      <c r="M76" s="27"/>
      <c r="N76" s="27"/>
      <c r="O76" s="27"/>
      <c r="P76" s="27"/>
      <c r="Q76" s="27"/>
      <c r="R76" s="27"/>
      <c r="S76" s="27"/>
      <c r="T76" s="27"/>
      <c r="U76" s="27"/>
      <c r="V76" s="27"/>
      <c r="W76" s="27"/>
      <c r="X76" s="27"/>
      <c r="Y76" s="27"/>
      <c r="Z76" s="27"/>
    </row>
    <row r="77" spans="1:26" ht="14.3" customHeight="1">
      <c r="A77" s="27"/>
      <c r="B77" s="27"/>
      <c r="C77" s="27"/>
      <c r="D77" s="73"/>
      <c r="E77" s="27"/>
      <c r="F77" s="27"/>
      <c r="G77" s="27"/>
      <c r="H77" s="27"/>
      <c r="I77" s="27"/>
      <c r="J77" s="27"/>
      <c r="K77" s="27"/>
      <c r="L77" s="27"/>
      <c r="M77" s="27"/>
      <c r="N77" s="27"/>
      <c r="O77" s="27"/>
      <c r="P77" s="27"/>
      <c r="Q77" s="27"/>
      <c r="R77" s="27"/>
      <c r="S77" s="27"/>
      <c r="T77" s="27"/>
      <c r="U77" s="27"/>
      <c r="V77" s="27"/>
      <c r="W77" s="27"/>
      <c r="X77" s="27"/>
      <c r="Y77" s="27"/>
      <c r="Z77" s="27"/>
    </row>
    <row r="78" spans="1:26" ht="14.3" customHeight="1">
      <c r="A78" s="27"/>
      <c r="B78" s="27"/>
      <c r="C78" s="27"/>
      <c r="D78" s="73"/>
      <c r="E78" s="27"/>
      <c r="F78" s="27"/>
      <c r="G78" s="27"/>
      <c r="H78" s="27"/>
      <c r="I78" s="27"/>
      <c r="J78" s="27"/>
      <c r="K78" s="27"/>
      <c r="L78" s="27"/>
      <c r="M78" s="27"/>
      <c r="N78" s="27"/>
      <c r="O78" s="27"/>
      <c r="P78" s="27"/>
      <c r="Q78" s="27"/>
      <c r="R78" s="27"/>
      <c r="S78" s="27"/>
      <c r="T78" s="27"/>
      <c r="U78" s="27"/>
      <c r="V78" s="27"/>
      <c r="W78" s="27"/>
      <c r="X78" s="27"/>
      <c r="Y78" s="27"/>
      <c r="Z78" s="27"/>
    </row>
    <row r="79" spans="1:26" ht="14.3" customHeight="1">
      <c r="A79" s="27"/>
      <c r="B79" s="27"/>
      <c r="C79" s="27"/>
      <c r="D79" s="73"/>
      <c r="E79" s="27"/>
      <c r="F79" s="27"/>
      <c r="G79" s="27"/>
      <c r="H79" s="27"/>
      <c r="I79" s="27"/>
      <c r="J79" s="27"/>
      <c r="K79" s="27"/>
      <c r="L79" s="27"/>
      <c r="M79" s="27"/>
      <c r="N79" s="27"/>
      <c r="O79" s="27"/>
      <c r="P79" s="27"/>
      <c r="Q79" s="27"/>
      <c r="R79" s="27"/>
      <c r="S79" s="27"/>
      <c r="T79" s="27"/>
      <c r="U79" s="27"/>
      <c r="V79" s="27"/>
      <c r="W79" s="27"/>
      <c r="X79" s="27"/>
      <c r="Y79" s="27"/>
      <c r="Z79" s="27"/>
    </row>
    <row r="80" spans="1:26" ht="14.3" customHeight="1">
      <c r="A80" s="27"/>
      <c r="B80" s="27"/>
      <c r="C80" s="27"/>
      <c r="D80" s="73"/>
      <c r="E80" s="27"/>
      <c r="F80" s="27"/>
      <c r="G80" s="27"/>
      <c r="H80" s="27"/>
      <c r="I80" s="27"/>
      <c r="J80" s="27"/>
      <c r="K80" s="27"/>
      <c r="L80" s="27"/>
      <c r="M80" s="27"/>
      <c r="N80" s="27"/>
      <c r="O80" s="27"/>
      <c r="P80" s="27"/>
      <c r="Q80" s="27"/>
      <c r="R80" s="27"/>
      <c r="S80" s="27"/>
      <c r="T80" s="27"/>
      <c r="U80" s="27"/>
      <c r="V80" s="27"/>
      <c r="W80" s="27"/>
      <c r="X80" s="27"/>
      <c r="Y80" s="27"/>
      <c r="Z80" s="27"/>
    </row>
    <row r="81" spans="1:26" ht="14.3" customHeight="1">
      <c r="A81" s="27"/>
      <c r="B81" s="27"/>
      <c r="C81" s="27"/>
      <c r="D81" s="73"/>
      <c r="E81" s="27"/>
      <c r="F81" s="27"/>
      <c r="G81" s="27"/>
      <c r="H81" s="27"/>
      <c r="I81" s="27"/>
      <c r="J81" s="27"/>
      <c r="K81" s="27"/>
      <c r="L81" s="27"/>
      <c r="M81" s="27"/>
      <c r="N81" s="27"/>
      <c r="O81" s="27"/>
      <c r="P81" s="27"/>
      <c r="Q81" s="27"/>
      <c r="R81" s="27"/>
      <c r="S81" s="27"/>
      <c r="T81" s="27"/>
      <c r="U81" s="27"/>
      <c r="V81" s="27"/>
      <c r="W81" s="27"/>
      <c r="X81" s="27"/>
      <c r="Y81" s="27"/>
      <c r="Z81" s="27"/>
    </row>
    <row r="82" spans="1:26" ht="14.3" customHeight="1">
      <c r="A82" s="27"/>
      <c r="B82" s="27"/>
      <c r="C82" s="27"/>
      <c r="D82" s="73"/>
      <c r="E82" s="27"/>
      <c r="F82" s="27"/>
      <c r="G82" s="27"/>
      <c r="H82" s="27"/>
      <c r="I82" s="27"/>
      <c r="J82" s="27"/>
      <c r="K82" s="27"/>
      <c r="L82" s="27"/>
      <c r="M82" s="27"/>
      <c r="N82" s="27"/>
      <c r="O82" s="27"/>
      <c r="P82" s="27"/>
      <c r="Q82" s="27"/>
      <c r="R82" s="27"/>
      <c r="S82" s="27"/>
      <c r="T82" s="27"/>
      <c r="U82" s="27"/>
      <c r="V82" s="27"/>
      <c r="W82" s="27"/>
      <c r="X82" s="27"/>
      <c r="Y82" s="27"/>
      <c r="Z82" s="27"/>
    </row>
    <row r="83" spans="1:26" ht="14.3" customHeight="1">
      <c r="A83" s="27"/>
      <c r="B83" s="27"/>
      <c r="C83" s="27"/>
      <c r="D83" s="73"/>
      <c r="E83" s="27"/>
      <c r="F83" s="27"/>
      <c r="G83" s="27"/>
      <c r="H83" s="27"/>
      <c r="I83" s="27"/>
      <c r="J83" s="27"/>
      <c r="K83" s="27"/>
      <c r="L83" s="27"/>
      <c r="M83" s="27"/>
      <c r="N83" s="27"/>
      <c r="O83" s="27"/>
      <c r="P83" s="27"/>
      <c r="Q83" s="27"/>
      <c r="R83" s="27"/>
      <c r="S83" s="27"/>
      <c r="T83" s="27"/>
      <c r="U83" s="27"/>
      <c r="V83" s="27"/>
      <c r="W83" s="27"/>
      <c r="X83" s="27"/>
      <c r="Y83" s="27"/>
      <c r="Z83" s="27"/>
    </row>
    <row r="84" spans="1:26" ht="14.3" customHeight="1">
      <c r="A84" s="27"/>
      <c r="B84" s="27"/>
      <c r="C84" s="27"/>
      <c r="D84" s="73"/>
      <c r="E84" s="27"/>
      <c r="F84" s="27"/>
      <c r="G84" s="27"/>
      <c r="H84" s="27"/>
      <c r="I84" s="27"/>
      <c r="J84" s="27"/>
      <c r="K84" s="27"/>
      <c r="L84" s="27"/>
      <c r="M84" s="27"/>
      <c r="N84" s="27"/>
      <c r="O84" s="27"/>
      <c r="P84" s="27"/>
      <c r="Q84" s="27"/>
      <c r="R84" s="27"/>
      <c r="S84" s="27"/>
      <c r="T84" s="27"/>
      <c r="U84" s="27"/>
      <c r="V84" s="27"/>
      <c r="W84" s="27"/>
      <c r="X84" s="27"/>
      <c r="Y84" s="27"/>
      <c r="Z84" s="27"/>
    </row>
    <row r="85" spans="1:26" ht="14.3" customHeight="1">
      <c r="A85" s="27"/>
      <c r="B85" s="27"/>
      <c r="C85" s="27"/>
      <c r="D85" s="73"/>
      <c r="E85" s="27"/>
      <c r="F85" s="27"/>
      <c r="G85" s="27"/>
      <c r="H85" s="27"/>
      <c r="I85" s="27"/>
      <c r="J85" s="27"/>
      <c r="K85" s="27"/>
      <c r="L85" s="27"/>
      <c r="M85" s="27"/>
      <c r="N85" s="27"/>
      <c r="O85" s="27"/>
      <c r="P85" s="27"/>
      <c r="Q85" s="27"/>
      <c r="R85" s="27"/>
      <c r="S85" s="27"/>
      <c r="T85" s="27"/>
      <c r="U85" s="27"/>
      <c r="V85" s="27"/>
      <c r="W85" s="27"/>
      <c r="X85" s="27"/>
      <c r="Y85" s="27"/>
      <c r="Z85" s="27"/>
    </row>
    <row r="86" spans="1:26" ht="14.3" customHeight="1">
      <c r="A86" s="27"/>
      <c r="B86" s="27"/>
      <c r="C86" s="27"/>
      <c r="D86" s="73"/>
      <c r="E86" s="27"/>
      <c r="F86" s="27"/>
      <c r="G86" s="27"/>
      <c r="H86" s="27"/>
      <c r="I86" s="27"/>
      <c r="J86" s="27"/>
      <c r="K86" s="27"/>
      <c r="L86" s="27"/>
      <c r="M86" s="27"/>
      <c r="N86" s="27"/>
      <c r="O86" s="27"/>
      <c r="P86" s="27"/>
      <c r="Q86" s="27"/>
      <c r="R86" s="27"/>
      <c r="S86" s="27"/>
      <c r="T86" s="27"/>
      <c r="U86" s="27"/>
      <c r="V86" s="27"/>
      <c r="W86" s="27"/>
      <c r="X86" s="27"/>
      <c r="Y86" s="27"/>
      <c r="Z86" s="27"/>
    </row>
    <row r="87" spans="1:26" ht="14.3" customHeight="1">
      <c r="A87" s="27"/>
      <c r="B87" s="27"/>
      <c r="C87" s="27"/>
      <c r="D87" s="73"/>
      <c r="E87" s="27"/>
      <c r="F87" s="27"/>
      <c r="G87" s="27"/>
      <c r="H87" s="27"/>
      <c r="I87" s="27"/>
      <c r="J87" s="27"/>
      <c r="K87" s="27"/>
      <c r="L87" s="27"/>
      <c r="M87" s="27"/>
      <c r="N87" s="27"/>
      <c r="O87" s="27"/>
      <c r="P87" s="27"/>
      <c r="Q87" s="27"/>
      <c r="R87" s="27"/>
      <c r="S87" s="27"/>
      <c r="T87" s="27"/>
      <c r="U87" s="27"/>
      <c r="V87" s="27"/>
      <c r="W87" s="27"/>
      <c r="X87" s="27"/>
      <c r="Y87" s="27"/>
      <c r="Z87" s="27"/>
    </row>
    <row r="88" spans="1:26" ht="14.3" customHeight="1">
      <c r="A88" s="27"/>
      <c r="B88" s="27"/>
      <c r="C88" s="27"/>
      <c r="D88" s="73"/>
      <c r="E88" s="27"/>
      <c r="F88" s="27"/>
      <c r="G88" s="27"/>
      <c r="H88" s="27"/>
      <c r="I88" s="27"/>
      <c r="J88" s="27"/>
      <c r="K88" s="27"/>
      <c r="L88" s="27"/>
      <c r="M88" s="27"/>
      <c r="N88" s="27"/>
      <c r="O88" s="27"/>
      <c r="P88" s="27"/>
      <c r="Q88" s="27"/>
      <c r="R88" s="27"/>
      <c r="S88" s="27"/>
      <c r="T88" s="27"/>
      <c r="U88" s="27"/>
      <c r="V88" s="27"/>
      <c r="W88" s="27"/>
      <c r="X88" s="27"/>
      <c r="Y88" s="27"/>
      <c r="Z88" s="27"/>
    </row>
    <row r="89" spans="1:26" ht="14.3" customHeight="1">
      <c r="A89" s="27"/>
      <c r="B89" s="27"/>
      <c r="C89" s="27"/>
      <c r="D89" s="73"/>
      <c r="E89" s="27"/>
      <c r="F89" s="27"/>
      <c r="G89" s="27"/>
      <c r="H89" s="27"/>
      <c r="I89" s="27"/>
      <c r="J89" s="27"/>
      <c r="K89" s="27"/>
      <c r="L89" s="27"/>
      <c r="M89" s="27"/>
      <c r="N89" s="27"/>
      <c r="O89" s="27"/>
      <c r="P89" s="27"/>
      <c r="Q89" s="27"/>
      <c r="R89" s="27"/>
      <c r="S89" s="27"/>
      <c r="T89" s="27"/>
      <c r="U89" s="27"/>
      <c r="V89" s="27"/>
      <c r="W89" s="27"/>
      <c r="X89" s="27"/>
      <c r="Y89" s="27"/>
      <c r="Z89" s="27"/>
    </row>
    <row r="90" spans="1:26" ht="14.3" customHeight="1">
      <c r="A90" s="27"/>
      <c r="B90" s="27"/>
      <c r="C90" s="27"/>
      <c r="D90" s="73"/>
      <c r="E90" s="27"/>
      <c r="F90" s="27"/>
      <c r="G90" s="27"/>
      <c r="H90" s="27"/>
      <c r="I90" s="27"/>
      <c r="J90" s="27"/>
      <c r="K90" s="27"/>
      <c r="L90" s="27"/>
      <c r="M90" s="27"/>
      <c r="N90" s="27"/>
      <c r="O90" s="27"/>
      <c r="P90" s="27"/>
      <c r="Q90" s="27"/>
      <c r="R90" s="27"/>
      <c r="S90" s="27"/>
      <c r="T90" s="27"/>
      <c r="U90" s="27"/>
      <c r="V90" s="27"/>
      <c r="W90" s="27"/>
      <c r="X90" s="27"/>
      <c r="Y90" s="27"/>
      <c r="Z90" s="27"/>
    </row>
    <row r="91" spans="1:26" ht="14.3" customHeight="1">
      <c r="A91" s="27"/>
      <c r="B91" s="27"/>
      <c r="C91" s="27"/>
      <c r="D91" s="73"/>
      <c r="E91" s="27"/>
      <c r="F91" s="27"/>
      <c r="G91" s="27"/>
      <c r="H91" s="27"/>
      <c r="I91" s="27"/>
      <c r="J91" s="27"/>
      <c r="K91" s="27"/>
      <c r="L91" s="27"/>
      <c r="M91" s="27"/>
      <c r="N91" s="27"/>
      <c r="O91" s="27"/>
      <c r="P91" s="27"/>
      <c r="Q91" s="27"/>
      <c r="R91" s="27"/>
      <c r="S91" s="27"/>
      <c r="T91" s="27"/>
      <c r="U91" s="27"/>
      <c r="V91" s="27"/>
      <c r="W91" s="27"/>
      <c r="X91" s="27"/>
      <c r="Y91" s="27"/>
      <c r="Z91" s="27"/>
    </row>
    <row r="92" spans="1:26" ht="14.3" customHeight="1">
      <c r="A92" s="27"/>
      <c r="B92" s="27"/>
      <c r="C92" s="27"/>
      <c r="D92" s="73"/>
      <c r="E92" s="27"/>
      <c r="F92" s="27"/>
      <c r="G92" s="27"/>
      <c r="H92" s="27"/>
      <c r="I92" s="27"/>
      <c r="J92" s="27"/>
      <c r="K92" s="27"/>
      <c r="L92" s="27"/>
      <c r="M92" s="27"/>
      <c r="N92" s="27"/>
      <c r="O92" s="27"/>
      <c r="P92" s="27"/>
      <c r="Q92" s="27"/>
      <c r="R92" s="27"/>
      <c r="S92" s="27"/>
      <c r="T92" s="27"/>
      <c r="U92" s="27"/>
      <c r="V92" s="27"/>
      <c r="W92" s="27"/>
      <c r="X92" s="27"/>
      <c r="Y92" s="27"/>
      <c r="Z92" s="27"/>
    </row>
    <row r="93" spans="1:26" ht="14.3" customHeight="1">
      <c r="A93" s="27"/>
      <c r="B93" s="27"/>
      <c r="C93" s="27"/>
      <c r="D93" s="73"/>
      <c r="E93" s="27"/>
      <c r="F93" s="27"/>
      <c r="G93" s="27"/>
      <c r="H93" s="27"/>
      <c r="I93" s="27"/>
      <c r="J93" s="27"/>
      <c r="K93" s="27"/>
      <c r="L93" s="27"/>
      <c r="M93" s="27"/>
      <c r="N93" s="27"/>
      <c r="O93" s="27"/>
      <c r="P93" s="27"/>
      <c r="Q93" s="27"/>
      <c r="R93" s="27"/>
      <c r="S93" s="27"/>
      <c r="T93" s="27"/>
      <c r="U93" s="27"/>
      <c r="V93" s="27"/>
      <c r="W93" s="27"/>
      <c r="X93" s="27"/>
      <c r="Y93" s="27"/>
      <c r="Z93" s="27"/>
    </row>
    <row r="94" spans="1:26" ht="14.3" customHeight="1">
      <c r="A94" s="27"/>
      <c r="B94" s="27"/>
      <c r="C94" s="27"/>
      <c r="D94" s="73"/>
      <c r="E94" s="27"/>
      <c r="F94" s="27"/>
      <c r="G94" s="27"/>
      <c r="H94" s="27"/>
      <c r="I94" s="27"/>
      <c r="J94" s="27"/>
      <c r="K94" s="27"/>
      <c r="L94" s="27"/>
      <c r="M94" s="27"/>
      <c r="N94" s="27"/>
      <c r="O94" s="27"/>
      <c r="P94" s="27"/>
      <c r="Q94" s="27"/>
      <c r="R94" s="27"/>
      <c r="S94" s="27"/>
      <c r="T94" s="27"/>
      <c r="U94" s="27"/>
      <c r="V94" s="27"/>
      <c r="W94" s="27"/>
      <c r="X94" s="27"/>
      <c r="Y94" s="27"/>
      <c r="Z94" s="27"/>
    </row>
    <row r="95" spans="1:26" ht="14.3" customHeight="1">
      <c r="A95" s="27"/>
      <c r="B95" s="27"/>
      <c r="C95" s="27"/>
      <c r="D95" s="73"/>
      <c r="E95" s="27"/>
      <c r="F95" s="27"/>
      <c r="G95" s="27"/>
      <c r="H95" s="27"/>
      <c r="I95" s="27"/>
      <c r="J95" s="27"/>
      <c r="K95" s="27"/>
      <c r="L95" s="27"/>
      <c r="M95" s="27"/>
      <c r="N95" s="27"/>
      <c r="O95" s="27"/>
      <c r="P95" s="27"/>
      <c r="Q95" s="27"/>
      <c r="R95" s="27"/>
      <c r="S95" s="27"/>
      <c r="T95" s="27"/>
      <c r="U95" s="27"/>
      <c r="V95" s="27"/>
      <c r="W95" s="27"/>
      <c r="X95" s="27"/>
      <c r="Y95" s="27"/>
      <c r="Z95" s="27"/>
    </row>
    <row r="96" spans="1:26" ht="14.3" customHeight="1">
      <c r="A96" s="27"/>
      <c r="B96" s="27"/>
      <c r="C96" s="27"/>
      <c r="D96" s="73"/>
      <c r="E96" s="27"/>
      <c r="F96" s="27"/>
      <c r="G96" s="27"/>
      <c r="H96" s="27"/>
      <c r="I96" s="27"/>
      <c r="J96" s="27"/>
      <c r="K96" s="27"/>
      <c r="L96" s="27"/>
      <c r="M96" s="27"/>
      <c r="N96" s="27"/>
      <c r="O96" s="27"/>
      <c r="P96" s="27"/>
      <c r="Q96" s="27"/>
      <c r="R96" s="27"/>
      <c r="S96" s="27"/>
      <c r="T96" s="27"/>
      <c r="U96" s="27"/>
      <c r="V96" s="27"/>
      <c r="W96" s="27"/>
      <c r="X96" s="27"/>
      <c r="Y96" s="27"/>
      <c r="Z96" s="27"/>
    </row>
    <row r="97" spans="1:26" ht="14.3" customHeight="1">
      <c r="A97" s="27"/>
      <c r="B97" s="27"/>
      <c r="C97" s="27"/>
      <c r="D97" s="73"/>
      <c r="E97" s="27"/>
      <c r="F97" s="27"/>
      <c r="G97" s="27"/>
      <c r="H97" s="27"/>
      <c r="I97" s="27"/>
      <c r="J97" s="27"/>
      <c r="K97" s="27"/>
      <c r="L97" s="27"/>
      <c r="M97" s="27"/>
      <c r="N97" s="27"/>
      <c r="O97" s="27"/>
      <c r="P97" s="27"/>
      <c r="Q97" s="27"/>
      <c r="R97" s="27"/>
      <c r="S97" s="27"/>
      <c r="T97" s="27"/>
      <c r="U97" s="27"/>
      <c r="V97" s="27"/>
      <c r="W97" s="27"/>
      <c r="X97" s="27"/>
      <c r="Y97" s="27"/>
      <c r="Z97" s="27"/>
    </row>
    <row r="98" spans="1:26" ht="14.3" customHeight="1">
      <c r="A98" s="27"/>
      <c r="B98" s="27"/>
      <c r="C98" s="27"/>
      <c r="D98" s="73"/>
      <c r="E98" s="27"/>
      <c r="F98" s="27"/>
      <c r="G98" s="27"/>
      <c r="H98" s="27"/>
      <c r="I98" s="27"/>
      <c r="J98" s="27"/>
      <c r="K98" s="27"/>
      <c r="L98" s="27"/>
      <c r="M98" s="27"/>
      <c r="N98" s="27"/>
      <c r="O98" s="27"/>
      <c r="P98" s="27"/>
      <c r="Q98" s="27"/>
      <c r="R98" s="27"/>
      <c r="S98" s="27"/>
      <c r="T98" s="27"/>
      <c r="U98" s="27"/>
      <c r="V98" s="27"/>
      <c r="W98" s="27"/>
      <c r="X98" s="27"/>
      <c r="Y98" s="27"/>
      <c r="Z98" s="27"/>
    </row>
    <row r="99" spans="1:26" ht="14.3" customHeight="1">
      <c r="A99" s="27"/>
      <c r="B99" s="27"/>
      <c r="C99" s="27"/>
      <c r="D99" s="73"/>
      <c r="E99" s="27"/>
      <c r="F99" s="27"/>
      <c r="G99" s="27"/>
      <c r="H99" s="27"/>
      <c r="I99" s="27"/>
      <c r="J99" s="27"/>
      <c r="K99" s="27"/>
      <c r="L99" s="27"/>
      <c r="M99" s="27"/>
      <c r="N99" s="27"/>
      <c r="O99" s="27"/>
      <c r="P99" s="27"/>
      <c r="Q99" s="27"/>
      <c r="R99" s="27"/>
      <c r="S99" s="27"/>
      <c r="T99" s="27"/>
      <c r="U99" s="27"/>
      <c r="V99" s="27"/>
      <c r="W99" s="27"/>
      <c r="X99" s="27"/>
      <c r="Y99" s="27"/>
      <c r="Z99" s="27"/>
    </row>
    <row r="100" spans="1:26" ht="14.3" customHeight="1">
      <c r="A100" s="27"/>
      <c r="B100" s="27"/>
      <c r="C100" s="27"/>
      <c r="D100" s="73"/>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4.3" customHeight="1">
      <c r="A101" s="27"/>
      <c r="B101" s="27"/>
      <c r="C101" s="27"/>
      <c r="D101" s="73"/>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4.3" customHeight="1">
      <c r="A102" s="27"/>
      <c r="B102" s="27"/>
      <c r="C102" s="27"/>
      <c r="D102" s="73"/>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4.3" customHeight="1">
      <c r="A103" s="27"/>
      <c r="B103" s="27"/>
      <c r="C103" s="27"/>
      <c r="D103" s="73"/>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4.3" customHeight="1">
      <c r="A104" s="27"/>
      <c r="B104" s="27"/>
      <c r="C104" s="27"/>
      <c r="D104" s="73"/>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4.3" customHeight="1">
      <c r="A105" s="27"/>
      <c r="B105" s="27"/>
      <c r="C105" s="27"/>
      <c r="D105" s="73"/>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4.3" customHeight="1">
      <c r="A106" s="27"/>
      <c r="B106" s="27"/>
      <c r="C106" s="27"/>
      <c r="D106" s="73"/>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4.3" customHeight="1">
      <c r="A107" s="27"/>
      <c r="B107" s="27"/>
      <c r="C107" s="27"/>
      <c r="D107" s="73"/>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4.3" customHeight="1">
      <c r="A108" s="27"/>
      <c r="B108" s="27"/>
      <c r="C108" s="27"/>
      <c r="D108" s="73"/>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4.3" customHeight="1">
      <c r="A109" s="27"/>
      <c r="B109" s="27"/>
      <c r="C109" s="27"/>
      <c r="D109" s="73"/>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4.3" customHeight="1">
      <c r="A110" s="27"/>
      <c r="B110" s="27"/>
      <c r="C110" s="27"/>
      <c r="D110" s="73"/>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4.3" customHeight="1">
      <c r="A111" s="27"/>
      <c r="B111" s="27"/>
      <c r="C111" s="27"/>
      <c r="D111" s="73"/>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4.3" customHeight="1">
      <c r="A112" s="27"/>
      <c r="B112" s="27"/>
      <c r="C112" s="27"/>
      <c r="D112" s="73"/>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4.3" customHeight="1">
      <c r="A113" s="27"/>
      <c r="B113" s="27"/>
      <c r="C113" s="27"/>
      <c r="D113" s="73"/>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4.3" customHeight="1">
      <c r="A114" s="27"/>
      <c r="B114" s="27"/>
      <c r="C114" s="27"/>
      <c r="D114" s="73"/>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4.3" customHeight="1">
      <c r="A115" s="27"/>
      <c r="B115" s="27"/>
      <c r="C115" s="27"/>
      <c r="D115" s="73"/>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4.3" customHeight="1">
      <c r="A116" s="27"/>
      <c r="B116" s="27"/>
      <c r="C116" s="27"/>
      <c r="D116" s="73"/>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4.3" customHeight="1">
      <c r="A117" s="27"/>
      <c r="B117" s="27"/>
      <c r="C117" s="27"/>
      <c r="D117" s="73"/>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4.3" customHeight="1">
      <c r="A118" s="27"/>
      <c r="B118" s="27"/>
      <c r="C118" s="27"/>
      <c r="D118" s="73"/>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4.3" customHeight="1">
      <c r="A119" s="27"/>
      <c r="B119" s="27"/>
      <c r="C119" s="27"/>
      <c r="D119" s="73"/>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4.3" customHeight="1">
      <c r="A120" s="27"/>
      <c r="B120" s="27"/>
      <c r="C120" s="27"/>
      <c r="D120" s="73"/>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4.3" customHeight="1">
      <c r="A121" s="27"/>
      <c r="B121" s="27"/>
      <c r="C121" s="27"/>
      <c r="D121" s="73"/>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4.3" customHeight="1">
      <c r="A122" s="27"/>
      <c r="B122" s="27"/>
      <c r="C122" s="27"/>
      <c r="D122" s="73"/>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4.3" customHeight="1">
      <c r="A123" s="27"/>
      <c r="B123" s="27"/>
      <c r="C123" s="27"/>
      <c r="D123" s="73"/>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4.3" customHeight="1">
      <c r="A124" s="27"/>
      <c r="B124" s="27"/>
      <c r="C124" s="27"/>
      <c r="D124" s="73"/>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4.3" customHeight="1">
      <c r="A125" s="27"/>
      <c r="B125" s="27"/>
      <c r="C125" s="27"/>
      <c r="D125" s="73"/>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4.3" customHeight="1">
      <c r="A126" s="27"/>
      <c r="B126" s="27"/>
      <c r="C126" s="27"/>
      <c r="D126" s="73"/>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4.3" customHeight="1">
      <c r="A127" s="27"/>
      <c r="B127" s="27"/>
      <c r="C127" s="27"/>
      <c r="D127" s="73"/>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4.3" customHeight="1">
      <c r="A128" s="27"/>
      <c r="B128" s="27"/>
      <c r="C128" s="27"/>
      <c r="D128" s="73"/>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4.3" customHeight="1">
      <c r="A129" s="27"/>
      <c r="B129" s="27"/>
      <c r="C129" s="27"/>
      <c r="D129" s="73"/>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4.3" customHeight="1">
      <c r="A130" s="27"/>
      <c r="B130" s="27"/>
      <c r="C130" s="27"/>
      <c r="D130" s="73"/>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4.3" customHeight="1">
      <c r="A131" s="27"/>
      <c r="B131" s="27"/>
      <c r="C131" s="27"/>
      <c r="D131" s="73"/>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4.3" customHeight="1">
      <c r="A132" s="27"/>
      <c r="B132" s="27"/>
      <c r="C132" s="27"/>
      <c r="D132" s="73"/>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4.3" customHeight="1">
      <c r="A133" s="27"/>
      <c r="B133" s="27"/>
      <c r="C133" s="27"/>
      <c r="D133" s="73"/>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4.3" customHeight="1">
      <c r="A134" s="27"/>
      <c r="B134" s="27"/>
      <c r="C134" s="27"/>
      <c r="D134" s="73"/>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4.3" customHeight="1">
      <c r="A135" s="27"/>
      <c r="B135" s="27"/>
      <c r="C135" s="27"/>
      <c r="D135" s="73"/>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4.3" customHeight="1">
      <c r="A136" s="27"/>
      <c r="B136" s="27"/>
      <c r="C136" s="27"/>
      <c r="D136" s="73"/>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4.3" customHeight="1">
      <c r="A137" s="27"/>
      <c r="B137" s="27"/>
      <c r="C137" s="27"/>
      <c r="D137" s="73"/>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4.3" customHeight="1">
      <c r="A138" s="27"/>
      <c r="B138" s="27"/>
      <c r="C138" s="27"/>
      <c r="D138" s="73"/>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4.3" customHeight="1">
      <c r="A139" s="27"/>
      <c r="B139" s="27"/>
      <c r="C139" s="27"/>
      <c r="D139" s="73"/>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4.3" customHeight="1">
      <c r="A140" s="27"/>
      <c r="B140" s="27"/>
      <c r="C140" s="27"/>
      <c r="D140" s="73"/>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4.3" customHeight="1">
      <c r="A141" s="27"/>
      <c r="B141" s="27"/>
      <c r="C141" s="27"/>
      <c r="D141" s="73"/>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4.3" customHeight="1">
      <c r="A142" s="27"/>
      <c r="B142" s="27"/>
      <c r="C142" s="27"/>
      <c r="D142" s="73"/>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4.3" customHeight="1">
      <c r="A143" s="27"/>
      <c r="B143" s="27"/>
      <c r="C143" s="27"/>
      <c r="D143" s="73"/>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4.3" customHeight="1">
      <c r="A144" s="27"/>
      <c r="B144" s="27"/>
      <c r="C144" s="27"/>
      <c r="D144" s="73"/>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4.3" customHeight="1">
      <c r="A145" s="27"/>
      <c r="B145" s="27"/>
      <c r="C145" s="27"/>
      <c r="D145" s="73"/>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4.3" customHeight="1">
      <c r="A146" s="27"/>
      <c r="B146" s="27"/>
      <c r="C146" s="27"/>
      <c r="D146" s="73"/>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4.3" customHeight="1">
      <c r="A147" s="27"/>
      <c r="B147" s="27"/>
      <c r="C147" s="27"/>
      <c r="D147" s="73"/>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4.3" customHeight="1">
      <c r="A148" s="27"/>
      <c r="B148" s="27"/>
      <c r="C148" s="27"/>
      <c r="D148" s="73"/>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4.3" customHeight="1">
      <c r="A149" s="27"/>
      <c r="B149" s="27"/>
      <c r="C149" s="27"/>
      <c r="D149" s="73"/>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4.3" customHeight="1">
      <c r="A150" s="27"/>
      <c r="B150" s="27"/>
      <c r="C150" s="27"/>
      <c r="D150" s="73"/>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4.3" customHeight="1">
      <c r="A151" s="27"/>
      <c r="B151" s="27"/>
      <c r="C151" s="27"/>
      <c r="D151" s="73"/>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4.3" customHeight="1">
      <c r="A152" s="27"/>
      <c r="B152" s="27"/>
      <c r="C152" s="27"/>
      <c r="D152" s="73"/>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4.3" customHeight="1">
      <c r="A153" s="27"/>
      <c r="B153" s="27"/>
      <c r="C153" s="27"/>
      <c r="D153" s="73"/>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4.3" customHeight="1">
      <c r="A154" s="27"/>
      <c r="B154" s="27"/>
      <c r="C154" s="27"/>
      <c r="D154" s="73"/>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4.3" customHeight="1">
      <c r="A155" s="27"/>
      <c r="B155" s="27"/>
      <c r="C155" s="27"/>
      <c r="D155" s="73"/>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4.3" customHeight="1">
      <c r="A156" s="27"/>
      <c r="B156" s="27"/>
      <c r="C156" s="27"/>
      <c r="D156" s="73"/>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4.3" customHeight="1">
      <c r="A157" s="27"/>
      <c r="B157" s="27"/>
      <c r="C157" s="27"/>
      <c r="D157" s="73"/>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4.3" customHeight="1">
      <c r="A158" s="27"/>
      <c r="B158" s="27"/>
      <c r="C158" s="27"/>
      <c r="D158" s="73"/>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4.3" customHeight="1">
      <c r="A159" s="27"/>
      <c r="B159" s="27"/>
      <c r="C159" s="27"/>
      <c r="D159" s="73"/>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4.3" customHeight="1">
      <c r="A160" s="27"/>
      <c r="B160" s="27"/>
      <c r="C160" s="27"/>
      <c r="D160" s="73"/>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4.3" customHeight="1">
      <c r="A161" s="27"/>
      <c r="B161" s="27"/>
      <c r="C161" s="27"/>
      <c r="D161" s="73"/>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4.3" customHeight="1">
      <c r="A162" s="27"/>
      <c r="B162" s="27"/>
      <c r="C162" s="27"/>
      <c r="D162" s="73"/>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4.3" customHeight="1">
      <c r="A163" s="27"/>
      <c r="B163" s="27"/>
      <c r="C163" s="27"/>
      <c r="D163" s="73"/>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4.3" customHeight="1">
      <c r="A164" s="27"/>
      <c r="B164" s="27"/>
      <c r="C164" s="27"/>
      <c r="D164" s="73"/>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4.3" customHeight="1">
      <c r="A165" s="27"/>
      <c r="B165" s="27"/>
      <c r="C165" s="27"/>
      <c r="D165" s="73"/>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4.3" customHeight="1">
      <c r="A166" s="27"/>
      <c r="B166" s="27"/>
      <c r="C166" s="27"/>
      <c r="D166" s="73"/>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4.3" customHeight="1">
      <c r="A167" s="27"/>
      <c r="B167" s="27"/>
      <c r="C167" s="27"/>
      <c r="D167" s="73"/>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4.3" customHeight="1">
      <c r="A168" s="27"/>
      <c r="B168" s="27"/>
      <c r="C168" s="27"/>
      <c r="D168" s="73"/>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4.3" customHeight="1">
      <c r="A169" s="27"/>
      <c r="B169" s="27"/>
      <c r="C169" s="27"/>
      <c r="D169" s="73"/>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4.3" customHeight="1">
      <c r="A170" s="27"/>
      <c r="B170" s="27"/>
      <c r="C170" s="27"/>
      <c r="D170" s="73"/>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4.3" customHeight="1">
      <c r="A171" s="27"/>
      <c r="B171" s="27"/>
      <c r="C171" s="27"/>
      <c r="D171" s="73"/>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4.3" customHeight="1">
      <c r="A172" s="27"/>
      <c r="B172" s="27"/>
      <c r="C172" s="27"/>
      <c r="D172" s="73"/>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4.3" customHeight="1">
      <c r="A173" s="27"/>
      <c r="B173" s="27"/>
      <c r="C173" s="27"/>
      <c r="D173" s="73"/>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4.3" customHeight="1">
      <c r="A174" s="27"/>
      <c r="B174" s="27"/>
      <c r="C174" s="27"/>
      <c r="D174" s="73"/>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4.3" customHeight="1">
      <c r="A175" s="27"/>
      <c r="B175" s="27"/>
      <c r="C175" s="27"/>
      <c r="D175" s="73"/>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4.3" customHeight="1">
      <c r="A176" s="27"/>
      <c r="B176" s="27"/>
      <c r="C176" s="27"/>
      <c r="D176" s="73"/>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4.3" customHeight="1">
      <c r="A177" s="27"/>
      <c r="B177" s="27"/>
      <c r="C177" s="27"/>
      <c r="D177" s="73"/>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4.3" customHeight="1">
      <c r="A178" s="27"/>
      <c r="B178" s="27"/>
      <c r="C178" s="27"/>
      <c r="D178" s="73"/>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4.3" customHeight="1">
      <c r="A179" s="27"/>
      <c r="B179" s="27"/>
      <c r="C179" s="27"/>
      <c r="D179" s="73"/>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4.3" customHeight="1">
      <c r="A180" s="27"/>
      <c r="B180" s="27"/>
      <c r="C180" s="27"/>
      <c r="D180" s="73"/>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4.3" customHeight="1">
      <c r="A181" s="27"/>
      <c r="B181" s="27"/>
      <c r="C181" s="27"/>
      <c r="D181" s="73"/>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4.3" customHeight="1">
      <c r="A182" s="27"/>
      <c r="B182" s="27"/>
      <c r="C182" s="27"/>
      <c r="D182" s="73"/>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4.3" customHeight="1">
      <c r="A183" s="27"/>
      <c r="B183" s="27"/>
      <c r="C183" s="27"/>
      <c r="D183" s="73"/>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4.3" customHeight="1">
      <c r="A184" s="27"/>
      <c r="B184" s="27"/>
      <c r="C184" s="27"/>
      <c r="D184" s="73"/>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4.3" customHeight="1">
      <c r="A185" s="27"/>
      <c r="B185" s="27"/>
      <c r="C185" s="27"/>
      <c r="D185" s="73"/>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4.3" customHeight="1">
      <c r="A186" s="27"/>
      <c r="B186" s="27"/>
      <c r="C186" s="27"/>
      <c r="D186" s="73"/>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4.3" customHeight="1">
      <c r="A187" s="27"/>
      <c r="B187" s="27"/>
      <c r="C187" s="27"/>
      <c r="D187" s="73"/>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4.3" customHeight="1">
      <c r="A188" s="27"/>
      <c r="B188" s="27"/>
      <c r="C188" s="27"/>
      <c r="D188" s="73"/>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4.3" customHeight="1">
      <c r="A189" s="27"/>
      <c r="B189" s="27"/>
      <c r="C189" s="27"/>
      <c r="D189" s="73"/>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4.3" customHeight="1">
      <c r="A190" s="27"/>
      <c r="B190" s="27"/>
      <c r="C190" s="27"/>
      <c r="D190" s="73"/>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4.3" customHeight="1">
      <c r="A191" s="27"/>
      <c r="B191" s="27"/>
      <c r="C191" s="27"/>
      <c r="D191" s="73"/>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4.3" customHeight="1">
      <c r="A192" s="27"/>
      <c r="B192" s="27"/>
      <c r="C192" s="27"/>
      <c r="D192" s="73"/>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4.3" customHeight="1">
      <c r="A193" s="27"/>
      <c r="B193" s="27"/>
      <c r="C193" s="27"/>
      <c r="D193" s="73"/>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4.3" customHeight="1">
      <c r="A194" s="27"/>
      <c r="B194" s="27"/>
      <c r="C194" s="27"/>
      <c r="D194" s="73"/>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4.3" customHeight="1">
      <c r="A195" s="27"/>
      <c r="B195" s="27"/>
      <c r="C195" s="27"/>
      <c r="D195" s="73"/>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4.3" customHeight="1">
      <c r="A196" s="27"/>
      <c r="B196" s="27"/>
      <c r="C196" s="27"/>
      <c r="D196" s="73"/>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4.3" customHeight="1">
      <c r="A197" s="27"/>
      <c r="B197" s="27"/>
      <c r="C197" s="27"/>
      <c r="D197" s="73"/>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4.3" customHeight="1">
      <c r="A198" s="27"/>
      <c r="B198" s="27"/>
      <c r="C198" s="27"/>
      <c r="D198" s="73"/>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4.3" customHeight="1">
      <c r="A199" s="27"/>
      <c r="B199" s="27"/>
      <c r="C199" s="27"/>
      <c r="D199" s="73"/>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4.3" customHeight="1">
      <c r="A200" s="27"/>
      <c r="B200" s="27"/>
      <c r="C200" s="27"/>
      <c r="D200" s="73"/>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4.3" customHeight="1">
      <c r="A201" s="27"/>
      <c r="B201" s="27"/>
      <c r="C201" s="27"/>
      <c r="D201" s="73"/>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4.3" customHeight="1">
      <c r="A202" s="27"/>
      <c r="B202" s="27"/>
      <c r="C202" s="27"/>
      <c r="D202" s="73"/>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4.3" customHeight="1">
      <c r="A203" s="27"/>
      <c r="B203" s="27"/>
      <c r="C203" s="27"/>
      <c r="D203" s="73"/>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4.3" customHeight="1">
      <c r="A204" s="27"/>
      <c r="B204" s="27"/>
      <c r="C204" s="27"/>
      <c r="D204" s="73"/>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4.3" customHeight="1">
      <c r="A205" s="27"/>
      <c r="B205" s="27"/>
      <c r="C205" s="27"/>
      <c r="D205" s="73"/>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4.3" customHeight="1">
      <c r="A206" s="27"/>
      <c r="B206" s="27"/>
      <c r="C206" s="27"/>
      <c r="D206" s="73"/>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4.3" customHeight="1">
      <c r="A207" s="27"/>
      <c r="B207" s="27"/>
      <c r="C207" s="27"/>
      <c r="D207" s="73"/>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4.3" customHeight="1">
      <c r="A208" s="27"/>
      <c r="B208" s="27"/>
      <c r="C208" s="27"/>
      <c r="D208" s="73"/>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4.3" customHeight="1">
      <c r="A209" s="27"/>
      <c r="B209" s="27"/>
      <c r="C209" s="27"/>
      <c r="D209" s="73"/>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4.3" customHeight="1">
      <c r="A210" s="27"/>
      <c r="B210" s="27"/>
      <c r="C210" s="27"/>
      <c r="D210" s="73"/>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4.3" customHeight="1">
      <c r="A211" s="27"/>
      <c r="B211" s="27"/>
      <c r="C211" s="27"/>
      <c r="D211" s="73"/>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4.3" customHeight="1">
      <c r="A212" s="27"/>
      <c r="B212" s="27"/>
      <c r="C212" s="27"/>
      <c r="D212" s="73"/>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4.3" customHeight="1">
      <c r="A213" s="27"/>
      <c r="B213" s="27"/>
      <c r="C213" s="27"/>
      <c r="D213" s="73"/>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4.3" customHeight="1">
      <c r="A214" s="27"/>
      <c r="B214" s="27"/>
      <c r="C214" s="27"/>
      <c r="D214" s="73"/>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4.3" customHeight="1">
      <c r="A215" s="27"/>
      <c r="B215" s="27"/>
      <c r="C215" s="27"/>
      <c r="D215" s="73"/>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4.3" customHeight="1">
      <c r="A216" s="27"/>
      <c r="B216" s="27"/>
      <c r="C216" s="27"/>
      <c r="D216" s="73"/>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4.3" customHeight="1">
      <c r="A217" s="27"/>
      <c r="B217" s="27"/>
      <c r="C217" s="27"/>
      <c r="D217" s="73"/>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4.3" customHeight="1">
      <c r="A218" s="27"/>
      <c r="B218" s="27"/>
      <c r="C218" s="27"/>
      <c r="D218" s="73"/>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4.3" customHeight="1">
      <c r="A219" s="27"/>
      <c r="B219" s="27"/>
      <c r="C219" s="27"/>
      <c r="D219" s="73"/>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4.3" customHeight="1">
      <c r="A220" s="27"/>
      <c r="B220" s="27"/>
      <c r="C220" s="27"/>
      <c r="D220" s="73"/>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4.3" customHeight="1">
      <c r="A221" s="27"/>
      <c r="B221" s="27"/>
      <c r="C221" s="27"/>
      <c r="D221" s="73"/>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4.3" customHeight="1">
      <c r="A222" s="27"/>
      <c r="B222" s="27"/>
      <c r="C222" s="27"/>
      <c r="D222" s="73"/>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4.3" customHeight="1">
      <c r="A223" s="27"/>
      <c r="B223" s="27"/>
      <c r="C223" s="27"/>
      <c r="D223" s="73"/>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4.3" customHeight="1">
      <c r="A224" s="27"/>
      <c r="B224" s="27"/>
      <c r="C224" s="27"/>
      <c r="D224" s="73"/>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4.3" customHeight="1">
      <c r="A225" s="27"/>
      <c r="B225" s="27"/>
      <c r="C225" s="27"/>
      <c r="D225" s="73"/>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4.3" customHeight="1">
      <c r="A226" s="27"/>
      <c r="B226" s="27"/>
      <c r="C226" s="27"/>
      <c r="D226" s="73"/>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4.3" customHeight="1">
      <c r="A227" s="27"/>
      <c r="B227" s="27"/>
      <c r="C227" s="27"/>
      <c r="D227" s="73"/>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4.3" customHeight="1">
      <c r="A228" s="27"/>
      <c r="B228" s="27"/>
      <c r="C228" s="27"/>
      <c r="D228" s="73"/>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4.3" customHeight="1">
      <c r="A229" s="27"/>
      <c r="B229" s="27"/>
      <c r="C229" s="27"/>
      <c r="D229" s="73"/>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4.3" customHeight="1">
      <c r="A230" s="27"/>
      <c r="B230" s="27"/>
      <c r="C230" s="27"/>
      <c r="D230" s="73"/>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4.3" customHeight="1">
      <c r="A231" s="27"/>
      <c r="B231" s="27"/>
      <c r="C231" s="27"/>
      <c r="D231" s="73"/>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4.3" customHeight="1">
      <c r="A232" s="27"/>
      <c r="B232" s="27"/>
      <c r="C232" s="27"/>
      <c r="D232" s="73"/>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4.3" customHeight="1">
      <c r="A233" s="27"/>
      <c r="B233" s="27"/>
      <c r="C233" s="27"/>
      <c r="D233" s="73"/>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4.3" customHeight="1">
      <c r="A234" s="27"/>
      <c r="B234" s="27"/>
      <c r="C234" s="27"/>
      <c r="D234" s="73"/>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4.3" customHeight="1">
      <c r="A235" s="27"/>
      <c r="B235" s="27"/>
      <c r="C235" s="27"/>
      <c r="D235" s="73"/>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4.3" customHeight="1">
      <c r="A236" s="27"/>
      <c r="B236" s="27"/>
      <c r="C236" s="27"/>
      <c r="D236" s="73"/>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4.3" customHeight="1">
      <c r="A237" s="27"/>
      <c r="B237" s="27"/>
      <c r="C237" s="27"/>
      <c r="D237" s="73"/>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4.3" customHeight="1">
      <c r="A238" s="27"/>
      <c r="B238" s="27"/>
      <c r="C238" s="27"/>
      <c r="D238" s="73"/>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4.3" customHeight="1">
      <c r="A239" s="27"/>
      <c r="B239" s="27"/>
      <c r="C239" s="27"/>
      <c r="D239" s="73"/>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4.3" customHeight="1">
      <c r="A240" s="27"/>
      <c r="B240" s="27"/>
      <c r="C240" s="27"/>
      <c r="D240" s="73"/>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4.3" customHeight="1">
      <c r="A241" s="27"/>
      <c r="B241" s="27"/>
      <c r="C241" s="27"/>
      <c r="D241" s="73"/>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4.3" customHeight="1">
      <c r="A242" s="27"/>
      <c r="B242" s="27"/>
      <c r="C242" s="27"/>
      <c r="D242" s="73"/>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4.3" customHeight="1">
      <c r="A243" s="27"/>
      <c r="B243" s="27"/>
      <c r="C243" s="27"/>
      <c r="D243" s="73"/>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4.3" customHeight="1">
      <c r="A244" s="27"/>
      <c r="B244" s="27"/>
      <c r="C244" s="27"/>
      <c r="D244" s="73"/>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4.3" customHeight="1">
      <c r="A245" s="27"/>
      <c r="B245" s="27"/>
      <c r="C245" s="27"/>
      <c r="D245" s="73"/>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4.3" customHeight="1">
      <c r="A246" s="27"/>
      <c r="B246" s="27"/>
      <c r="C246" s="27"/>
      <c r="D246" s="73"/>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4.3" customHeight="1">
      <c r="A247" s="27"/>
      <c r="B247" s="27"/>
      <c r="C247" s="27"/>
      <c r="D247" s="73"/>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4.3" customHeight="1">
      <c r="A248" s="27"/>
      <c r="B248" s="27"/>
      <c r="C248" s="27"/>
      <c r="D248" s="73"/>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4.3" customHeight="1">
      <c r="A249" s="27"/>
      <c r="B249" s="27"/>
      <c r="C249" s="27"/>
      <c r="D249" s="73"/>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4.3" customHeight="1">
      <c r="A250" s="27"/>
      <c r="B250" s="27"/>
      <c r="C250" s="27"/>
      <c r="D250" s="73"/>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4.3" customHeight="1">
      <c r="A251" s="27"/>
      <c r="B251" s="27"/>
      <c r="C251" s="27"/>
      <c r="D251" s="73"/>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4.3" customHeight="1">
      <c r="A252" s="27"/>
      <c r="B252" s="27"/>
      <c r="C252" s="27"/>
      <c r="D252" s="73"/>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4.3" customHeight="1">
      <c r="A253" s="27"/>
      <c r="B253" s="27"/>
      <c r="C253" s="27"/>
      <c r="D253" s="73"/>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4.3" customHeight="1">
      <c r="A254" s="27"/>
      <c r="B254" s="27"/>
      <c r="C254" s="27"/>
      <c r="D254" s="73"/>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4.3" customHeight="1">
      <c r="A255" s="27"/>
      <c r="B255" s="27"/>
      <c r="C255" s="27"/>
      <c r="D255" s="73"/>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4.3" customHeight="1">
      <c r="A256" s="27"/>
      <c r="B256" s="27"/>
      <c r="C256" s="27"/>
      <c r="D256" s="73"/>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4.3" customHeight="1">
      <c r="A257" s="27"/>
      <c r="B257" s="27"/>
      <c r="C257" s="27"/>
      <c r="D257" s="73"/>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4.3" customHeight="1">
      <c r="A258" s="27"/>
      <c r="B258" s="27"/>
      <c r="C258" s="27"/>
      <c r="D258" s="73"/>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4.3" customHeight="1">
      <c r="A259" s="27"/>
      <c r="B259" s="27"/>
      <c r="C259" s="27"/>
      <c r="D259" s="73"/>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4.3" customHeight="1">
      <c r="A260" s="27"/>
      <c r="B260" s="27"/>
      <c r="C260" s="27"/>
      <c r="D260" s="73"/>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4.3" customHeight="1">
      <c r="A261" s="27"/>
      <c r="B261" s="27"/>
      <c r="C261" s="27"/>
      <c r="D261" s="73"/>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4.3" customHeight="1">
      <c r="A262" s="27"/>
      <c r="B262" s="27"/>
      <c r="C262" s="27"/>
      <c r="D262" s="73"/>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4.3" customHeight="1">
      <c r="A263" s="27"/>
      <c r="B263" s="27"/>
      <c r="C263" s="27"/>
      <c r="D263" s="73"/>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4.3" customHeight="1">
      <c r="A264" s="27"/>
      <c r="B264" s="27"/>
      <c r="C264" s="27"/>
      <c r="D264" s="73"/>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4.3" customHeight="1">
      <c r="A265" s="27"/>
      <c r="B265" s="27"/>
      <c r="C265" s="27"/>
      <c r="D265" s="73"/>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4.3" customHeight="1">
      <c r="A266" s="27"/>
      <c r="B266" s="27"/>
      <c r="C266" s="27"/>
      <c r="D266" s="73"/>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4.3" customHeight="1">
      <c r="A267" s="27"/>
      <c r="B267" s="27"/>
      <c r="C267" s="27"/>
      <c r="D267" s="73"/>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4.3" customHeight="1">
      <c r="A268" s="27"/>
      <c r="B268" s="27"/>
      <c r="C268" s="27"/>
      <c r="D268" s="73"/>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4.3" customHeight="1">
      <c r="A269" s="27"/>
      <c r="B269" s="27"/>
      <c r="C269" s="27"/>
      <c r="D269" s="73"/>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4.3" customHeight="1">
      <c r="A270" s="27"/>
      <c r="B270" s="27"/>
      <c r="C270" s="27"/>
      <c r="D270" s="73"/>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4.3" customHeight="1">
      <c r="A271" s="27"/>
      <c r="B271" s="27"/>
      <c r="C271" s="27"/>
      <c r="D271" s="73"/>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4.3" customHeight="1">
      <c r="A272" s="27"/>
      <c r="B272" s="27"/>
      <c r="C272" s="27"/>
      <c r="D272" s="73"/>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4.3" customHeight="1">
      <c r="A273" s="27"/>
      <c r="B273" s="27"/>
      <c r="C273" s="27"/>
      <c r="D273" s="73"/>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4.3" customHeight="1">
      <c r="A274" s="27"/>
      <c r="B274" s="27"/>
      <c r="C274" s="27"/>
      <c r="D274" s="73"/>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4.3" customHeight="1">
      <c r="A275" s="27"/>
      <c r="B275" s="27"/>
      <c r="C275" s="27"/>
      <c r="D275" s="73"/>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4.3" customHeight="1">
      <c r="A276" s="27"/>
      <c r="B276" s="27"/>
      <c r="C276" s="27"/>
      <c r="D276" s="73"/>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4.3" customHeight="1">
      <c r="A277" s="27"/>
      <c r="B277" s="27"/>
      <c r="C277" s="27"/>
      <c r="D277" s="73"/>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4.3" customHeight="1">
      <c r="A278" s="27"/>
      <c r="B278" s="27"/>
      <c r="C278" s="27"/>
      <c r="D278" s="73"/>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4.3" customHeight="1">
      <c r="A279" s="27"/>
      <c r="B279" s="27"/>
      <c r="C279" s="27"/>
      <c r="D279" s="73"/>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4.3" customHeight="1">
      <c r="A280" s="27"/>
      <c r="B280" s="27"/>
      <c r="C280" s="27"/>
      <c r="D280" s="73"/>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4.3" customHeight="1">
      <c r="A281" s="27"/>
      <c r="B281" s="27"/>
      <c r="C281" s="27"/>
      <c r="D281" s="73"/>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4.3" customHeight="1">
      <c r="A282" s="27"/>
      <c r="B282" s="27"/>
      <c r="C282" s="27"/>
      <c r="D282" s="73"/>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4.3" customHeight="1">
      <c r="A283" s="27"/>
      <c r="B283" s="27"/>
      <c r="C283" s="27"/>
      <c r="D283" s="73"/>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4.3" customHeight="1">
      <c r="A284" s="27"/>
      <c r="B284" s="27"/>
      <c r="C284" s="27"/>
      <c r="D284" s="73"/>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4.3" customHeight="1">
      <c r="A285" s="27"/>
      <c r="B285" s="27"/>
      <c r="C285" s="27"/>
      <c r="D285" s="73"/>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4.3" customHeight="1">
      <c r="A286" s="27"/>
      <c r="B286" s="27"/>
      <c r="C286" s="27"/>
      <c r="D286" s="73"/>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4.3" customHeight="1">
      <c r="A287" s="27"/>
      <c r="B287" s="27"/>
      <c r="C287" s="27"/>
      <c r="D287" s="73"/>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4.3" customHeight="1">
      <c r="A288" s="27"/>
      <c r="B288" s="27"/>
      <c r="C288" s="27"/>
      <c r="D288" s="73"/>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4.3" customHeight="1">
      <c r="A289" s="27"/>
      <c r="B289" s="27"/>
      <c r="C289" s="27"/>
      <c r="D289" s="73"/>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4.3" customHeight="1">
      <c r="A290" s="27"/>
      <c r="B290" s="27"/>
      <c r="C290" s="27"/>
      <c r="D290" s="73"/>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4.3" customHeight="1">
      <c r="A291" s="27"/>
      <c r="B291" s="27"/>
      <c r="C291" s="27"/>
      <c r="D291" s="73"/>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4.3" customHeight="1">
      <c r="A292" s="27"/>
      <c r="B292" s="27"/>
      <c r="C292" s="27"/>
      <c r="D292" s="73"/>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4.3" customHeight="1">
      <c r="A293" s="27"/>
      <c r="B293" s="27"/>
      <c r="C293" s="27"/>
      <c r="D293" s="73"/>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4.3" customHeight="1">
      <c r="A294" s="27"/>
      <c r="B294" s="27"/>
      <c r="C294" s="27"/>
      <c r="D294" s="73"/>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4.3" customHeight="1">
      <c r="A295" s="27"/>
      <c r="B295" s="27"/>
      <c r="C295" s="27"/>
      <c r="D295" s="73"/>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4.3" customHeight="1">
      <c r="A296" s="27"/>
      <c r="B296" s="27"/>
      <c r="C296" s="27"/>
      <c r="D296" s="73"/>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4.3" customHeight="1">
      <c r="A297" s="27"/>
      <c r="B297" s="27"/>
      <c r="C297" s="27"/>
      <c r="D297" s="73"/>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4.3" customHeight="1">
      <c r="A298" s="27"/>
      <c r="B298" s="27"/>
      <c r="C298" s="27"/>
      <c r="D298" s="73"/>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4.3" customHeight="1">
      <c r="A299" s="27"/>
      <c r="B299" s="27"/>
      <c r="C299" s="27"/>
      <c r="D299" s="73"/>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4.3" customHeight="1">
      <c r="A300" s="27"/>
      <c r="B300" s="27"/>
      <c r="C300" s="27"/>
      <c r="D300" s="73"/>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4.3" customHeight="1">
      <c r="A301" s="27"/>
      <c r="B301" s="27"/>
      <c r="C301" s="27"/>
      <c r="D301" s="73"/>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4.3" customHeight="1">
      <c r="A302" s="27"/>
      <c r="B302" s="27"/>
      <c r="C302" s="27"/>
      <c r="D302" s="73"/>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4.3" customHeight="1">
      <c r="A303" s="27"/>
      <c r="B303" s="27"/>
      <c r="C303" s="27"/>
      <c r="D303" s="73"/>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4.3" customHeight="1">
      <c r="A304" s="27"/>
      <c r="B304" s="27"/>
      <c r="C304" s="27"/>
      <c r="D304" s="73"/>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4.3" customHeight="1">
      <c r="A305" s="27"/>
      <c r="B305" s="27"/>
      <c r="C305" s="27"/>
      <c r="D305" s="73"/>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4.3" customHeight="1">
      <c r="A306" s="27"/>
      <c r="B306" s="27"/>
      <c r="C306" s="27"/>
      <c r="D306" s="73"/>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4.3" customHeight="1">
      <c r="A307" s="27"/>
      <c r="B307" s="27"/>
      <c r="C307" s="27"/>
      <c r="D307" s="73"/>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4.3" customHeight="1">
      <c r="A308" s="27"/>
      <c r="B308" s="27"/>
      <c r="C308" s="27"/>
      <c r="D308" s="73"/>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4.3" customHeight="1">
      <c r="A309" s="27"/>
      <c r="B309" s="27"/>
      <c r="C309" s="27"/>
      <c r="D309" s="73"/>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4.3" customHeight="1">
      <c r="A310" s="27"/>
      <c r="B310" s="27"/>
      <c r="C310" s="27"/>
      <c r="D310" s="73"/>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4.3" customHeight="1">
      <c r="A311" s="27"/>
      <c r="B311" s="27"/>
      <c r="C311" s="27"/>
      <c r="D311" s="73"/>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4.3" customHeight="1">
      <c r="A312" s="27"/>
      <c r="B312" s="27"/>
      <c r="C312" s="27"/>
      <c r="D312" s="73"/>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4.3" customHeight="1">
      <c r="A313" s="27"/>
      <c r="B313" s="27"/>
      <c r="C313" s="27"/>
      <c r="D313" s="73"/>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4.3" customHeight="1">
      <c r="A314" s="27"/>
      <c r="B314" s="27"/>
      <c r="C314" s="27"/>
      <c r="D314" s="73"/>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4.3" customHeight="1">
      <c r="A315" s="27"/>
      <c r="B315" s="27"/>
      <c r="C315" s="27"/>
      <c r="D315" s="73"/>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4.3" customHeight="1">
      <c r="A316" s="27"/>
      <c r="B316" s="27"/>
      <c r="C316" s="27"/>
      <c r="D316" s="73"/>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4.3" customHeight="1">
      <c r="A317" s="27"/>
      <c r="B317" s="27"/>
      <c r="C317" s="27"/>
      <c r="D317" s="73"/>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4.3" customHeight="1">
      <c r="A318" s="27"/>
      <c r="B318" s="27"/>
      <c r="C318" s="27"/>
      <c r="D318" s="73"/>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4.3" customHeight="1">
      <c r="A319" s="27"/>
      <c r="B319" s="27"/>
      <c r="C319" s="27"/>
      <c r="D319" s="73"/>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4.3" customHeight="1">
      <c r="A320" s="27"/>
      <c r="B320" s="27"/>
      <c r="C320" s="27"/>
      <c r="D320" s="73"/>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4.3" customHeight="1">
      <c r="A321" s="27"/>
      <c r="B321" s="27"/>
      <c r="C321" s="27"/>
      <c r="D321" s="73"/>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4.3" customHeight="1">
      <c r="A322" s="27"/>
      <c r="B322" s="27"/>
      <c r="C322" s="27"/>
      <c r="D322" s="73"/>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4.3" customHeight="1">
      <c r="A323" s="27"/>
      <c r="B323" s="27"/>
      <c r="C323" s="27"/>
      <c r="D323" s="73"/>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4.3" customHeight="1">
      <c r="A324" s="27"/>
      <c r="B324" s="27"/>
      <c r="C324" s="27"/>
      <c r="D324" s="73"/>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4.3" customHeight="1">
      <c r="A325" s="27"/>
      <c r="B325" s="27"/>
      <c r="C325" s="27"/>
      <c r="D325" s="73"/>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4.3" customHeight="1">
      <c r="A326" s="27"/>
      <c r="B326" s="27"/>
      <c r="C326" s="27"/>
      <c r="D326" s="73"/>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4.3" customHeight="1">
      <c r="A327" s="27"/>
      <c r="B327" s="27"/>
      <c r="C327" s="27"/>
      <c r="D327" s="73"/>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4.3" customHeight="1">
      <c r="A328" s="27"/>
      <c r="B328" s="27"/>
      <c r="C328" s="27"/>
      <c r="D328" s="73"/>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4.3" customHeight="1">
      <c r="A329" s="27"/>
      <c r="B329" s="27"/>
      <c r="C329" s="27"/>
      <c r="D329" s="73"/>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4.3" customHeight="1">
      <c r="A330" s="27"/>
      <c r="B330" s="27"/>
      <c r="C330" s="27"/>
      <c r="D330" s="73"/>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4.3" customHeight="1">
      <c r="A331" s="27"/>
      <c r="B331" s="27"/>
      <c r="C331" s="27"/>
      <c r="D331" s="73"/>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4.3" customHeight="1">
      <c r="A332" s="27"/>
      <c r="B332" s="27"/>
      <c r="C332" s="27"/>
      <c r="D332" s="73"/>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4.3" customHeight="1">
      <c r="A333" s="27"/>
      <c r="B333" s="27"/>
      <c r="C333" s="27"/>
      <c r="D333" s="73"/>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4.3" customHeight="1">
      <c r="A334" s="27"/>
      <c r="B334" s="27"/>
      <c r="C334" s="27"/>
      <c r="D334" s="73"/>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4.3" customHeight="1">
      <c r="A335" s="27"/>
      <c r="B335" s="27"/>
      <c r="C335" s="27"/>
      <c r="D335" s="73"/>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4.3" customHeight="1">
      <c r="A336" s="27"/>
      <c r="B336" s="27"/>
      <c r="C336" s="27"/>
      <c r="D336" s="73"/>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4.3" customHeight="1">
      <c r="A337" s="27"/>
      <c r="B337" s="27"/>
      <c r="C337" s="27"/>
      <c r="D337" s="73"/>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4.3" customHeight="1">
      <c r="A338" s="27"/>
      <c r="B338" s="27"/>
      <c r="C338" s="27"/>
      <c r="D338" s="73"/>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4.3" customHeight="1">
      <c r="A339" s="27"/>
      <c r="B339" s="27"/>
      <c r="C339" s="27"/>
      <c r="D339" s="73"/>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4.3" customHeight="1">
      <c r="A340" s="27"/>
      <c r="B340" s="27"/>
      <c r="C340" s="27"/>
      <c r="D340" s="73"/>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4.3" customHeight="1">
      <c r="A341" s="27"/>
      <c r="B341" s="27"/>
      <c r="C341" s="27"/>
      <c r="D341" s="73"/>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4.3" customHeight="1">
      <c r="A342" s="27"/>
      <c r="B342" s="27"/>
      <c r="C342" s="27"/>
      <c r="D342" s="73"/>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4.3" customHeight="1">
      <c r="A343" s="27"/>
      <c r="B343" s="27"/>
      <c r="C343" s="27"/>
      <c r="D343" s="73"/>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4.3" customHeight="1">
      <c r="A344" s="27"/>
      <c r="B344" s="27"/>
      <c r="C344" s="27"/>
      <c r="D344" s="73"/>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4.3" customHeight="1">
      <c r="A345" s="27"/>
      <c r="B345" s="27"/>
      <c r="C345" s="27"/>
      <c r="D345" s="73"/>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4.3" customHeight="1">
      <c r="A346" s="27"/>
      <c r="B346" s="27"/>
      <c r="C346" s="27"/>
      <c r="D346" s="73"/>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4.3" customHeight="1">
      <c r="A347" s="27"/>
      <c r="B347" s="27"/>
      <c r="C347" s="27"/>
      <c r="D347" s="73"/>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4.3" customHeight="1">
      <c r="A348" s="27"/>
      <c r="B348" s="27"/>
      <c r="C348" s="27"/>
      <c r="D348" s="73"/>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4.3" customHeight="1">
      <c r="A349" s="27"/>
      <c r="B349" s="27"/>
      <c r="C349" s="27"/>
      <c r="D349" s="73"/>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4.3" customHeight="1">
      <c r="A350" s="27"/>
      <c r="B350" s="27"/>
      <c r="C350" s="27"/>
      <c r="D350" s="73"/>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4.3" customHeight="1">
      <c r="A351" s="27"/>
      <c r="B351" s="27"/>
      <c r="C351" s="27"/>
      <c r="D351" s="73"/>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4.3" customHeight="1">
      <c r="A352" s="27"/>
      <c r="B352" s="27"/>
      <c r="C352" s="27"/>
      <c r="D352" s="73"/>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4.3" customHeight="1">
      <c r="A353" s="27"/>
      <c r="B353" s="27"/>
      <c r="C353" s="27"/>
      <c r="D353" s="73"/>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4.3" customHeight="1">
      <c r="A354" s="27"/>
      <c r="B354" s="27"/>
      <c r="C354" s="27"/>
      <c r="D354" s="73"/>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4.3" customHeight="1">
      <c r="A355" s="27"/>
      <c r="B355" s="27"/>
      <c r="C355" s="27"/>
      <c r="D355" s="73"/>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4.3" customHeight="1">
      <c r="A356" s="27"/>
      <c r="B356" s="27"/>
      <c r="C356" s="27"/>
      <c r="D356" s="73"/>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4.3" customHeight="1">
      <c r="A357" s="27"/>
      <c r="B357" s="27"/>
      <c r="C357" s="27"/>
      <c r="D357" s="73"/>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4.3" customHeight="1">
      <c r="A358" s="27"/>
      <c r="B358" s="27"/>
      <c r="C358" s="27"/>
      <c r="D358" s="73"/>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4.3" customHeight="1">
      <c r="A359" s="27"/>
      <c r="B359" s="27"/>
      <c r="C359" s="27"/>
      <c r="D359" s="73"/>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4.3" customHeight="1">
      <c r="A360" s="27"/>
      <c r="B360" s="27"/>
      <c r="C360" s="27"/>
      <c r="D360" s="73"/>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4.3" customHeight="1">
      <c r="A361" s="27"/>
      <c r="B361" s="27"/>
      <c r="C361" s="27"/>
      <c r="D361" s="73"/>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4.3" customHeight="1">
      <c r="A362" s="27"/>
      <c r="B362" s="27"/>
      <c r="C362" s="27"/>
      <c r="D362" s="73"/>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4.3" customHeight="1">
      <c r="A363" s="27"/>
      <c r="B363" s="27"/>
      <c r="C363" s="27"/>
      <c r="D363" s="73"/>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4.3" customHeight="1">
      <c r="A364" s="27"/>
      <c r="B364" s="27"/>
      <c r="C364" s="27"/>
      <c r="D364" s="73"/>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4.3" customHeight="1">
      <c r="A365" s="27"/>
      <c r="B365" s="27"/>
      <c r="C365" s="27"/>
      <c r="D365" s="73"/>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4.3" customHeight="1">
      <c r="A366" s="27"/>
      <c r="B366" s="27"/>
      <c r="C366" s="27"/>
      <c r="D366" s="73"/>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4.3" customHeight="1">
      <c r="A367" s="27"/>
      <c r="B367" s="27"/>
      <c r="C367" s="27"/>
      <c r="D367" s="73"/>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4.3" customHeight="1">
      <c r="A368" s="27"/>
      <c r="B368" s="27"/>
      <c r="C368" s="27"/>
      <c r="D368" s="73"/>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4.3" customHeight="1">
      <c r="A369" s="27"/>
      <c r="B369" s="27"/>
      <c r="C369" s="27"/>
      <c r="D369" s="73"/>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4.3" customHeight="1">
      <c r="A370" s="27"/>
      <c r="B370" s="27"/>
      <c r="C370" s="27"/>
      <c r="D370" s="73"/>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4.3" customHeight="1">
      <c r="A371" s="27"/>
      <c r="B371" s="27"/>
      <c r="C371" s="27"/>
      <c r="D371" s="73"/>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4.3" customHeight="1">
      <c r="A372" s="27"/>
      <c r="B372" s="27"/>
      <c r="C372" s="27"/>
      <c r="D372" s="73"/>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4.3" customHeight="1">
      <c r="A373" s="27"/>
      <c r="B373" s="27"/>
      <c r="C373" s="27"/>
      <c r="D373" s="73"/>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4.3" customHeight="1">
      <c r="A374" s="27"/>
      <c r="B374" s="27"/>
      <c r="C374" s="27"/>
      <c r="D374" s="73"/>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4.3" customHeight="1">
      <c r="A375" s="27"/>
      <c r="B375" s="27"/>
      <c r="C375" s="27"/>
      <c r="D375" s="73"/>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4.3" customHeight="1">
      <c r="A376" s="27"/>
      <c r="B376" s="27"/>
      <c r="C376" s="27"/>
      <c r="D376" s="73"/>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4.3" customHeight="1">
      <c r="A377" s="27"/>
      <c r="B377" s="27"/>
      <c r="C377" s="27"/>
      <c r="D377" s="73"/>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4.3" customHeight="1">
      <c r="A378" s="27"/>
      <c r="B378" s="27"/>
      <c r="C378" s="27"/>
      <c r="D378" s="73"/>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4.3" customHeight="1">
      <c r="A379" s="27"/>
      <c r="B379" s="27"/>
      <c r="C379" s="27"/>
      <c r="D379" s="73"/>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4.3" customHeight="1">
      <c r="A380" s="27"/>
      <c r="B380" s="27"/>
      <c r="C380" s="27"/>
      <c r="D380" s="73"/>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4.3" customHeight="1">
      <c r="A381" s="27"/>
      <c r="B381" s="27"/>
      <c r="C381" s="27"/>
      <c r="D381" s="73"/>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4.3" customHeight="1">
      <c r="A382" s="27"/>
      <c r="B382" s="27"/>
      <c r="C382" s="27"/>
      <c r="D382" s="73"/>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4.3" customHeight="1">
      <c r="A383" s="27"/>
      <c r="B383" s="27"/>
      <c r="C383" s="27"/>
      <c r="D383" s="73"/>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4.3" customHeight="1">
      <c r="A384" s="27"/>
      <c r="B384" s="27"/>
      <c r="C384" s="27"/>
      <c r="D384" s="73"/>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4.3" customHeight="1">
      <c r="A385" s="27"/>
      <c r="B385" s="27"/>
      <c r="C385" s="27"/>
      <c r="D385" s="73"/>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4.3" customHeight="1">
      <c r="A386" s="27"/>
      <c r="B386" s="27"/>
      <c r="C386" s="27"/>
      <c r="D386" s="73"/>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4.3" customHeight="1">
      <c r="A387" s="27"/>
      <c r="B387" s="27"/>
      <c r="C387" s="27"/>
      <c r="D387" s="73"/>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4.3" customHeight="1">
      <c r="A388" s="27"/>
      <c r="B388" s="27"/>
      <c r="C388" s="27"/>
      <c r="D388" s="73"/>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4.3" customHeight="1">
      <c r="A389" s="27"/>
      <c r="B389" s="27"/>
      <c r="C389" s="27"/>
      <c r="D389" s="73"/>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4.3" customHeight="1">
      <c r="A390" s="27"/>
      <c r="B390" s="27"/>
      <c r="C390" s="27"/>
      <c r="D390" s="73"/>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4.3" customHeight="1">
      <c r="A391" s="27"/>
      <c r="B391" s="27"/>
      <c r="C391" s="27"/>
      <c r="D391" s="73"/>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4.3" customHeight="1">
      <c r="A392" s="27"/>
      <c r="B392" s="27"/>
      <c r="C392" s="27"/>
      <c r="D392" s="73"/>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4.3" customHeight="1">
      <c r="A393" s="27"/>
      <c r="B393" s="27"/>
      <c r="C393" s="27"/>
      <c r="D393" s="73"/>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4.3" customHeight="1">
      <c r="A394" s="27"/>
      <c r="B394" s="27"/>
      <c r="C394" s="27"/>
      <c r="D394" s="73"/>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4.3" customHeight="1">
      <c r="A395" s="27"/>
      <c r="B395" s="27"/>
      <c r="C395" s="27"/>
      <c r="D395" s="73"/>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4.3" customHeight="1">
      <c r="A396" s="27"/>
      <c r="B396" s="27"/>
      <c r="C396" s="27"/>
      <c r="D396" s="73"/>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4.3" customHeight="1">
      <c r="A397" s="27"/>
      <c r="B397" s="27"/>
      <c r="C397" s="27"/>
      <c r="D397" s="73"/>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4.3" customHeight="1">
      <c r="A398" s="27"/>
      <c r="B398" s="27"/>
      <c r="C398" s="27"/>
      <c r="D398" s="73"/>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4.3" customHeight="1">
      <c r="A399" s="27"/>
      <c r="B399" s="27"/>
      <c r="C399" s="27"/>
      <c r="D399" s="73"/>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4.3" customHeight="1">
      <c r="A400" s="27"/>
      <c r="B400" s="27"/>
      <c r="C400" s="27"/>
      <c r="D400" s="73"/>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4.3" customHeight="1">
      <c r="A401" s="27"/>
      <c r="B401" s="27"/>
      <c r="C401" s="27"/>
      <c r="D401" s="73"/>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4.3" customHeight="1">
      <c r="A402" s="27"/>
      <c r="B402" s="27"/>
      <c r="C402" s="27"/>
      <c r="D402" s="73"/>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4.3" customHeight="1">
      <c r="A403" s="27"/>
      <c r="B403" s="27"/>
      <c r="C403" s="27"/>
      <c r="D403" s="73"/>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4.3" customHeight="1">
      <c r="A404" s="27"/>
      <c r="B404" s="27"/>
      <c r="C404" s="27"/>
      <c r="D404" s="73"/>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4.3" customHeight="1">
      <c r="A405" s="27"/>
      <c r="B405" s="27"/>
      <c r="C405" s="27"/>
      <c r="D405" s="73"/>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4.3" customHeight="1">
      <c r="A406" s="27"/>
      <c r="B406" s="27"/>
      <c r="C406" s="27"/>
      <c r="D406" s="73"/>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4.3" customHeight="1">
      <c r="A407" s="27"/>
      <c r="B407" s="27"/>
      <c r="C407" s="27"/>
      <c r="D407" s="73"/>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4.3" customHeight="1">
      <c r="A408" s="27"/>
      <c r="B408" s="27"/>
      <c r="C408" s="27"/>
      <c r="D408" s="73"/>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4.3" customHeight="1">
      <c r="A409" s="27"/>
      <c r="B409" s="27"/>
      <c r="C409" s="27"/>
      <c r="D409" s="73"/>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4.3" customHeight="1">
      <c r="A410" s="27"/>
      <c r="B410" s="27"/>
      <c r="C410" s="27"/>
      <c r="D410" s="73"/>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4.3" customHeight="1">
      <c r="A411" s="27"/>
      <c r="B411" s="27"/>
      <c r="C411" s="27"/>
      <c r="D411" s="73"/>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4.3" customHeight="1">
      <c r="A412" s="27"/>
      <c r="B412" s="27"/>
      <c r="C412" s="27"/>
      <c r="D412" s="73"/>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4.3" customHeight="1">
      <c r="A413" s="27"/>
      <c r="B413" s="27"/>
      <c r="C413" s="27"/>
      <c r="D413" s="73"/>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4.3" customHeight="1">
      <c r="A414" s="27"/>
      <c r="B414" s="27"/>
      <c r="C414" s="27"/>
      <c r="D414" s="73"/>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4.3" customHeight="1">
      <c r="A415" s="27"/>
      <c r="B415" s="27"/>
      <c r="C415" s="27"/>
      <c r="D415" s="73"/>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4.3" customHeight="1">
      <c r="A416" s="27"/>
      <c r="B416" s="27"/>
      <c r="C416" s="27"/>
      <c r="D416" s="73"/>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4.3" customHeight="1">
      <c r="A417" s="27"/>
      <c r="B417" s="27"/>
      <c r="C417" s="27"/>
      <c r="D417" s="73"/>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4.3" customHeight="1">
      <c r="A418" s="27"/>
      <c r="B418" s="27"/>
      <c r="C418" s="27"/>
      <c r="D418" s="73"/>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4.3" customHeight="1">
      <c r="A419" s="27"/>
      <c r="B419" s="27"/>
      <c r="C419" s="27"/>
      <c r="D419" s="73"/>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4.3" customHeight="1">
      <c r="A420" s="27"/>
      <c r="B420" s="27"/>
      <c r="C420" s="27"/>
      <c r="D420" s="73"/>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4.3" customHeight="1">
      <c r="A421" s="27"/>
      <c r="B421" s="27"/>
      <c r="C421" s="27"/>
      <c r="D421" s="73"/>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4.3" customHeight="1">
      <c r="A422" s="27"/>
      <c r="B422" s="27"/>
      <c r="C422" s="27"/>
      <c r="D422" s="73"/>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4.3" customHeight="1">
      <c r="A423" s="27"/>
      <c r="B423" s="27"/>
      <c r="C423" s="27"/>
      <c r="D423" s="73"/>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4.3" customHeight="1">
      <c r="A424" s="27"/>
      <c r="B424" s="27"/>
      <c r="C424" s="27"/>
      <c r="D424" s="73"/>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4.3" customHeight="1">
      <c r="A425" s="27"/>
      <c r="B425" s="27"/>
      <c r="C425" s="27"/>
      <c r="D425" s="73"/>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4.3" customHeight="1">
      <c r="A426" s="27"/>
      <c r="B426" s="27"/>
      <c r="C426" s="27"/>
      <c r="D426" s="73"/>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4.3" customHeight="1">
      <c r="A427" s="27"/>
      <c r="B427" s="27"/>
      <c r="C427" s="27"/>
      <c r="D427" s="73"/>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4.3" customHeight="1">
      <c r="A428" s="27"/>
      <c r="B428" s="27"/>
      <c r="C428" s="27"/>
      <c r="D428" s="73"/>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4.3" customHeight="1">
      <c r="A429" s="27"/>
      <c r="B429" s="27"/>
      <c r="C429" s="27"/>
      <c r="D429" s="73"/>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4.3" customHeight="1">
      <c r="A430" s="27"/>
      <c r="B430" s="27"/>
      <c r="C430" s="27"/>
      <c r="D430" s="73"/>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4.3" customHeight="1">
      <c r="A431" s="27"/>
      <c r="B431" s="27"/>
      <c r="C431" s="27"/>
      <c r="D431" s="73"/>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4.3" customHeight="1">
      <c r="A432" s="27"/>
      <c r="B432" s="27"/>
      <c r="C432" s="27"/>
      <c r="D432" s="73"/>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4.3" customHeight="1">
      <c r="A433" s="27"/>
      <c r="B433" s="27"/>
      <c r="C433" s="27"/>
      <c r="D433" s="73"/>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4.3" customHeight="1">
      <c r="A434" s="27"/>
      <c r="B434" s="27"/>
      <c r="C434" s="27"/>
      <c r="D434" s="73"/>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4.3" customHeight="1">
      <c r="A435" s="27"/>
      <c r="B435" s="27"/>
      <c r="C435" s="27"/>
      <c r="D435" s="73"/>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4.3" customHeight="1">
      <c r="A436" s="27"/>
      <c r="B436" s="27"/>
      <c r="C436" s="27"/>
      <c r="D436" s="73"/>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4.3" customHeight="1">
      <c r="A437" s="27"/>
      <c r="B437" s="27"/>
      <c r="C437" s="27"/>
      <c r="D437" s="73"/>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4.3" customHeight="1">
      <c r="A438" s="27"/>
      <c r="B438" s="27"/>
      <c r="C438" s="27"/>
      <c r="D438" s="73"/>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4.3" customHeight="1">
      <c r="A439" s="27"/>
      <c r="B439" s="27"/>
      <c r="C439" s="27"/>
      <c r="D439" s="73"/>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4.3" customHeight="1">
      <c r="A440" s="27"/>
      <c r="B440" s="27"/>
      <c r="C440" s="27"/>
      <c r="D440" s="73"/>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4.3" customHeight="1">
      <c r="A441" s="27"/>
      <c r="B441" s="27"/>
      <c r="C441" s="27"/>
      <c r="D441" s="73"/>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4.3" customHeight="1">
      <c r="A442" s="27"/>
      <c r="B442" s="27"/>
      <c r="C442" s="27"/>
      <c r="D442" s="73"/>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4.3" customHeight="1">
      <c r="A443" s="27"/>
      <c r="B443" s="27"/>
      <c r="C443" s="27"/>
      <c r="D443" s="73"/>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4.3" customHeight="1">
      <c r="A444" s="27"/>
      <c r="B444" s="27"/>
      <c r="C444" s="27"/>
      <c r="D444" s="73"/>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4.3" customHeight="1">
      <c r="A445" s="27"/>
      <c r="B445" s="27"/>
      <c r="C445" s="27"/>
      <c r="D445" s="73"/>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4.3" customHeight="1">
      <c r="A446" s="27"/>
      <c r="B446" s="27"/>
      <c r="C446" s="27"/>
      <c r="D446" s="73"/>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4.3" customHeight="1">
      <c r="A447" s="27"/>
      <c r="B447" s="27"/>
      <c r="C447" s="27"/>
      <c r="D447" s="73"/>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4.3" customHeight="1">
      <c r="A448" s="27"/>
      <c r="B448" s="27"/>
      <c r="C448" s="27"/>
      <c r="D448" s="73"/>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4.3" customHeight="1">
      <c r="A449" s="27"/>
      <c r="B449" s="27"/>
      <c r="C449" s="27"/>
      <c r="D449" s="73"/>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4.3" customHeight="1">
      <c r="A450" s="27"/>
      <c r="B450" s="27"/>
      <c r="C450" s="27"/>
      <c r="D450" s="73"/>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4.3" customHeight="1">
      <c r="A451" s="27"/>
      <c r="B451" s="27"/>
      <c r="C451" s="27"/>
      <c r="D451" s="73"/>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4.3" customHeight="1">
      <c r="A452" s="27"/>
      <c r="B452" s="27"/>
      <c r="C452" s="27"/>
      <c r="D452" s="73"/>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4.3" customHeight="1">
      <c r="A453" s="27"/>
      <c r="B453" s="27"/>
      <c r="C453" s="27"/>
      <c r="D453" s="73"/>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4.3" customHeight="1">
      <c r="A454" s="27"/>
      <c r="B454" s="27"/>
      <c r="C454" s="27"/>
      <c r="D454" s="73"/>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4.3" customHeight="1">
      <c r="A455" s="27"/>
      <c r="B455" s="27"/>
      <c r="C455" s="27"/>
      <c r="D455" s="73"/>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4.3" customHeight="1">
      <c r="A456" s="27"/>
      <c r="B456" s="27"/>
      <c r="C456" s="27"/>
      <c r="D456" s="73"/>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4.3" customHeight="1">
      <c r="A457" s="27"/>
      <c r="B457" s="27"/>
      <c r="C457" s="27"/>
      <c r="D457" s="73"/>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4.3" customHeight="1">
      <c r="A458" s="27"/>
      <c r="B458" s="27"/>
      <c r="C458" s="27"/>
      <c r="D458" s="73"/>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4.3" customHeight="1">
      <c r="A459" s="27"/>
      <c r="B459" s="27"/>
      <c r="C459" s="27"/>
      <c r="D459" s="73"/>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4.3" customHeight="1">
      <c r="A460" s="27"/>
      <c r="B460" s="27"/>
      <c r="C460" s="27"/>
      <c r="D460" s="73"/>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4.3" customHeight="1">
      <c r="A461" s="27"/>
      <c r="B461" s="27"/>
      <c r="C461" s="27"/>
      <c r="D461" s="73"/>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4.3" customHeight="1">
      <c r="A462" s="27"/>
      <c r="B462" s="27"/>
      <c r="C462" s="27"/>
      <c r="D462" s="73"/>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4.3" customHeight="1">
      <c r="A463" s="27"/>
      <c r="B463" s="27"/>
      <c r="C463" s="27"/>
      <c r="D463" s="73"/>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4.3" customHeight="1">
      <c r="A464" s="27"/>
      <c r="B464" s="27"/>
      <c r="C464" s="27"/>
      <c r="D464" s="73"/>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4.3" customHeight="1">
      <c r="A465" s="27"/>
      <c r="B465" s="27"/>
      <c r="C465" s="27"/>
      <c r="D465" s="73"/>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4.3" customHeight="1">
      <c r="A466" s="27"/>
      <c r="B466" s="27"/>
      <c r="C466" s="27"/>
      <c r="D466" s="73"/>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4.3" customHeight="1">
      <c r="A467" s="27"/>
      <c r="B467" s="27"/>
      <c r="C467" s="27"/>
      <c r="D467" s="73"/>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4.3" customHeight="1">
      <c r="A468" s="27"/>
      <c r="B468" s="27"/>
      <c r="C468" s="27"/>
      <c r="D468" s="73"/>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4.3" customHeight="1">
      <c r="A469" s="27"/>
      <c r="B469" s="27"/>
      <c r="C469" s="27"/>
      <c r="D469" s="73"/>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4.3" customHeight="1">
      <c r="A470" s="27"/>
      <c r="B470" s="27"/>
      <c r="C470" s="27"/>
      <c r="D470" s="73"/>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4.3" customHeight="1">
      <c r="A471" s="27"/>
      <c r="B471" s="27"/>
      <c r="C471" s="27"/>
      <c r="D471" s="73"/>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4.3" customHeight="1">
      <c r="A472" s="27"/>
      <c r="B472" s="27"/>
      <c r="C472" s="27"/>
      <c r="D472" s="73"/>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4.3" customHeight="1">
      <c r="A473" s="27"/>
      <c r="B473" s="27"/>
      <c r="C473" s="27"/>
      <c r="D473" s="73"/>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4.3" customHeight="1">
      <c r="A474" s="27"/>
      <c r="B474" s="27"/>
      <c r="C474" s="27"/>
      <c r="D474" s="73"/>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4.3" customHeight="1">
      <c r="A475" s="27"/>
      <c r="B475" s="27"/>
      <c r="C475" s="27"/>
      <c r="D475" s="73"/>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4.3" customHeight="1">
      <c r="A476" s="27"/>
      <c r="B476" s="27"/>
      <c r="C476" s="27"/>
      <c r="D476" s="73"/>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4.3" customHeight="1">
      <c r="A477" s="27"/>
      <c r="B477" s="27"/>
      <c r="C477" s="27"/>
      <c r="D477" s="73"/>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4.3" customHeight="1">
      <c r="A478" s="27"/>
      <c r="B478" s="27"/>
      <c r="C478" s="27"/>
      <c r="D478" s="73"/>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4.3" customHeight="1">
      <c r="A479" s="27"/>
      <c r="B479" s="27"/>
      <c r="C479" s="27"/>
      <c r="D479" s="73"/>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4.3" customHeight="1">
      <c r="A480" s="27"/>
      <c r="B480" s="27"/>
      <c r="C480" s="27"/>
      <c r="D480" s="73"/>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4.3" customHeight="1">
      <c r="A481" s="27"/>
      <c r="B481" s="27"/>
      <c r="C481" s="27"/>
      <c r="D481" s="73"/>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4.3" customHeight="1">
      <c r="A482" s="27"/>
      <c r="B482" s="27"/>
      <c r="C482" s="27"/>
      <c r="D482" s="73"/>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4.3" customHeight="1">
      <c r="A483" s="27"/>
      <c r="B483" s="27"/>
      <c r="C483" s="27"/>
      <c r="D483" s="73"/>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4.3" customHeight="1">
      <c r="A484" s="27"/>
      <c r="B484" s="27"/>
      <c r="C484" s="27"/>
      <c r="D484" s="73"/>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4.3" customHeight="1">
      <c r="A485" s="27"/>
      <c r="B485" s="27"/>
      <c r="C485" s="27"/>
      <c r="D485" s="73"/>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4.3" customHeight="1">
      <c r="A486" s="27"/>
      <c r="B486" s="27"/>
      <c r="C486" s="27"/>
      <c r="D486" s="73"/>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4.3" customHeight="1">
      <c r="A487" s="27"/>
      <c r="B487" s="27"/>
      <c r="C487" s="27"/>
      <c r="D487" s="73"/>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4.3" customHeight="1">
      <c r="A488" s="27"/>
      <c r="B488" s="27"/>
      <c r="C488" s="27"/>
      <c r="D488" s="73"/>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4.3" customHeight="1">
      <c r="A489" s="27"/>
      <c r="B489" s="27"/>
      <c r="C489" s="27"/>
      <c r="D489" s="73"/>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4.3" customHeight="1">
      <c r="A490" s="27"/>
      <c r="B490" s="27"/>
      <c r="C490" s="27"/>
      <c r="D490" s="73"/>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4.3" customHeight="1">
      <c r="A491" s="27"/>
      <c r="B491" s="27"/>
      <c r="C491" s="27"/>
      <c r="D491" s="73"/>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4.3" customHeight="1">
      <c r="A492" s="27"/>
      <c r="B492" s="27"/>
      <c r="C492" s="27"/>
      <c r="D492" s="73"/>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4.3" customHeight="1">
      <c r="A493" s="27"/>
      <c r="B493" s="27"/>
      <c r="C493" s="27"/>
      <c r="D493" s="73"/>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4.3" customHeight="1">
      <c r="A494" s="27"/>
      <c r="B494" s="27"/>
      <c r="C494" s="27"/>
      <c r="D494" s="73"/>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4.3" customHeight="1">
      <c r="A495" s="27"/>
      <c r="B495" s="27"/>
      <c r="C495" s="27"/>
      <c r="D495" s="73"/>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4.3" customHeight="1">
      <c r="A496" s="27"/>
      <c r="B496" s="27"/>
      <c r="C496" s="27"/>
      <c r="D496" s="73"/>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4.3" customHeight="1">
      <c r="A497" s="27"/>
      <c r="B497" s="27"/>
      <c r="C497" s="27"/>
      <c r="D497" s="73"/>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4.3" customHeight="1">
      <c r="A498" s="27"/>
      <c r="B498" s="27"/>
      <c r="C498" s="27"/>
      <c r="D498" s="73"/>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4.3" customHeight="1">
      <c r="A499" s="27"/>
      <c r="B499" s="27"/>
      <c r="C499" s="27"/>
      <c r="D499" s="73"/>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4.3" customHeight="1">
      <c r="A500" s="27"/>
      <c r="B500" s="27"/>
      <c r="C500" s="27"/>
      <c r="D500" s="73"/>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4.3" customHeight="1">
      <c r="A501" s="27"/>
      <c r="B501" s="27"/>
      <c r="C501" s="27"/>
      <c r="D501" s="73"/>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4.3" customHeight="1">
      <c r="A502" s="27"/>
      <c r="B502" s="27"/>
      <c r="C502" s="27"/>
      <c r="D502" s="73"/>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4.3" customHeight="1">
      <c r="A503" s="27"/>
      <c r="B503" s="27"/>
      <c r="C503" s="27"/>
      <c r="D503" s="73"/>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4.3" customHeight="1">
      <c r="A504" s="27"/>
      <c r="B504" s="27"/>
      <c r="C504" s="27"/>
      <c r="D504" s="73"/>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4.3" customHeight="1">
      <c r="A505" s="27"/>
      <c r="B505" s="27"/>
      <c r="C505" s="27"/>
      <c r="D505" s="73"/>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4.3" customHeight="1">
      <c r="A506" s="27"/>
      <c r="B506" s="27"/>
      <c r="C506" s="27"/>
      <c r="D506" s="73"/>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4.3" customHeight="1">
      <c r="A507" s="27"/>
      <c r="B507" s="27"/>
      <c r="C507" s="27"/>
      <c r="D507" s="73"/>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4.3" customHeight="1">
      <c r="A508" s="27"/>
      <c r="B508" s="27"/>
      <c r="C508" s="27"/>
      <c r="D508" s="73"/>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4.3" customHeight="1">
      <c r="A509" s="27"/>
      <c r="B509" s="27"/>
      <c r="C509" s="27"/>
      <c r="D509" s="73"/>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4.3" customHeight="1">
      <c r="A510" s="27"/>
      <c r="B510" s="27"/>
      <c r="C510" s="27"/>
      <c r="D510" s="73"/>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4.3" customHeight="1">
      <c r="A511" s="27"/>
      <c r="B511" s="27"/>
      <c r="C511" s="27"/>
      <c r="D511" s="73"/>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4.3" customHeight="1">
      <c r="A512" s="27"/>
      <c r="B512" s="27"/>
      <c r="C512" s="27"/>
      <c r="D512" s="73"/>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4.3" customHeight="1">
      <c r="A513" s="27"/>
      <c r="B513" s="27"/>
      <c r="C513" s="27"/>
      <c r="D513" s="73"/>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4.3" customHeight="1">
      <c r="A514" s="27"/>
      <c r="B514" s="27"/>
      <c r="C514" s="27"/>
      <c r="D514" s="73"/>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4.3" customHeight="1">
      <c r="A515" s="27"/>
      <c r="B515" s="27"/>
      <c r="C515" s="27"/>
      <c r="D515" s="73"/>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4.3" customHeight="1">
      <c r="A516" s="27"/>
      <c r="B516" s="27"/>
      <c r="C516" s="27"/>
      <c r="D516" s="73"/>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4.3" customHeight="1">
      <c r="A517" s="27"/>
      <c r="B517" s="27"/>
      <c r="C517" s="27"/>
      <c r="D517" s="73"/>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4.3" customHeight="1">
      <c r="A518" s="27"/>
      <c r="B518" s="27"/>
      <c r="C518" s="27"/>
      <c r="D518" s="73"/>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4.3" customHeight="1">
      <c r="A519" s="27"/>
      <c r="B519" s="27"/>
      <c r="C519" s="27"/>
      <c r="D519" s="73"/>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4.3" customHeight="1">
      <c r="A520" s="27"/>
      <c r="B520" s="27"/>
      <c r="C520" s="27"/>
      <c r="D520" s="73"/>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4.3" customHeight="1">
      <c r="A521" s="27"/>
      <c r="B521" s="27"/>
      <c r="C521" s="27"/>
      <c r="D521" s="73"/>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4.3" customHeight="1">
      <c r="A522" s="27"/>
      <c r="B522" s="27"/>
      <c r="C522" s="27"/>
      <c r="D522" s="73"/>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4.3" customHeight="1">
      <c r="A523" s="27"/>
      <c r="B523" s="27"/>
      <c r="C523" s="27"/>
      <c r="D523" s="73"/>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4.3" customHeight="1">
      <c r="A524" s="27"/>
      <c r="B524" s="27"/>
      <c r="C524" s="27"/>
      <c r="D524" s="73"/>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4.3" customHeight="1">
      <c r="A525" s="27"/>
      <c r="B525" s="27"/>
      <c r="C525" s="27"/>
      <c r="D525" s="73"/>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4.3" customHeight="1">
      <c r="A526" s="27"/>
      <c r="B526" s="27"/>
      <c r="C526" s="27"/>
      <c r="D526" s="73"/>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4.3" customHeight="1">
      <c r="A527" s="27"/>
      <c r="B527" s="27"/>
      <c r="C527" s="27"/>
      <c r="D527" s="73"/>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4.3" customHeight="1">
      <c r="A528" s="27"/>
      <c r="B528" s="27"/>
      <c r="C528" s="27"/>
      <c r="D528" s="73"/>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4.3" customHeight="1">
      <c r="A529" s="27"/>
      <c r="B529" s="27"/>
      <c r="C529" s="27"/>
      <c r="D529" s="73"/>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4.3" customHeight="1">
      <c r="A530" s="27"/>
      <c r="B530" s="27"/>
      <c r="C530" s="27"/>
      <c r="D530" s="73"/>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4.3" customHeight="1">
      <c r="A531" s="27"/>
      <c r="B531" s="27"/>
      <c r="C531" s="27"/>
      <c r="D531" s="73"/>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4.3" customHeight="1">
      <c r="A532" s="27"/>
      <c r="B532" s="27"/>
      <c r="C532" s="27"/>
      <c r="D532" s="73"/>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4.3" customHeight="1">
      <c r="A533" s="27"/>
      <c r="B533" s="27"/>
      <c r="C533" s="27"/>
      <c r="D533" s="73"/>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4.3" customHeight="1">
      <c r="A534" s="27"/>
      <c r="B534" s="27"/>
      <c r="C534" s="27"/>
      <c r="D534" s="73"/>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4.3" customHeight="1">
      <c r="A535" s="27"/>
      <c r="B535" s="27"/>
      <c r="C535" s="27"/>
      <c r="D535" s="73"/>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4.3" customHeight="1">
      <c r="A536" s="27"/>
      <c r="B536" s="27"/>
      <c r="C536" s="27"/>
      <c r="D536" s="73"/>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4.3" customHeight="1">
      <c r="A537" s="27"/>
      <c r="B537" s="27"/>
      <c r="C537" s="27"/>
      <c r="D537" s="73"/>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4.3" customHeight="1">
      <c r="A538" s="27"/>
      <c r="B538" s="27"/>
      <c r="C538" s="27"/>
      <c r="D538" s="73"/>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4.3" customHeight="1">
      <c r="A539" s="27"/>
      <c r="B539" s="27"/>
      <c r="C539" s="27"/>
      <c r="D539" s="73"/>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4.3" customHeight="1">
      <c r="A540" s="27"/>
      <c r="B540" s="27"/>
      <c r="C540" s="27"/>
      <c r="D540" s="73"/>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4.3" customHeight="1">
      <c r="A541" s="27"/>
      <c r="B541" s="27"/>
      <c r="C541" s="27"/>
      <c r="D541" s="73"/>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4.3" customHeight="1">
      <c r="A542" s="27"/>
      <c r="B542" s="27"/>
      <c r="C542" s="27"/>
      <c r="D542" s="73"/>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4.3" customHeight="1">
      <c r="A543" s="27"/>
      <c r="B543" s="27"/>
      <c r="C543" s="27"/>
      <c r="D543" s="73"/>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4.3" customHeight="1">
      <c r="A544" s="27"/>
      <c r="B544" s="27"/>
      <c r="C544" s="27"/>
      <c r="D544" s="73"/>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4.3" customHeight="1">
      <c r="A545" s="27"/>
      <c r="B545" s="27"/>
      <c r="C545" s="27"/>
      <c r="D545" s="73"/>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4.3" customHeight="1">
      <c r="A546" s="27"/>
      <c r="B546" s="27"/>
      <c r="C546" s="27"/>
      <c r="D546" s="73"/>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4.3" customHeight="1">
      <c r="A547" s="27"/>
      <c r="B547" s="27"/>
      <c r="C547" s="27"/>
      <c r="D547" s="73"/>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4.3" customHeight="1">
      <c r="A548" s="27"/>
      <c r="B548" s="27"/>
      <c r="C548" s="27"/>
      <c r="D548" s="73"/>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4.3" customHeight="1">
      <c r="A549" s="27"/>
      <c r="B549" s="27"/>
      <c r="C549" s="27"/>
      <c r="D549" s="73"/>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4.3" customHeight="1">
      <c r="A550" s="27"/>
      <c r="B550" s="27"/>
      <c r="C550" s="27"/>
      <c r="D550" s="73"/>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4.3" customHeight="1">
      <c r="A551" s="27"/>
      <c r="B551" s="27"/>
      <c r="C551" s="27"/>
      <c r="D551" s="73"/>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4.3" customHeight="1">
      <c r="A552" s="27"/>
      <c r="B552" s="27"/>
      <c r="C552" s="27"/>
      <c r="D552" s="73"/>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4.3" customHeight="1">
      <c r="A553" s="27"/>
      <c r="B553" s="27"/>
      <c r="C553" s="27"/>
      <c r="D553" s="73"/>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4.3" customHeight="1">
      <c r="A554" s="27"/>
      <c r="B554" s="27"/>
      <c r="C554" s="27"/>
      <c r="D554" s="73"/>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4.3" customHeight="1">
      <c r="A555" s="27"/>
      <c r="B555" s="27"/>
      <c r="C555" s="27"/>
      <c r="D555" s="73"/>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4.3" customHeight="1">
      <c r="A556" s="27"/>
      <c r="B556" s="27"/>
      <c r="C556" s="27"/>
      <c r="D556" s="73"/>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4.3" customHeight="1">
      <c r="A557" s="27"/>
      <c r="B557" s="27"/>
      <c r="C557" s="27"/>
      <c r="D557" s="73"/>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4.3" customHeight="1">
      <c r="A558" s="27"/>
      <c r="B558" s="27"/>
      <c r="C558" s="27"/>
      <c r="D558" s="73"/>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4.3" customHeight="1">
      <c r="A559" s="27"/>
      <c r="B559" s="27"/>
      <c r="C559" s="27"/>
      <c r="D559" s="73"/>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4.3" customHeight="1">
      <c r="A560" s="27"/>
      <c r="B560" s="27"/>
      <c r="C560" s="27"/>
      <c r="D560" s="73"/>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4.3" customHeight="1">
      <c r="A561" s="27"/>
      <c r="B561" s="27"/>
      <c r="C561" s="27"/>
      <c r="D561" s="73"/>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4.3" customHeight="1">
      <c r="A562" s="27"/>
      <c r="B562" s="27"/>
      <c r="C562" s="27"/>
      <c r="D562" s="73"/>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4.3" customHeight="1">
      <c r="A563" s="27"/>
      <c r="B563" s="27"/>
      <c r="C563" s="27"/>
      <c r="D563" s="73"/>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4.3" customHeight="1">
      <c r="A564" s="27"/>
      <c r="B564" s="27"/>
      <c r="C564" s="27"/>
      <c r="D564" s="73"/>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4.3" customHeight="1">
      <c r="A565" s="27"/>
      <c r="B565" s="27"/>
      <c r="C565" s="27"/>
      <c r="D565" s="73"/>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4.3" customHeight="1">
      <c r="A566" s="27"/>
      <c r="B566" s="27"/>
      <c r="C566" s="27"/>
      <c r="D566" s="73"/>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4.3" customHeight="1">
      <c r="A567" s="27"/>
      <c r="B567" s="27"/>
      <c r="C567" s="27"/>
      <c r="D567" s="73"/>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4.3" customHeight="1">
      <c r="A568" s="27"/>
      <c r="B568" s="27"/>
      <c r="C568" s="27"/>
      <c r="D568" s="73"/>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4.3" customHeight="1">
      <c r="A569" s="27"/>
      <c r="B569" s="27"/>
      <c r="C569" s="27"/>
      <c r="D569" s="73"/>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4.3" customHeight="1">
      <c r="A570" s="27"/>
      <c r="B570" s="27"/>
      <c r="C570" s="27"/>
      <c r="D570" s="73"/>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4.3" customHeight="1">
      <c r="A571" s="27"/>
      <c r="B571" s="27"/>
      <c r="C571" s="27"/>
      <c r="D571" s="73"/>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4.3" customHeight="1">
      <c r="A572" s="27"/>
      <c r="B572" s="27"/>
      <c r="C572" s="27"/>
      <c r="D572" s="73"/>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4.3" customHeight="1">
      <c r="A573" s="27"/>
      <c r="B573" s="27"/>
      <c r="C573" s="27"/>
      <c r="D573" s="73"/>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4.3" customHeight="1">
      <c r="A574" s="27"/>
      <c r="B574" s="27"/>
      <c r="C574" s="27"/>
      <c r="D574" s="73"/>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4.3" customHeight="1">
      <c r="A575" s="27"/>
      <c r="B575" s="27"/>
      <c r="C575" s="27"/>
      <c r="D575" s="73"/>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4.3" customHeight="1">
      <c r="A576" s="27"/>
      <c r="B576" s="27"/>
      <c r="C576" s="27"/>
      <c r="D576" s="73"/>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4.3" customHeight="1">
      <c r="A577" s="27"/>
      <c r="B577" s="27"/>
      <c r="C577" s="27"/>
      <c r="D577" s="73"/>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4.3" customHeight="1">
      <c r="A578" s="27"/>
      <c r="B578" s="27"/>
      <c r="C578" s="27"/>
      <c r="D578" s="73"/>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4.3" customHeight="1">
      <c r="A579" s="27"/>
      <c r="B579" s="27"/>
      <c r="C579" s="27"/>
      <c r="D579" s="73"/>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4.3" customHeight="1">
      <c r="A580" s="27"/>
      <c r="B580" s="27"/>
      <c r="C580" s="27"/>
      <c r="D580" s="73"/>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4.3" customHeight="1">
      <c r="A581" s="27"/>
      <c r="B581" s="27"/>
      <c r="C581" s="27"/>
      <c r="D581" s="73"/>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4.3" customHeight="1">
      <c r="A582" s="27"/>
      <c r="B582" s="27"/>
      <c r="C582" s="27"/>
      <c r="D582" s="73"/>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4.3" customHeight="1">
      <c r="A583" s="27"/>
      <c r="B583" s="27"/>
      <c r="C583" s="27"/>
      <c r="D583" s="73"/>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4.3" customHeight="1">
      <c r="A584" s="27"/>
      <c r="B584" s="27"/>
      <c r="C584" s="27"/>
      <c r="D584" s="73"/>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4.3" customHeight="1">
      <c r="A585" s="27"/>
      <c r="B585" s="27"/>
      <c r="C585" s="27"/>
      <c r="D585" s="73"/>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4.3" customHeight="1">
      <c r="A586" s="27"/>
      <c r="B586" s="27"/>
      <c r="C586" s="27"/>
      <c r="D586" s="73"/>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4.3" customHeight="1">
      <c r="A587" s="27"/>
      <c r="B587" s="27"/>
      <c r="C587" s="27"/>
      <c r="D587" s="73"/>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4.3" customHeight="1">
      <c r="A588" s="27"/>
      <c r="B588" s="27"/>
      <c r="C588" s="27"/>
      <c r="D588" s="73"/>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4.3" customHeight="1">
      <c r="A589" s="27"/>
      <c r="B589" s="27"/>
      <c r="C589" s="27"/>
      <c r="D589" s="73"/>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4.3" customHeight="1">
      <c r="A590" s="27"/>
      <c r="B590" s="27"/>
      <c r="C590" s="27"/>
      <c r="D590" s="73"/>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4.3" customHeight="1">
      <c r="A591" s="27"/>
      <c r="B591" s="27"/>
      <c r="C591" s="27"/>
      <c r="D591" s="73"/>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4.3" customHeight="1">
      <c r="A592" s="27"/>
      <c r="B592" s="27"/>
      <c r="C592" s="27"/>
      <c r="D592" s="73"/>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4.3" customHeight="1">
      <c r="A593" s="27"/>
      <c r="B593" s="27"/>
      <c r="C593" s="27"/>
      <c r="D593" s="73"/>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4.3" customHeight="1">
      <c r="A594" s="27"/>
      <c r="B594" s="27"/>
      <c r="C594" s="27"/>
      <c r="D594" s="73"/>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4.3" customHeight="1">
      <c r="A595" s="27"/>
      <c r="B595" s="27"/>
      <c r="C595" s="27"/>
      <c r="D595" s="73"/>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4.3" customHeight="1">
      <c r="A596" s="27"/>
      <c r="B596" s="27"/>
      <c r="C596" s="27"/>
      <c r="D596" s="73"/>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4.3" customHeight="1">
      <c r="A597" s="27"/>
      <c r="B597" s="27"/>
      <c r="C597" s="27"/>
      <c r="D597" s="73"/>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4.3" customHeight="1">
      <c r="A598" s="27"/>
      <c r="B598" s="27"/>
      <c r="C598" s="27"/>
      <c r="D598" s="73"/>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4.3" customHeight="1">
      <c r="A599" s="27"/>
      <c r="B599" s="27"/>
      <c r="C599" s="27"/>
      <c r="D599" s="73"/>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4.3" customHeight="1">
      <c r="A600" s="27"/>
      <c r="B600" s="27"/>
      <c r="C600" s="27"/>
      <c r="D600" s="73"/>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4.3" customHeight="1">
      <c r="A601" s="27"/>
      <c r="B601" s="27"/>
      <c r="C601" s="27"/>
      <c r="D601" s="73"/>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4.3" customHeight="1">
      <c r="A602" s="27"/>
      <c r="B602" s="27"/>
      <c r="C602" s="27"/>
      <c r="D602" s="73"/>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4.3" customHeight="1">
      <c r="A603" s="27"/>
      <c r="B603" s="27"/>
      <c r="C603" s="27"/>
      <c r="D603" s="73"/>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4.3" customHeight="1">
      <c r="A604" s="27"/>
      <c r="B604" s="27"/>
      <c r="C604" s="27"/>
      <c r="D604" s="73"/>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4.3" customHeight="1">
      <c r="A605" s="27"/>
      <c r="B605" s="27"/>
      <c r="C605" s="27"/>
      <c r="D605" s="73"/>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4.3" customHeight="1">
      <c r="A606" s="27"/>
      <c r="B606" s="27"/>
      <c r="C606" s="27"/>
      <c r="D606" s="73"/>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4.3" customHeight="1">
      <c r="A607" s="27"/>
      <c r="B607" s="27"/>
      <c r="C607" s="27"/>
      <c r="D607" s="73"/>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4.3" customHeight="1">
      <c r="A608" s="27"/>
      <c r="B608" s="27"/>
      <c r="C608" s="27"/>
      <c r="D608" s="73"/>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4.3" customHeight="1">
      <c r="A609" s="27"/>
      <c r="B609" s="27"/>
      <c r="C609" s="27"/>
      <c r="D609" s="73"/>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4.3" customHeight="1">
      <c r="A610" s="27"/>
      <c r="B610" s="27"/>
      <c r="C610" s="27"/>
      <c r="D610" s="73"/>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4.3" customHeight="1">
      <c r="A611" s="27"/>
      <c r="B611" s="27"/>
      <c r="C611" s="27"/>
      <c r="D611" s="73"/>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4.3" customHeight="1">
      <c r="A612" s="27"/>
      <c r="B612" s="27"/>
      <c r="C612" s="27"/>
      <c r="D612" s="73"/>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4.3" customHeight="1">
      <c r="A613" s="27"/>
      <c r="B613" s="27"/>
      <c r="C613" s="27"/>
      <c r="D613" s="73"/>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4.3" customHeight="1">
      <c r="A614" s="27"/>
      <c r="B614" s="27"/>
      <c r="C614" s="27"/>
      <c r="D614" s="73"/>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4.3" customHeight="1">
      <c r="A615" s="27"/>
      <c r="B615" s="27"/>
      <c r="C615" s="27"/>
      <c r="D615" s="73"/>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4.3" customHeight="1">
      <c r="A616" s="27"/>
      <c r="B616" s="27"/>
      <c r="C616" s="27"/>
      <c r="D616" s="73"/>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4.3" customHeight="1">
      <c r="A617" s="27"/>
      <c r="B617" s="27"/>
      <c r="C617" s="27"/>
      <c r="D617" s="73"/>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4.3" customHeight="1">
      <c r="A618" s="27"/>
      <c r="B618" s="27"/>
      <c r="C618" s="27"/>
      <c r="D618" s="73"/>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4.3" customHeight="1">
      <c r="A619" s="27"/>
      <c r="B619" s="27"/>
      <c r="C619" s="27"/>
      <c r="D619" s="73"/>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4.3" customHeight="1">
      <c r="A620" s="27"/>
      <c r="B620" s="27"/>
      <c r="C620" s="27"/>
      <c r="D620" s="73"/>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4.3" customHeight="1">
      <c r="A621" s="27"/>
      <c r="B621" s="27"/>
      <c r="C621" s="27"/>
      <c r="D621" s="73"/>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4.3" customHeight="1">
      <c r="A622" s="27"/>
      <c r="B622" s="27"/>
      <c r="C622" s="27"/>
      <c r="D622" s="73"/>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4.3" customHeight="1">
      <c r="A623" s="27"/>
      <c r="B623" s="27"/>
      <c r="C623" s="27"/>
      <c r="D623" s="73"/>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4.3" customHeight="1">
      <c r="A624" s="27"/>
      <c r="B624" s="27"/>
      <c r="C624" s="27"/>
      <c r="D624" s="73"/>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4.3" customHeight="1">
      <c r="A625" s="27"/>
      <c r="B625" s="27"/>
      <c r="C625" s="27"/>
      <c r="D625" s="73"/>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4.3" customHeight="1">
      <c r="A626" s="27"/>
      <c r="B626" s="27"/>
      <c r="C626" s="27"/>
      <c r="D626" s="73"/>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4.3" customHeight="1">
      <c r="A627" s="27"/>
      <c r="B627" s="27"/>
      <c r="C627" s="27"/>
      <c r="D627" s="73"/>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4.3" customHeight="1">
      <c r="A628" s="27"/>
      <c r="B628" s="27"/>
      <c r="C628" s="27"/>
      <c r="D628" s="73"/>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4.3" customHeight="1">
      <c r="A629" s="27"/>
      <c r="B629" s="27"/>
      <c r="C629" s="27"/>
      <c r="D629" s="73"/>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4.3" customHeight="1">
      <c r="A630" s="27"/>
      <c r="B630" s="27"/>
      <c r="C630" s="27"/>
      <c r="D630" s="73"/>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4.3" customHeight="1">
      <c r="A631" s="27"/>
      <c r="B631" s="27"/>
      <c r="C631" s="27"/>
      <c r="D631" s="73"/>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4.3" customHeight="1">
      <c r="A632" s="27"/>
      <c r="B632" s="27"/>
      <c r="C632" s="27"/>
      <c r="D632" s="73"/>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4.3" customHeight="1">
      <c r="A633" s="27"/>
      <c r="B633" s="27"/>
      <c r="C633" s="27"/>
      <c r="D633" s="73"/>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4.3" customHeight="1">
      <c r="A634" s="27"/>
      <c r="B634" s="27"/>
      <c r="C634" s="27"/>
      <c r="D634" s="73"/>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4.3" customHeight="1">
      <c r="A635" s="27"/>
      <c r="B635" s="27"/>
      <c r="C635" s="27"/>
      <c r="D635" s="73"/>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4.3" customHeight="1">
      <c r="A636" s="27"/>
      <c r="B636" s="27"/>
      <c r="C636" s="27"/>
      <c r="D636" s="73"/>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4.3" customHeight="1">
      <c r="A637" s="27"/>
      <c r="B637" s="27"/>
      <c r="C637" s="27"/>
      <c r="D637" s="73"/>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4.3" customHeight="1">
      <c r="A638" s="27"/>
      <c r="B638" s="27"/>
      <c r="C638" s="27"/>
      <c r="D638" s="73"/>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4.3" customHeight="1">
      <c r="A639" s="27"/>
      <c r="B639" s="27"/>
      <c r="C639" s="27"/>
      <c r="D639" s="73"/>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4.3" customHeight="1">
      <c r="A640" s="27"/>
      <c r="B640" s="27"/>
      <c r="C640" s="27"/>
      <c r="D640" s="73"/>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4.3" customHeight="1">
      <c r="A641" s="27"/>
      <c r="B641" s="27"/>
      <c r="C641" s="27"/>
      <c r="D641" s="73"/>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4.3" customHeight="1">
      <c r="A642" s="27"/>
      <c r="B642" s="27"/>
      <c r="C642" s="27"/>
      <c r="D642" s="73"/>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4.3" customHeight="1">
      <c r="A643" s="27"/>
      <c r="B643" s="27"/>
      <c r="C643" s="27"/>
      <c r="D643" s="73"/>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4.3" customHeight="1">
      <c r="A644" s="27"/>
      <c r="B644" s="27"/>
      <c r="C644" s="27"/>
      <c r="D644" s="73"/>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4.3" customHeight="1">
      <c r="A645" s="27"/>
      <c r="B645" s="27"/>
      <c r="C645" s="27"/>
      <c r="D645" s="73"/>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4.3" customHeight="1">
      <c r="A646" s="27"/>
      <c r="B646" s="27"/>
      <c r="C646" s="27"/>
      <c r="D646" s="73"/>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4.3" customHeight="1">
      <c r="A647" s="27"/>
      <c r="B647" s="27"/>
      <c r="C647" s="27"/>
      <c r="D647" s="73"/>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4.3" customHeight="1">
      <c r="A648" s="27"/>
      <c r="B648" s="27"/>
      <c r="C648" s="27"/>
      <c r="D648" s="73"/>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4.3" customHeight="1">
      <c r="A649" s="27"/>
      <c r="B649" s="27"/>
      <c r="C649" s="27"/>
      <c r="D649" s="73"/>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4.3" customHeight="1">
      <c r="A650" s="27"/>
      <c r="B650" s="27"/>
      <c r="C650" s="27"/>
      <c r="D650" s="73"/>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4.3" customHeight="1">
      <c r="A651" s="27"/>
      <c r="B651" s="27"/>
      <c r="C651" s="27"/>
      <c r="D651" s="73"/>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4.3" customHeight="1">
      <c r="A652" s="27"/>
      <c r="B652" s="27"/>
      <c r="C652" s="27"/>
      <c r="D652" s="73"/>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4.3" customHeight="1">
      <c r="A653" s="27"/>
      <c r="B653" s="27"/>
      <c r="C653" s="27"/>
      <c r="D653" s="73"/>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4.3" customHeight="1">
      <c r="A654" s="27"/>
      <c r="B654" s="27"/>
      <c r="C654" s="27"/>
      <c r="D654" s="73"/>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4.3" customHeight="1">
      <c r="A655" s="27"/>
      <c r="B655" s="27"/>
      <c r="C655" s="27"/>
      <c r="D655" s="73"/>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4.3" customHeight="1">
      <c r="A656" s="27"/>
      <c r="B656" s="27"/>
      <c r="C656" s="27"/>
      <c r="D656" s="73"/>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4.3" customHeight="1">
      <c r="A657" s="27"/>
      <c r="B657" s="27"/>
      <c r="C657" s="27"/>
      <c r="D657" s="73"/>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4.3" customHeight="1">
      <c r="A658" s="27"/>
      <c r="B658" s="27"/>
      <c r="C658" s="27"/>
      <c r="D658" s="73"/>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4.3" customHeight="1">
      <c r="A659" s="27"/>
      <c r="B659" s="27"/>
      <c r="C659" s="27"/>
      <c r="D659" s="73"/>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4.3" customHeight="1">
      <c r="A660" s="27"/>
      <c r="B660" s="27"/>
      <c r="C660" s="27"/>
      <c r="D660" s="73"/>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4.3" customHeight="1">
      <c r="A661" s="27"/>
      <c r="B661" s="27"/>
      <c r="C661" s="27"/>
      <c r="D661" s="73"/>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4.3" customHeight="1">
      <c r="A662" s="27"/>
      <c r="B662" s="27"/>
      <c r="C662" s="27"/>
      <c r="D662" s="73"/>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4.3" customHeight="1">
      <c r="A663" s="27"/>
      <c r="B663" s="27"/>
      <c r="C663" s="27"/>
      <c r="D663" s="73"/>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4.3" customHeight="1">
      <c r="A664" s="27"/>
      <c r="B664" s="27"/>
      <c r="C664" s="27"/>
      <c r="D664" s="73"/>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4.3" customHeight="1">
      <c r="A665" s="27"/>
      <c r="B665" s="27"/>
      <c r="C665" s="27"/>
      <c r="D665" s="73"/>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4.3" customHeight="1">
      <c r="A666" s="27"/>
      <c r="B666" s="27"/>
      <c r="C666" s="27"/>
      <c r="D666" s="73"/>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4.3" customHeight="1">
      <c r="A667" s="27"/>
      <c r="B667" s="27"/>
      <c r="C667" s="27"/>
      <c r="D667" s="73"/>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4.3" customHeight="1">
      <c r="A668" s="27"/>
      <c r="B668" s="27"/>
      <c r="C668" s="27"/>
      <c r="D668" s="73"/>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4.3" customHeight="1">
      <c r="A669" s="27"/>
      <c r="B669" s="27"/>
      <c r="C669" s="27"/>
      <c r="D669" s="73"/>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4.3" customHeight="1">
      <c r="A670" s="27"/>
      <c r="B670" s="27"/>
      <c r="C670" s="27"/>
      <c r="D670" s="73"/>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4.3" customHeight="1">
      <c r="A671" s="27"/>
      <c r="B671" s="27"/>
      <c r="C671" s="27"/>
      <c r="D671" s="73"/>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4.3" customHeight="1">
      <c r="A672" s="27"/>
      <c r="B672" s="27"/>
      <c r="C672" s="27"/>
      <c r="D672" s="73"/>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4.3" customHeight="1">
      <c r="A673" s="27"/>
      <c r="B673" s="27"/>
      <c r="C673" s="27"/>
      <c r="D673" s="73"/>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4.3" customHeight="1">
      <c r="A674" s="27"/>
      <c r="B674" s="27"/>
      <c r="C674" s="27"/>
      <c r="D674" s="73"/>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4.3" customHeight="1">
      <c r="A675" s="27"/>
      <c r="B675" s="27"/>
      <c r="C675" s="27"/>
      <c r="D675" s="73"/>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4.3" customHeight="1">
      <c r="A676" s="27"/>
      <c r="B676" s="27"/>
      <c r="C676" s="27"/>
      <c r="D676" s="73"/>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4.3" customHeight="1">
      <c r="A677" s="27"/>
      <c r="B677" s="27"/>
      <c r="C677" s="27"/>
      <c r="D677" s="73"/>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4.3" customHeight="1">
      <c r="A678" s="27"/>
      <c r="B678" s="27"/>
      <c r="C678" s="27"/>
      <c r="D678" s="73"/>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4.3" customHeight="1">
      <c r="A679" s="27"/>
      <c r="B679" s="27"/>
      <c r="C679" s="27"/>
      <c r="D679" s="73"/>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4.3" customHeight="1">
      <c r="A680" s="27"/>
      <c r="B680" s="27"/>
      <c r="C680" s="27"/>
      <c r="D680" s="73"/>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4.3" customHeight="1">
      <c r="A681" s="27"/>
      <c r="B681" s="27"/>
      <c r="C681" s="27"/>
      <c r="D681" s="73"/>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4.3" customHeight="1">
      <c r="A682" s="27"/>
      <c r="B682" s="27"/>
      <c r="C682" s="27"/>
      <c r="D682" s="73"/>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4.3" customHeight="1">
      <c r="A683" s="27"/>
      <c r="B683" s="27"/>
      <c r="C683" s="27"/>
      <c r="D683" s="73"/>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4.3" customHeight="1">
      <c r="A684" s="27"/>
      <c r="B684" s="27"/>
      <c r="C684" s="27"/>
      <c r="D684" s="73"/>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4.3" customHeight="1">
      <c r="A685" s="27"/>
      <c r="B685" s="27"/>
      <c r="C685" s="27"/>
      <c r="D685" s="73"/>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4.3" customHeight="1">
      <c r="A686" s="27"/>
      <c r="B686" s="27"/>
      <c r="C686" s="27"/>
      <c r="D686" s="73"/>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4.3" customHeight="1">
      <c r="A687" s="27"/>
      <c r="B687" s="27"/>
      <c r="C687" s="27"/>
      <c r="D687" s="73"/>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4.3" customHeight="1">
      <c r="A688" s="27"/>
      <c r="B688" s="27"/>
      <c r="C688" s="27"/>
      <c r="D688" s="73"/>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4.3" customHeight="1">
      <c r="A689" s="27"/>
      <c r="B689" s="27"/>
      <c r="C689" s="27"/>
      <c r="D689" s="73"/>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4.3" customHeight="1">
      <c r="A690" s="27"/>
      <c r="B690" s="27"/>
      <c r="C690" s="27"/>
      <c r="D690" s="73"/>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4.3" customHeight="1">
      <c r="A691" s="27"/>
      <c r="B691" s="27"/>
      <c r="C691" s="27"/>
      <c r="D691" s="73"/>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4.3" customHeight="1">
      <c r="A692" s="27"/>
      <c r="B692" s="27"/>
      <c r="C692" s="27"/>
      <c r="D692" s="73"/>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4.3" customHeight="1">
      <c r="A693" s="27"/>
      <c r="B693" s="27"/>
      <c r="C693" s="27"/>
      <c r="D693" s="73"/>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4.3" customHeight="1">
      <c r="A694" s="27"/>
      <c r="B694" s="27"/>
      <c r="C694" s="27"/>
      <c r="D694" s="73"/>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4.3" customHeight="1">
      <c r="A695" s="27"/>
      <c r="B695" s="27"/>
      <c r="C695" s="27"/>
      <c r="D695" s="73"/>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4.3" customHeight="1">
      <c r="A696" s="27"/>
      <c r="B696" s="27"/>
      <c r="C696" s="27"/>
      <c r="D696" s="73"/>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4.3" customHeight="1">
      <c r="A697" s="27"/>
      <c r="B697" s="27"/>
      <c r="C697" s="27"/>
      <c r="D697" s="73"/>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4.3" customHeight="1">
      <c r="A698" s="27"/>
      <c r="B698" s="27"/>
      <c r="C698" s="27"/>
      <c r="D698" s="73"/>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4.3" customHeight="1">
      <c r="A699" s="27"/>
      <c r="B699" s="27"/>
      <c r="C699" s="27"/>
      <c r="D699" s="73"/>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4.3" customHeight="1">
      <c r="A700" s="27"/>
      <c r="B700" s="27"/>
      <c r="C700" s="27"/>
      <c r="D700" s="73"/>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4.3" customHeight="1">
      <c r="A701" s="27"/>
      <c r="B701" s="27"/>
      <c r="C701" s="27"/>
      <c r="D701" s="73"/>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4.3" customHeight="1">
      <c r="A702" s="27"/>
      <c r="B702" s="27"/>
      <c r="C702" s="27"/>
      <c r="D702" s="73"/>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4.3" customHeight="1">
      <c r="A703" s="27"/>
      <c r="B703" s="27"/>
      <c r="C703" s="27"/>
      <c r="D703" s="73"/>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4.3" customHeight="1">
      <c r="A704" s="27"/>
      <c r="B704" s="27"/>
      <c r="C704" s="27"/>
      <c r="D704" s="73"/>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4.3" customHeight="1">
      <c r="A705" s="27"/>
      <c r="B705" s="27"/>
      <c r="C705" s="27"/>
      <c r="D705" s="73"/>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4.3" customHeight="1">
      <c r="A706" s="27"/>
      <c r="B706" s="27"/>
      <c r="C706" s="27"/>
      <c r="D706" s="73"/>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4.3" customHeight="1">
      <c r="A707" s="27"/>
      <c r="B707" s="27"/>
      <c r="C707" s="27"/>
      <c r="D707" s="73"/>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4.3" customHeight="1">
      <c r="A708" s="27"/>
      <c r="B708" s="27"/>
      <c r="C708" s="27"/>
      <c r="D708" s="73"/>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4.3" customHeight="1">
      <c r="A709" s="27"/>
      <c r="B709" s="27"/>
      <c r="C709" s="27"/>
      <c r="D709" s="73"/>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4.3" customHeight="1">
      <c r="A710" s="27"/>
      <c r="B710" s="27"/>
      <c r="C710" s="27"/>
      <c r="D710" s="73"/>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4.3" customHeight="1">
      <c r="A711" s="27"/>
      <c r="B711" s="27"/>
      <c r="C711" s="27"/>
      <c r="D711" s="73"/>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4.3" customHeight="1">
      <c r="A712" s="27"/>
      <c r="B712" s="27"/>
      <c r="C712" s="27"/>
      <c r="D712" s="73"/>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4.3" customHeight="1">
      <c r="A713" s="27"/>
      <c r="B713" s="27"/>
      <c r="C713" s="27"/>
      <c r="D713" s="73"/>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4.3" customHeight="1">
      <c r="A714" s="27"/>
      <c r="B714" s="27"/>
      <c r="C714" s="27"/>
      <c r="D714" s="73"/>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4.3" customHeight="1">
      <c r="A715" s="27"/>
      <c r="B715" s="27"/>
      <c r="C715" s="27"/>
      <c r="D715" s="73"/>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4.3" customHeight="1">
      <c r="A716" s="27"/>
      <c r="B716" s="27"/>
      <c r="C716" s="27"/>
      <c r="D716" s="73"/>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4.3" customHeight="1">
      <c r="A717" s="27"/>
      <c r="B717" s="27"/>
      <c r="C717" s="27"/>
      <c r="D717" s="73"/>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4.3" customHeight="1">
      <c r="A718" s="27"/>
      <c r="B718" s="27"/>
      <c r="C718" s="27"/>
      <c r="D718" s="73"/>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4.3" customHeight="1">
      <c r="A719" s="27"/>
      <c r="B719" s="27"/>
      <c r="C719" s="27"/>
      <c r="D719" s="73"/>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4.3" customHeight="1">
      <c r="A720" s="27"/>
      <c r="B720" s="27"/>
      <c r="C720" s="27"/>
      <c r="D720" s="73"/>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4.3" customHeight="1">
      <c r="A721" s="27"/>
      <c r="B721" s="27"/>
      <c r="C721" s="27"/>
      <c r="D721" s="73"/>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4.3" customHeight="1">
      <c r="A722" s="27"/>
      <c r="B722" s="27"/>
      <c r="C722" s="27"/>
      <c r="D722" s="73"/>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4.3" customHeight="1">
      <c r="A723" s="27"/>
      <c r="B723" s="27"/>
      <c r="C723" s="27"/>
      <c r="D723" s="73"/>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4.3" customHeight="1">
      <c r="A724" s="27"/>
      <c r="B724" s="27"/>
      <c r="C724" s="27"/>
      <c r="D724" s="73"/>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4.3" customHeight="1">
      <c r="A725" s="27"/>
      <c r="B725" s="27"/>
      <c r="C725" s="27"/>
      <c r="D725" s="73"/>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4.3" customHeight="1">
      <c r="A726" s="27"/>
      <c r="B726" s="27"/>
      <c r="C726" s="27"/>
      <c r="D726" s="73"/>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4.3" customHeight="1">
      <c r="A727" s="27"/>
      <c r="B727" s="27"/>
      <c r="C727" s="27"/>
      <c r="D727" s="73"/>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4.3" customHeight="1">
      <c r="A728" s="27"/>
      <c r="B728" s="27"/>
      <c r="C728" s="27"/>
      <c r="D728" s="73"/>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4.3" customHeight="1">
      <c r="A729" s="27"/>
      <c r="B729" s="27"/>
      <c r="C729" s="27"/>
      <c r="D729" s="73"/>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4.3" customHeight="1">
      <c r="A730" s="27"/>
      <c r="B730" s="27"/>
      <c r="C730" s="27"/>
      <c r="D730" s="73"/>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4.3" customHeight="1">
      <c r="A731" s="27"/>
      <c r="B731" s="27"/>
      <c r="C731" s="27"/>
      <c r="D731" s="73"/>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4.3" customHeight="1">
      <c r="A732" s="27"/>
      <c r="B732" s="27"/>
      <c r="C732" s="27"/>
      <c r="D732" s="73"/>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4.3" customHeight="1">
      <c r="A733" s="27"/>
      <c r="B733" s="27"/>
      <c r="C733" s="27"/>
      <c r="D733" s="73"/>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4.3" customHeight="1">
      <c r="A734" s="27"/>
      <c r="B734" s="27"/>
      <c r="C734" s="27"/>
      <c r="D734" s="73"/>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4.3" customHeight="1">
      <c r="A735" s="27"/>
      <c r="B735" s="27"/>
      <c r="C735" s="27"/>
      <c r="D735" s="73"/>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4.3" customHeight="1">
      <c r="A736" s="27"/>
      <c r="B736" s="27"/>
      <c r="C736" s="27"/>
      <c r="D736" s="73"/>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4.3" customHeight="1">
      <c r="A737" s="27"/>
      <c r="B737" s="27"/>
      <c r="C737" s="27"/>
      <c r="D737" s="73"/>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4.3" customHeight="1">
      <c r="A738" s="27"/>
      <c r="B738" s="27"/>
      <c r="C738" s="27"/>
      <c r="D738" s="73"/>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4.3" customHeight="1">
      <c r="A739" s="27"/>
      <c r="B739" s="27"/>
      <c r="C739" s="27"/>
      <c r="D739" s="73"/>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4.3" customHeight="1">
      <c r="A740" s="27"/>
      <c r="B740" s="27"/>
      <c r="C740" s="27"/>
      <c r="D740" s="73"/>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4.3" customHeight="1">
      <c r="A741" s="27"/>
      <c r="B741" s="27"/>
      <c r="C741" s="27"/>
      <c r="D741" s="73"/>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4.3" customHeight="1">
      <c r="A742" s="27"/>
      <c r="B742" s="27"/>
      <c r="C742" s="27"/>
      <c r="D742" s="73"/>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4.3" customHeight="1">
      <c r="A743" s="27"/>
      <c r="B743" s="27"/>
      <c r="C743" s="27"/>
      <c r="D743" s="73"/>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4.3" customHeight="1">
      <c r="A744" s="27"/>
      <c r="B744" s="27"/>
      <c r="C744" s="27"/>
      <c r="D744" s="73"/>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4.3" customHeight="1">
      <c r="A745" s="27"/>
      <c r="B745" s="27"/>
      <c r="C745" s="27"/>
      <c r="D745" s="73"/>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4.3" customHeight="1">
      <c r="A746" s="27"/>
      <c r="B746" s="27"/>
      <c r="C746" s="27"/>
      <c r="D746" s="73"/>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4.3" customHeight="1">
      <c r="A747" s="27"/>
      <c r="B747" s="27"/>
      <c r="C747" s="27"/>
      <c r="D747" s="73"/>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4.3" customHeight="1">
      <c r="A748" s="27"/>
      <c r="B748" s="27"/>
      <c r="C748" s="27"/>
      <c r="D748" s="73"/>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4.3" customHeight="1">
      <c r="A749" s="27"/>
      <c r="B749" s="27"/>
      <c r="C749" s="27"/>
      <c r="D749" s="73"/>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4.3" customHeight="1">
      <c r="A750" s="27"/>
      <c r="B750" s="27"/>
      <c r="C750" s="27"/>
      <c r="D750" s="73"/>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4.3" customHeight="1">
      <c r="A751" s="27"/>
      <c r="B751" s="27"/>
      <c r="C751" s="27"/>
      <c r="D751" s="73"/>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4.3" customHeight="1">
      <c r="A752" s="27"/>
      <c r="B752" s="27"/>
      <c r="C752" s="27"/>
      <c r="D752" s="73"/>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4.3" customHeight="1">
      <c r="A753" s="27"/>
      <c r="B753" s="27"/>
      <c r="C753" s="27"/>
      <c r="D753" s="73"/>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4.3" customHeight="1">
      <c r="A754" s="27"/>
      <c r="B754" s="27"/>
      <c r="C754" s="27"/>
      <c r="D754" s="73"/>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4.3" customHeight="1">
      <c r="A755" s="27"/>
      <c r="B755" s="27"/>
      <c r="C755" s="27"/>
      <c r="D755" s="73"/>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4.3" customHeight="1">
      <c r="A756" s="27"/>
      <c r="B756" s="27"/>
      <c r="C756" s="27"/>
      <c r="D756" s="73"/>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4.3" customHeight="1">
      <c r="A757" s="27"/>
      <c r="B757" s="27"/>
      <c r="C757" s="27"/>
      <c r="D757" s="73"/>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4.3" customHeight="1">
      <c r="A758" s="27"/>
      <c r="B758" s="27"/>
      <c r="C758" s="27"/>
      <c r="D758" s="73"/>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4.3" customHeight="1">
      <c r="A759" s="27"/>
      <c r="B759" s="27"/>
      <c r="C759" s="27"/>
      <c r="D759" s="73"/>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4.3" customHeight="1">
      <c r="A760" s="27"/>
      <c r="B760" s="27"/>
      <c r="C760" s="27"/>
      <c r="D760" s="73"/>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4.3" customHeight="1">
      <c r="A761" s="27"/>
      <c r="B761" s="27"/>
      <c r="C761" s="27"/>
      <c r="D761" s="73"/>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4.3" customHeight="1">
      <c r="A762" s="27"/>
      <c r="B762" s="27"/>
      <c r="C762" s="27"/>
      <c r="D762" s="73"/>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4.3" customHeight="1">
      <c r="A763" s="27"/>
      <c r="B763" s="27"/>
      <c r="C763" s="27"/>
      <c r="D763" s="73"/>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4.3" customHeight="1">
      <c r="A764" s="27"/>
      <c r="B764" s="27"/>
      <c r="C764" s="27"/>
      <c r="D764" s="73"/>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4.3" customHeight="1">
      <c r="A765" s="27"/>
      <c r="B765" s="27"/>
      <c r="C765" s="27"/>
      <c r="D765" s="73"/>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4.3" customHeight="1">
      <c r="A766" s="27"/>
      <c r="B766" s="27"/>
      <c r="C766" s="27"/>
      <c r="D766" s="73"/>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4.3" customHeight="1">
      <c r="A767" s="27"/>
      <c r="B767" s="27"/>
      <c r="C767" s="27"/>
      <c r="D767" s="73"/>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4.3" customHeight="1">
      <c r="A768" s="27"/>
      <c r="B768" s="27"/>
      <c r="C768" s="27"/>
      <c r="D768" s="73"/>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4.3" customHeight="1">
      <c r="A769" s="27"/>
      <c r="B769" s="27"/>
      <c r="C769" s="27"/>
      <c r="D769" s="73"/>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4.3" customHeight="1">
      <c r="A770" s="27"/>
      <c r="B770" s="27"/>
      <c r="C770" s="27"/>
      <c r="D770" s="73"/>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4.3" customHeight="1">
      <c r="A771" s="27"/>
      <c r="B771" s="27"/>
      <c r="C771" s="27"/>
      <c r="D771" s="73"/>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4.3" customHeight="1">
      <c r="A772" s="27"/>
      <c r="B772" s="27"/>
      <c r="C772" s="27"/>
      <c r="D772" s="73"/>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4.3" customHeight="1">
      <c r="A773" s="27"/>
      <c r="B773" s="27"/>
      <c r="C773" s="27"/>
      <c r="D773" s="73"/>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4.3" customHeight="1">
      <c r="A774" s="27"/>
      <c r="B774" s="27"/>
      <c r="C774" s="27"/>
      <c r="D774" s="73"/>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4.3" customHeight="1">
      <c r="A775" s="27"/>
      <c r="B775" s="27"/>
      <c r="C775" s="27"/>
      <c r="D775" s="73"/>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4.3" customHeight="1">
      <c r="A776" s="27"/>
      <c r="B776" s="27"/>
      <c r="C776" s="27"/>
      <c r="D776" s="73"/>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4.3" customHeight="1">
      <c r="A777" s="27"/>
      <c r="B777" s="27"/>
      <c r="C777" s="27"/>
      <c r="D777" s="73"/>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4.3" customHeight="1">
      <c r="A778" s="27"/>
      <c r="B778" s="27"/>
      <c r="C778" s="27"/>
      <c r="D778" s="73"/>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4.3" customHeight="1">
      <c r="A779" s="27"/>
      <c r="B779" s="27"/>
      <c r="C779" s="27"/>
      <c r="D779" s="73"/>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4.3" customHeight="1">
      <c r="A780" s="27"/>
      <c r="B780" s="27"/>
      <c r="C780" s="27"/>
      <c r="D780" s="73"/>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4.3" customHeight="1">
      <c r="A781" s="27"/>
      <c r="B781" s="27"/>
      <c r="C781" s="27"/>
      <c r="D781" s="73"/>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4.3" customHeight="1">
      <c r="A782" s="27"/>
      <c r="B782" s="27"/>
      <c r="C782" s="27"/>
      <c r="D782" s="73"/>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4.3" customHeight="1">
      <c r="A783" s="27"/>
      <c r="B783" s="27"/>
      <c r="C783" s="27"/>
      <c r="D783" s="73"/>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4.3" customHeight="1">
      <c r="A784" s="27"/>
      <c r="B784" s="27"/>
      <c r="C784" s="27"/>
      <c r="D784" s="73"/>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4.3" customHeight="1">
      <c r="A785" s="27"/>
      <c r="B785" s="27"/>
      <c r="C785" s="27"/>
      <c r="D785" s="73"/>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4.3" customHeight="1">
      <c r="A786" s="27"/>
      <c r="B786" s="27"/>
      <c r="C786" s="27"/>
      <c r="D786" s="73"/>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4.3" customHeight="1">
      <c r="A787" s="27"/>
      <c r="B787" s="27"/>
      <c r="C787" s="27"/>
      <c r="D787" s="73"/>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4.3" customHeight="1">
      <c r="A788" s="27"/>
      <c r="B788" s="27"/>
      <c r="C788" s="27"/>
      <c r="D788" s="73"/>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4.3" customHeight="1">
      <c r="A789" s="27"/>
      <c r="B789" s="27"/>
      <c r="C789" s="27"/>
      <c r="D789" s="73"/>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4.3" customHeight="1">
      <c r="A790" s="27"/>
      <c r="B790" s="27"/>
      <c r="C790" s="27"/>
      <c r="D790" s="73"/>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4.3" customHeight="1">
      <c r="A791" s="27"/>
      <c r="B791" s="27"/>
      <c r="C791" s="27"/>
      <c r="D791" s="73"/>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4.3" customHeight="1">
      <c r="A792" s="27"/>
      <c r="B792" s="27"/>
      <c r="C792" s="27"/>
      <c r="D792" s="73"/>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4.3" customHeight="1">
      <c r="A793" s="27"/>
      <c r="B793" s="27"/>
      <c r="C793" s="27"/>
      <c r="D793" s="73"/>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4.3" customHeight="1">
      <c r="A794" s="27"/>
      <c r="B794" s="27"/>
      <c r="C794" s="27"/>
      <c r="D794" s="73"/>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4.3" customHeight="1">
      <c r="A795" s="27"/>
      <c r="B795" s="27"/>
      <c r="C795" s="27"/>
      <c r="D795" s="73"/>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4.3" customHeight="1">
      <c r="A796" s="27"/>
      <c r="B796" s="27"/>
      <c r="C796" s="27"/>
      <c r="D796" s="73"/>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4.3" customHeight="1">
      <c r="A797" s="27"/>
      <c r="B797" s="27"/>
      <c r="C797" s="27"/>
      <c r="D797" s="73"/>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4.3" customHeight="1">
      <c r="A798" s="27"/>
      <c r="B798" s="27"/>
      <c r="C798" s="27"/>
      <c r="D798" s="73"/>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4.3" customHeight="1">
      <c r="A799" s="27"/>
      <c r="B799" s="27"/>
      <c r="C799" s="27"/>
      <c r="D799" s="73"/>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4.3" customHeight="1">
      <c r="A800" s="27"/>
      <c r="B800" s="27"/>
      <c r="C800" s="27"/>
      <c r="D800" s="73"/>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4.3" customHeight="1">
      <c r="A801" s="27"/>
      <c r="B801" s="27"/>
      <c r="C801" s="27"/>
      <c r="D801" s="73"/>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4.3" customHeight="1">
      <c r="A802" s="27"/>
      <c r="B802" s="27"/>
      <c r="C802" s="27"/>
      <c r="D802" s="73"/>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4.3" customHeight="1">
      <c r="A803" s="27"/>
      <c r="B803" s="27"/>
      <c r="C803" s="27"/>
      <c r="D803" s="73"/>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4.3" customHeight="1">
      <c r="A804" s="27"/>
      <c r="B804" s="27"/>
      <c r="C804" s="27"/>
      <c r="D804" s="73"/>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4.3" customHeight="1">
      <c r="A805" s="27"/>
      <c r="B805" s="27"/>
      <c r="C805" s="27"/>
      <c r="D805" s="73"/>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4.3" customHeight="1">
      <c r="A806" s="27"/>
      <c r="B806" s="27"/>
      <c r="C806" s="27"/>
      <c r="D806" s="73"/>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4.3" customHeight="1">
      <c r="A807" s="27"/>
      <c r="B807" s="27"/>
      <c r="C807" s="27"/>
      <c r="D807" s="73"/>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4.3" customHeight="1">
      <c r="A808" s="27"/>
      <c r="B808" s="27"/>
      <c r="C808" s="27"/>
      <c r="D808" s="73"/>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4.3" customHeight="1">
      <c r="A809" s="27"/>
      <c r="B809" s="27"/>
      <c r="C809" s="27"/>
      <c r="D809" s="73"/>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4.3" customHeight="1">
      <c r="A810" s="27"/>
      <c r="B810" s="27"/>
      <c r="C810" s="27"/>
      <c r="D810" s="73"/>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4.3" customHeight="1">
      <c r="A811" s="27"/>
      <c r="B811" s="27"/>
      <c r="C811" s="27"/>
      <c r="D811" s="73"/>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4.3" customHeight="1">
      <c r="A812" s="27"/>
      <c r="B812" s="27"/>
      <c r="C812" s="27"/>
      <c r="D812" s="73"/>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4.3" customHeight="1">
      <c r="A813" s="27"/>
      <c r="B813" s="27"/>
      <c r="C813" s="27"/>
      <c r="D813" s="73"/>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4.3" customHeight="1">
      <c r="A814" s="27"/>
      <c r="B814" s="27"/>
      <c r="C814" s="27"/>
      <c r="D814" s="73"/>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4.3" customHeight="1">
      <c r="A815" s="27"/>
      <c r="B815" s="27"/>
      <c r="C815" s="27"/>
      <c r="D815" s="73"/>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4.3" customHeight="1">
      <c r="A816" s="27"/>
      <c r="B816" s="27"/>
      <c r="C816" s="27"/>
      <c r="D816" s="73"/>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4.3" customHeight="1">
      <c r="A817" s="27"/>
      <c r="B817" s="27"/>
      <c r="C817" s="27"/>
      <c r="D817" s="73"/>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4.3" customHeight="1">
      <c r="A818" s="27"/>
      <c r="B818" s="27"/>
      <c r="C818" s="27"/>
      <c r="D818" s="73"/>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4.3" customHeight="1">
      <c r="A819" s="27"/>
      <c r="B819" s="27"/>
      <c r="C819" s="27"/>
      <c r="D819" s="73"/>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4.3" customHeight="1">
      <c r="A820" s="27"/>
      <c r="B820" s="27"/>
      <c r="C820" s="27"/>
      <c r="D820" s="73"/>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4.3" customHeight="1">
      <c r="A821" s="27"/>
      <c r="B821" s="27"/>
      <c r="C821" s="27"/>
      <c r="D821" s="73"/>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4.3" customHeight="1">
      <c r="A822" s="27"/>
      <c r="B822" s="27"/>
      <c r="C822" s="27"/>
      <c r="D822" s="73"/>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4.3" customHeight="1">
      <c r="A823" s="27"/>
      <c r="B823" s="27"/>
      <c r="C823" s="27"/>
      <c r="D823" s="73"/>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4.3" customHeight="1">
      <c r="A824" s="27"/>
      <c r="B824" s="27"/>
      <c r="C824" s="27"/>
      <c r="D824" s="73"/>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4.3" customHeight="1">
      <c r="A825" s="27"/>
      <c r="B825" s="27"/>
      <c r="C825" s="27"/>
      <c r="D825" s="73"/>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4.3" customHeight="1">
      <c r="A826" s="27"/>
      <c r="B826" s="27"/>
      <c r="C826" s="27"/>
      <c r="D826" s="73"/>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4.3" customHeight="1">
      <c r="A827" s="27"/>
      <c r="B827" s="27"/>
      <c r="C827" s="27"/>
      <c r="D827" s="73"/>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4.3" customHeight="1">
      <c r="A828" s="27"/>
      <c r="B828" s="27"/>
      <c r="C828" s="27"/>
      <c r="D828" s="73"/>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4.3" customHeight="1">
      <c r="A829" s="27"/>
      <c r="B829" s="27"/>
      <c r="C829" s="27"/>
      <c r="D829" s="73"/>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4.3" customHeight="1">
      <c r="A830" s="27"/>
      <c r="B830" s="27"/>
      <c r="C830" s="27"/>
      <c r="D830" s="73"/>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4.3" customHeight="1">
      <c r="A831" s="27"/>
      <c r="B831" s="27"/>
      <c r="C831" s="27"/>
      <c r="D831" s="73"/>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4.3" customHeight="1">
      <c r="A832" s="27"/>
      <c r="B832" s="27"/>
      <c r="C832" s="27"/>
      <c r="D832" s="73"/>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4.3" customHeight="1">
      <c r="A833" s="27"/>
      <c r="B833" s="27"/>
      <c r="C833" s="27"/>
      <c r="D833" s="73"/>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4.3" customHeight="1">
      <c r="A834" s="27"/>
      <c r="B834" s="27"/>
      <c r="C834" s="27"/>
      <c r="D834" s="73"/>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4.3" customHeight="1">
      <c r="A835" s="27"/>
      <c r="B835" s="27"/>
      <c r="C835" s="27"/>
      <c r="D835" s="73"/>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4.3" customHeight="1">
      <c r="A836" s="27"/>
      <c r="B836" s="27"/>
      <c r="C836" s="27"/>
      <c r="D836" s="73"/>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4.3" customHeight="1">
      <c r="A837" s="27"/>
      <c r="B837" s="27"/>
      <c r="C837" s="27"/>
      <c r="D837" s="73"/>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4.3" customHeight="1">
      <c r="A838" s="27"/>
      <c r="B838" s="27"/>
      <c r="C838" s="27"/>
      <c r="D838" s="73"/>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4.3" customHeight="1">
      <c r="A839" s="27"/>
      <c r="B839" s="27"/>
      <c r="C839" s="27"/>
      <c r="D839" s="73"/>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4.3" customHeight="1">
      <c r="A840" s="27"/>
      <c r="B840" s="27"/>
      <c r="C840" s="27"/>
      <c r="D840" s="73"/>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4.3" customHeight="1">
      <c r="A841" s="27"/>
      <c r="B841" s="27"/>
      <c r="C841" s="27"/>
      <c r="D841" s="73"/>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4.3" customHeight="1">
      <c r="A842" s="27"/>
      <c r="B842" s="27"/>
      <c r="C842" s="27"/>
      <c r="D842" s="73"/>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4.3" customHeight="1">
      <c r="A843" s="27"/>
      <c r="B843" s="27"/>
      <c r="C843" s="27"/>
      <c r="D843" s="73"/>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4.3" customHeight="1">
      <c r="A844" s="27"/>
      <c r="B844" s="27"/>
      <c r="C844" s="27"/>
      <c r="D844" s="73"/>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4.3" customHeight="1">
      <c r="A845" s="27"/>
      <c r="B845" s="27"/>
      <c r="C845" s="27"/>
      <c r="D845" s="73"/>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4.3" customHeight="1">
      <c r="A846" s="27"/>
      <c r="B846" s="27"/>
      <c r="C846" s="27"/>
      <c r="D846" s="73"/>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4.3" customHeight="1">
      <c r="A847" s="27"/>
      <c r="B847" s="27"/>
      <c r="C847" s="27"/>
      <c r="D847" s="73"/>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4.3" customHeight="1">
      <c r="A848" s="27"/>
      <c r="B848" s="27"/>
      <c r="C848" s="27"/>
      <c r="D848" s="73"/>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4.3" customHeight="1">
      <c r="A849" s="27"/>
      <c r="B849" s="27"/>
      <c r="C849" s="27"/>
      <c r="D849" s="73"/>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4.3" customHeight="1">
      <c r="A850" s="27"/>
      <c r="B850" s="27"/>
      <c r="C850" s="27"/>
      <c r="D850" s="73"/>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4.3" customHeight="1">
      <c r="A851" s="27"/>
      <c r="B851" s="27"/>
      <c r="C851" s="27"/>
      <c r="D851" s="73"/>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4.3" customHeight="1">
      <c r="A852" s="27"/>
      <c r="B852" s="27"/>
      <c r="C852" s="27"/>
      <c r="D852" s="73"/>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4.3" customHeight="1">
      <c r="A853" s="27"/>
      <c r="B853" s="27"/>
      <c r="C853" s="27"/>
      <c r="D853" s="73"/>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4.3" customHeight="1">
      <c r="A854" s="27"/>
      <c r="B854" s="27"/>
      <c r="C854" s="27"/>
      <c r="D854" s="73"/>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4.3" customHeight="1">
      <c r="A855" s="27"/>
      <c r="B855" s="27"/>
      <c r="C855" s="27"/>
      <c r="D855" s="73"/>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4.3" customHeight="1">
      <c r="A856" s="27"/>
      <c r="B856" s="27"/>
      <c r="C856" s="27"/>
      <c r="D856" s="73"/>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4.3" customHeight="1">
      <c r="A857" s="27"/>
      <c r="B857" s="27"/>
      <c r="C857" s="27"/>
      <c r="D857" s="73"/>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4.3" customHeight="1">
      <c r="A858" s="27"/>
      <c r="B858" s="27"/>
      <c r="C858" s="27"/>
      <c r="D858" s="73"/>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4.3" customHeight="1">
      <c r="A859" s="27"/>
      <c r="B859" s="27"/>
      <c r="C859" s="27"/>
      <c r="D859" s="73"/>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4.3" customHeight="1">
      <c r="A860" s="27"/>
      <c r="B860" s="27"/>
      <c r="C860" s="27"/>
      <c r="D860" s="73"/>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4.3" customHeight="1">
      <c r="A861" s="27"/>
      <c r="B861" s="27"/>
      <c r="C861" s="27"/>
      <c r="D861" s="73"/>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4.3" customHeight="1">
      <c r="A862" s="27"/>
      <c r="B862" s="27"/>
      <c r="C862" s="27"/>
      <c r="D862" s="73"/>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4.3" customHeight="1">
      <c r="A863" s="27"/>
      <c r="B863" s="27"/>
      <c r="C863" s="27"/>
      <c r="D863" s="73"/>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4.3" customHeight="1">
      <c r="A864" s="27"/>
      <c r="B864" s="27"/>
      <c r="C864" s="27"/>
      <c r="D864" s="73"/>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4.3" customHeight="1">
      <c r="A865" s="27"/>
      <c r="B865" s="27"/>
      <c r="C865" s="27"/>
      <c r="D865" s="73"/>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4.3" customHeight="1">
      <c r="A866" s="27"/>
      <c r="B866" s="27"/>
      <c r="C866" s="27"/>
      <c r="D866" s="73"/>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4.3" customHeight="1">
      <c r="A867" s="27"/>
      <c r="B867" s="27"/>
      <c r="C867" s="27"/>
      <c r="D867" s="73"/>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4.3" customHeight="1">
      <c r="A868" s="27"/>
      <c r="B868" s="27"/>
      <c r="C868" s="27"/>
      <c r="D868" s="73"/>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4.3" customHeight="1">
      <c r="A869" s="27"/>
      <c r="B869" s="27"/>
      <c r="C869" s="27"/>
      <c r="D869" s="73"/>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4.3" customHeight="1">
      <c r="A870" s="27"/>
      <c r="B870" s="27"/>
      <c r="C870" s="27"/>
      <c r="D870" s="73"/>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4.3" customHeight="1">
      <c r="A871" s="27"/>
      <c r="B871" s="27"/>
      <c r="C871" s="27"/>
      <c r="D871" s="73"/>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4.3" customHeight="1">
      <c r="A872" s="27"/>
      <c r="B872" s="27"/>
      <c r="C872" s="27"/>
      <c r="D872" s="73"/>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4.3" customHeight="1">
      <c r="A873" s="27"/>
      <c r="B873" s="27"/>
      <c r="C873" s="27"/>
      <c r="D873" s="73"/>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4.3" customHeight="1">
      <c r="A874" s="27"/>
      <c r="B874" s="27"/>
      <c r="C874" s="27"/>
      <c r="D874" s="73"/>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4.3" customHeight="1">
      <c r="A875" s="27"/>
      <c r="B875" s="27"/>
      <c r="C875" s="27"/>
      <c r="D875" s="73"/>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4.3" customHeight="1">
      <c r="A876" s="27"/>
      <c r="B876" s="27"/>
      <c r="C876" s="27"/>
      <c r="D876" s="73"/>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4.3" customHeight="1">
      <c r="A877" s="27"/>
      <c r="B877" s="27"/>
      <c r="C877" s="27"/>
      <c r="D877" s="73"/>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4.3" customHeight="1">
      <c r="A878" s="27"/>
      <c r="B878" s="27"/>
      <c r="C878" s="27"/>
      <c r="D878" s="73"/>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4.3" customHeight="1">
      <c r="A879" s="27"/>
      <c r="B879" s="27"/>
      <c r="C879" s="27"/>
      <c r="D879" s="73"/>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4.3" customHeight="1">
      <c r="A880" s="27"/>
      <c r="B880" s="27"/>
      <c r="C880" s="27"/>
      <c r="D880" s="73"/>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4.3" customHeight="1">
      <c r="A881" s="27"/>
      <c r="B881" s="27"/>
      <c r="C881" s="27"/>
      <c r="D881" s="73"/>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4.3" customHeight="1">
      <c r="A882" s="27"/>
      <c r="B882" s="27"/>
      <c r="C882" s="27"/>
      <c r="D882" s="73"/>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4.3" customHeight="1">
      <c r="A883" s="27"/>
      <c r="B883" s="27"/>
      <c r="C883" s="27"/>
      <c r="D883" s="73"/>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4.3" customHeight="1">
      <c r="A884" s="27"/>
      <c r="B884" s="27"/>
      <c r="C884" s="27"/>
      <c r="D884" s="73"/>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4.3" customHeight="1">
      <c r="A885" s="27"/>
      <c r="B885" s="27"/>
      <c r="C885" s="27"/>
      <c r="D885" s="73"/>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4.3" customHeight="1">
      <c r="A886" s="27"/>
      <c r="B886" s="27"/>
      <c r="C886" s="27"/>
      <c r="D886" s="73"/>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4.3" customHeight="1">
      <c r="A887" s="27"/>
      <c r="B887" s="27"/>
      <c r="C887" s="27"/>
      <c r="D887" s="73"/>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4.3" customHeight="1">
      <c r="A888" s="27"/>
      <c r="B888" s="27"/>
      <c r="C888" s="27"/>
      <c r="D888" s="73"/>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4.3" customHeight="1">
      <c r="A889" s="27"/>
      <c r="B889" s="27"/>
      <c r="C889" s="27"/>
      <c r="D889" s="73"/>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4.3" customHeight="1">
      <c r="A890" s="27"/>
      <c r="B890" s="27"/>
      <c r="C890" s="27"/>
      <c r="D890" s="73"/>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4.3" customHeight="1">
      <c r="A891" s="27"/>
      <c r="B891" s="27"/>
      <c r="C891" s="27"/>
      <c r="D891" s="73"/>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4.3" customHeight="1">
      <c r="A892" s="27"/>
      <c r="B892" s="27"/>
      <c r="C892" s="27"/>
      <c r="D892" s="73"/>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4.3" customHeight="1">
      <c r="A893" s="27"/>
      <c r="B893" s="27"/>
      <c r="C893" s="27"/>
      <c r="D893" s="73"/>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4.3" customHeight="1">
      <c r="A894" s="27"/>
      <c r="B894" s="27"/>
      <c r="C894" s="27"/>
      <c r="D894" s="73"/>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4.3" customHeight="1">
      <c r="A895" s="27"/>
      <c r="B895" s="27"/>
      <c r="C895" s="27"/>
      <c r="D895" s="73"/>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4.3" customHeight="1">
      <c r="A896" s="27"/>
      <c r="B896" s="27"/>
      <c r="C896" s="27"/>
      <c r="D896" s="73"/>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4.3" customHeight="1">
      <c r="A897" s="27"/>
      <c r="B897" s="27"/>
      <c r="C897" s="27"/>
      <c r="D897" s="73"/>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4.3" customHeight="1">
      <c r="A898" s="27"/>
      <c r="B898" s="27"/>
      <c r="C898" s="27"/>
      <c r="D898" s="73"/>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4.3" customHeight="1">
      <c r="A899" s="27"/>
      <c r="B899" s="27"/>
      <c r="C899" s="27"/>
      <c r="D899" s="73"/>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4.3" customHeight="1">
      <c r="A900" s="27"/>
      <c r="B900" s="27"/>
      <c r="C900" s="27"/>
      <c r="D900" s="73"/>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4.3" customHeight="1">
      <c r="A901" s="27"/>
      <c r="B901" s="27"/>
      <c r="C901" s="27"/>
      <c r="D901" s="73"/>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4.3" customHeight="1">
      <c r="A902" s="27"/>
      <c r="B902" s="27"/>
      <c r="C902" s="27"/>
      <c r="D902" s="73"/>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4.3" customHeight="1">
      <c r="A903" s="27"/>
      <c r="B903" s="27"/>
      <c r="C903" s="27"/>
      <c r="D903" s="73"/>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4.3" customHeight="1">
      <c r="A904" s="27"/>
      <c r="B904" s="27"/>
      <c r="C904" s="27"/>
      <c r="D904" s="73"/>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4.3" customHeight="1">
      <c r="A905" s="27"/>
      <c r="B905" s="27"/>
      <c r="C905" s="27"/>
      <c r="D905" s="73"/>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4.3" customHeight="1">
      <c r="A906" s="27"/>
      <c r="B906" s="27"/>
      <c r="C906" s="27"/>
      <c r="D906" s="73"/>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4.3" customHeight="1">
      <c r="A907" s="27"/>
      <c r="B907" s="27"/>
      <c r="C907" s="27"/>
      <c r="D907" s="73"/>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4.3" customHeight="1">
      <c r="A908" s="27"/>
      <c r="B908" s="27"/>
      <c r="C908" s="27"/>
      <c r="D908" s="73"/>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4.3" customHeight="1">
      <c r="A909" s="27"/>
      <c r="B909" s="27"/>
      <c r="C909" s="27"/>
      <c r="D909" s="73"/>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4.3" customHeight="1">
      <c r="A910" s="27"/>
      <c r="B910" s="27"/>
      <c r="C910" s="27"/>
      <c r="D910" s="73"/>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4.3" customHeight="1">
      <c r="A911" s="27"/>
      <c r="B911" s="27"/>
      <c r="C911" s="27"/>
      <c r="D911" s="73"/>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4.3" customHeight="1">
      <c r="A912" s="27"/>
      <c r="B912" s="27"/>
      <c r="C912" s="27"/>
      <c r="D912" s="73"/>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4.3" customHeight="1">
      <c r="A913" s="27"/>
      <c r="B913" s="27"/>
      <c r="C913" s="27"/>
      <c r="D913" s="73"/>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4.3" customHeight="1">
      <c r="A914" s="27"/>
      <c r="B914" s="27"/>
      <c r="C914" s="27"/>
      <c r="D914" s="73"/>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4.3" customHeight="1">
      <c r="A915" s="27"/>
      <c r="B915" s="27"/>
      <c r="C915" s="27"/>
      <c r="D915" s="73"/>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4.3" customHeight="1">
      <c r="A916" s="27"/>
      <c r="B916" s="27"/>
      <c r="C916" s="27"/>
      <c r="D916" s="73"/>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4.3" customHeight="1">
      <c r="A917" s="27"/>
      <c r="B917" s="27"/>
      <c r="C917" s="27"/>
      <c r="D917" s="73"/>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4.3" customHeight="1">
      <c r="A918" s="27"/>
      <c r="B918" s="27"/>
      <c r="C918" s="27"/>
      <c r="D918" s="73"/>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4.3" customHeight="1">
      <c r="A919" s="27"/>
      <c r="B919" s="27"/>
      <c r="C919" s="27"/>
      <c r="D919" s="73"/>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4.3" customHeight="1">
      <c r="A920" s="27"/>
      <c r="B920" s="27"/>
      <c r="C920" s="27"/>
      <c r="D920" s="73"/>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4.3" customHeight="1">
      <c r="A921" s="27"/>
      <c r="B921" s="27"/>
      <c r="C921" s="27"/>
      <c r="D921" s="73"/>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4.3" customHeight="1">
      <c r="A922" s="27"/>
      <c r="B922" s="27"/>
      <c r="C922" s="27"/>
      <c r="D922" s="73"/>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4.3" customHeight="1">
      <c r="A923" s="27"/>
      <c r="B923" s="27"/>
      <c r="C923" s="27"/>
      <c r="D923" s="73"/>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4.3" customHeight="1">
      <c r="A924" s="27"/>
      <c r="B924" s="27"/>
      <c r="C924" s="27"/>
      <c r="D924" s="73"/>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4.3" customHeight="1">
      <c r="A925" s="27"/>
      <c r="B925" s="27"/>
      <c r="C925" s="27"/>
      <c r="D925" s="73"/>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4.3" customHeight="1">
      <c r="A926" s="27"/>
      <c r="B926" s="27"/>
      <c r="C926" s="27"/>
      <c r="D926" s="73"/>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4.3" customHeight="1">
      <c r="A927" s="27"/>
      <c r="B927" s="27"/>
      <c r="C927" s="27"/>
      <c r="D927" s="73"/>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4.3" customHeight="1">
      <c r="A928" s="27"/>
      <c r="B928" s="27"/>
      <c r="C928" s="27"/>
      <c r="D928" s="73"/>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4.3" customHeight="1">
      <c r="A929" s="27"/>
      <c r="B929" s="27"/>
      <c r="C929" s="27"/>
      <c r="D929" s="73"/>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4.3" customHeight="1">
      <c r="A930" s="27"/>
      <c r="B930" s="27"/>
      <c r="C930" s="27"/>
      <c r="D930" s="73"/>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4.3" customHeight="1">
      <c r="A931" s="27"/>
      <c r="B931" s="27"/>
      <c r="C931" s="27"/>
      <c r="D931" s="73"/>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4.3" customHeight="1">
      <c r="A932" s="27"/>
      <c r="B932" s="27"/>
      <c r="C932" s="27"/>
      <c r="D932" s="73"/>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4.3" customHeight="1">
      <c r="A933" s="27"/>
      <c r="B933" s="27"/>
      <c r="C933" s="27"/>
      <c r="D933" s="73"/>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4.3" customHeight="1">
      <c r="A934" s="27"/>
      <c r="B934" s="27"/>
      <c r="C934" s="27"/>
      <c r="D934" s="73"/>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4.3" customHeight="1">
      <c r="A935" s="27"/>
      <c r="B935" s="27"/>
      <c r="C935" s="27"/>
      <c r="D935" s="73"/>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4.3" customHeight="1">
      <c r="A936" s="27"/>
      <c r="B936" s="27"/>
      <c r="C936" s="27"/>
      <c r="D936" s="73"/>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4.3" customHeight="1">
      <c r="A937" s="27"/>
      <c r="B937" s="27"/>
      <c r="C937" s="27"/>
      <c r="D937" s="73"/>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4.3" customHeight="1">
      <c r="A938" s="27"/>
      <c r="B938" s="27"/>
      <c r="C938" s="27"/>
      <c r="D938" s="73"/>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4.3" customHeight="1">
      <c r="A939" s="27"/>
      <c r="B939" s="27"/>
      <c r="C939" s="27"/>
      <c r="D939" s="73"/>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4.3" customHeight="1">
      <c r="A940" s="27"/>
      <c r="B940" s="27"/>
      <c r="C940" s="27"/>
      <c r="D940" s="73"/>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4.3" customHeight="1">
      <c r="A941" s="27"/>
      <c r="B941" s="27"/>
      <c r="C941" s="27"/>
      <c r="D941" s="73"/>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4.3" customHeight="1">
      <c r="A942" s="27"/>
      <c r="B942" s="27"/>
      <c r="C942" s="27"/>
      <c r="D942" s="73"/>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4.3" customHeight="1">
      <c r="A943" s="27"/>
      <c r="B943" s="27"/>
      <c r="C943" s="27"/>
      <c r="D943" s="73"/>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4.3" customHeight="1">
      <c r="A944" s="27"/>
      <c r="B944" s="27"/>
      <c r="C944" s="27"/>
      <c r="D944" s="73"/>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4.3" customHeight="1">
      <c r="A945" s="27"/>
      <c r="B945" s="27"/>
      <c r="C945" s="27"/>
      <c r="D945" s="73"/>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4.3" customHeight="1">
      <c r="A946" s="27"/>
      <c r="B946" s="27"/>
      <c r="C946" s="27"/>
      <c r="D946" s="73"/>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4.3" customHeight="1">
      <c r="A947" s="27"/>
      <c r="B947" s="27"/>
      <c r="C947" s="27"/>
      <c r="D947" s="73"/>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4.3" customHeight="1">
      <c r="A948" s="27"/>
      <c r="B948" s="27"/>
      <c r="C948" s="27"/>
      <c r="D948" s="73"/>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4.3" customHeight="1">
      <c r="A949" s="27"/>
      <c r="B949" s="27"/>
      <c r="C949" s="27"/>
      <c r="D949" s="73"/>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4.3" customHeight="1">
      <c r="A950" s="27"/>
      <c r="B950" s="27"/>
      <c r="C950" s="27"/>
      <c r="D950" s="73"/>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4.3" customHeight="1">
      <c r="A951" s="27"/>
      <c r="B951" s="27"/>
      <c r="C951" s="27"/>
      <c r="D951" s="73"/>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4.3" customHeight="1">
      <c r="A952" s="27"/>
      <c r="B952" s="27"/>
      <c r="C952" s="27"/>
      <c r="D952" s="73"/>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4.3" customHeight="1">
      <c r="A953" s="27"/>
      <c r="B953" s="27"/>
      <c r="C953" s="27"/>
      <c r="D953" s="73"/>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4.3" customHeight="1">
      <c r="A954" s="27"/>
      <c r="B954" s="27"/>
      <c r="C954" s="27"/>
      <c r="D954" s="73"/>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4.3" customHeight="1">
      <c r="A955" s="27"/>
      <c r="B955" s="27"/>
      <c r="C955" s="27"/>
      <c r="D955" s="73"/>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4.3" customHeight="1">
      <c r="A956" s="27"/>
      <c r="B956" s="27"/>
      <c r="C956" s="27"/>
      <c r="D956" s="73"/>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4.3" customHeight="1">
      <c r="A957" s="27"/>
      <c r="B957" s="27"/>
      <c r="C957" s="27"/>
      <c r="D957" s="73"/>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4.3" customHeight="1">
      <c r="A958" s="27"/>
      <c r="B958" s="27"/>
      <c r="C958" s="27"/>
      <c r="D958" s="73"/>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4.3" customHeight="1">
      <c r="A959" s="27"/>
      <c r="B959" s="27"/>
      <c r="C959" s="27"/>
      <c r="D959" s="73"/>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4.3" customHeight="1">
      <c r="A960" s="27"/>
      <c r="B960" s="27"/>
      <c r="C960" s="27"/>
      <c r="D960" s="73"/>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4.3" customHeight="1">
      <c r="A961" s="27"/>
      <c r="B961" s="27"/>
      <c r="C961" s="27"/>
      <c r="D961" s="73"/>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4.3" customHeight="1">
      <c r="A962" s="27"/>
      <c r="B962" s="27"/>
      <c r="C962" s="27"/>
      <c r="D962" s="73"/>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4.3" customHeight="1">
      <c r="A963" s="27"/>
      <c r="B963" s="27"/>
      <c r="C963" s="27"/>
      <c r="D963" s="73"/>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4.3" customHeight="1">
      <c r="A964" s="27"/>
      <c r="B964" s="27"/>
      <c r="C964" s="27"/>
      <c r="D964" s="73"/>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4.3" customHeight="1">
      <c r="A965" s="27"/>
      <c r="B965" s="27"/>
      <c r="C965" s="27"/>
      <c r="D965" s="73"/>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4.3" customHeight="1">
      <c r="A966" s="27"/>
      <c r="B966" s="27"/>
      <c r="C966" s="27"/>
      <c r="D966" s="73"/>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4.3" customHeight="1">
      <c r="A967" s="27"/>
      <c r="B967" s="27"/>
      <c r="C967" s="27"/>
      <c r="D967" s="73"/>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4.3" customHeight="1">
      <c r="A968" s="27"/>
      <c r="B968" s="27"/>
      <c r="C968" s="27"/>
      <c r="D968" s="73"/>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4.3" customHeight="1">
      <c r="A969" s="27"/>
      <c r="B969" s="27"/>
      <c r="C969" s="27"/>
      <c r="D969" s="73"/>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4.3" customHeight="1">
      <c r="A970" s="27"/>
      <c r="B970" s="27"/>
      <c r="C970" s="27"/>
      <c r="D970" s="73"/>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4.3" customHeight="1">
      <c r="A971" s="27"/>
      <c r="B971" s="27"/>
      <c r="C971" s="27"/>
      <c r="D971" s="73"/>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4.3" customHeight="1">
      <c r="A972" s="27"/>
      <c r="B972" s="27"/>
      <c r="C972" s="27"/>
      <c r="D972" s="73"/>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4.3" customHeight="1">
      <c r="A973" s="27"/>
      <c r="B973" s="27"/>
      <c r="C973" s="27"/>
      <c r="D973" s="73"/>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4.3" customHeight="1">
      <c r="A974" s="27"/>
      <c r="B974" s="27"/>
      <c r="C974" s="27"/>
      <c r="D974" s="73"/>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4.3" customHeight="1">
      <c r="A975" s="27"/>
      <c r="B975" s="27"/>
      <c r="C975" s="27"/>
      <c r="D975" s="73"/>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4.3" customHeight="1">
      <c r="A976" s="27"/>
      <c r="B976" s="27"/>
      <c r="C976" s="27"/>
      <c r="D976" s="73"/>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4.3" customHeight="1">
      <c r="A977" s="27"/>
      <c r="B977" s="27"/>
      <c r="C977" s="27"/>
      <c r="D977" s="73"/>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4.3" customHeight="1">
      <c r="A978" s="27"/>
      <c r="B978" s="27"/>
      <c r="C978" s="27"/>
      <c r="D978" s="73"/>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4.3" customHeight="1">
      <c r="A979" s="27"/>
      <c r="B979" s="27"/>
      <c r="C979" s="27"/>
      <c r="D979" s="73"/>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4.3" customHeight="1">
      <c r="A980" s="27"/>
      <c r="B980" s="27"/>
      <c r="C980" s="27"/>
      <c r="D980" s="73"/>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4.3" customHeight="1">
      <c r="A981" s="27"/>
      <c r="B981" s="27"/>
      <c r="C981" s="27"/>
      <c r="D981" s="73"/>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4.3" customHeight="1">
      <c r="A982" s="27"/>
      <c r="B982" s="27"/>
      <c r="C982" s="27"/>
      <c r="D982" s="73"/>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4.3" customHeight="1">
      <c r="A983" s="27"/>
      <c r="B983" s="27"/>
      <c r="C983" s="27"/>
      <c r="D983" s="73"/>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4.3" customHeight="1">
      <c r="A984" s="27"/>
      <c r="B984" s="27"/>
      <c r="C984" s="27"/>
      <c r="D984" s="73"/>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4.3" customHeight="1">
      <c r="A985" s="27"/>
      <c r="B985" s="27"/>
      <c r="C985" s="27"/>
      <c r="D985" s="73"/>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4.3" customHeight="1">
      <c r="A986" s="27"/>
      <c r="B986" s="27"/>
      <c r="C986" s="27"/>
      <c r="D986" s="73"/>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4.3" customHeight="1">
      <c r="A987" s="27"/>
      <c r="B987" s="27"/>
      <c r="C987" s="27"/>
      <c r="D987" s="73"/>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4.3" customHeight="1">
      <c r="A988" s="27"/>
      <c r="B988" s="27"/>
      <c r="C988" s="27"/>
      <c r="D988" s="73"/>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4.3" customHeight="1">
      <c r="A989" s="27"/>
      <c r="B989" s="27"/>
      <c r="C989" s="27"/>
      <c r="D989" s="73"/>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4.3" customHeight="1">
      <c r="A990" s="27"/>
      <c r="B990" s="27"/>
      <c r="C990" s="27"/>
      <c r="D990" s="73"/>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4.3" customHeight="1">
      <c r="A991" s="27"/>
      <c r="B991" s="27"/>
      <c r="C991" s="27"/>
      <c r="D991" s="73"/>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4.3" customHeight="1">
      <c r="A992" s="27"/>
      <c r="B992" s="27"/>
      <c r="C992" s="27"/>
      <c r="D992" s="73"/>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4.3" customHeight="1">
      <c r="A993" s="27"/>
      <c r="B993" s="27"/>
      <c r="C993" s="27"/>
      <c r="D993" s="73"/>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4.3" customHeight="1">
      <c r="A994" s="27"/>
      <c r="B994" s="27"/>
      <c r="C994" s="27"/>
      <c r="D994" s="73"/>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4.3" customHeight="1">
      <c r="A995" s="27"/>
      <c r="B995" s="27"/>
      <c r="C995" s="27"/>
      <c r="D995" s="73"/>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4.3" customHeight="1">
      <c r="A996" s="27"/>
      <c r="B996" s="27"/>
      <c r="C996" s="27"/>
      <c r="D996" s="73"/>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4.3" customHeight="1">
      <c r="A997" s="27"/>
      <c r="B997" s="27"/>
      <c r="C997" s="27"/>
      <c r="D997" s="73"/>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4.3" customHeight="1">
      <c r="A998" s="27"/>
      <c r="B998" s="27"/>
      <c r="C998" s="27"/>
      <c r="D998" s="73"/>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4.3" customHeight="1">
      <c r="A999" s="27"/>
      <c r="B999" s="27"/>
      <c r="C999" s="27"/>
      <c r="D999" s="73"/>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4.3"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
    <mergeCell ref="B3:D3"/>
    <mergeCell ref="B2:D2"/>
  </mergeCells>
  <hyperlinks>
    <hyperlink ref="A1" location="'Modelo de dominio'!A1" display="&lt;&lt;&lt;Modelo de Dominio" xr:uid="{00000000-0004-0000-1800-000000000000}"/>
    <hyperlink ref="B1" location="'Objetos de dominio'!A1" display="&lt;&lt;&lt;Objetos de Dominio" xr:uid="{00000000-0004-0000-1800-000001000000}"/>
    <hyperlink ref="B3" location="'Objetos de dominio'!B13" display="Objeto de dominio que representa el detalle de cada venta , agrupando que productos se vendieron , la cantidad ,el precio asociado a cada uno y el subtotal (que viene dado por la cantidad y el precio de cada producto)    " xr:uid="{00000000-0004-0000-1800-000002000000}"/>
  </hyperlink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40">
    <outlinePr summaryBelow="0" summaryRight="0"/>
  </sheetPr>
  <dimension ref="A1:F30"/>
  <sheetViews>
    <sheetView workbookViewId="0">
      <selection activeCell="I35" sqref="I35"/>
    </sheetView>
  </sheetViews>
  <sheetFormatPr baseColWidth="10" defaultColWidth="12.625" defaultRowHeight="15.8" customHeight="1"/>
  <cols>
    <col min="2" max="2" width="17.125" customWidth="1"/>
    <col min="3" max="4" width="32.375" customWidth="1"/>
    <col min="5" max="5" width="36.625" customWidth="1"/>
    <col min="6" max="6" width="42.125" customWidth="1"/>
  </cols>
  <sheetData>
    <row r="1" spans="1:6" ht="12.75" customHeight="1">
      <c r="A1" s="76" t="s">
        <v>0</v>
      </c>
      <c r="B1" s="132" t="s">
        <v>1</v>
      </c>
    </row>
    <row r="2" spans="1:6" ht="36.700000000000003" customHeight="1">
      <c r="A2" s="95" t="s">
        <v>1176</v>
      </c>
      <c r="B2" s="95" t="s">
        <v>422</v>
      </c>
      <c r="C2" s="95" t="s">
        <v>423</v>
      </c>
      <c r="D2" s="95" t="s">
        <v>1177</v>
      </c>
      <c r="E2" s="95" t="s">
        <v>424</v>
      </c>
      <c r="F2" s="455"/>
    </row>
    <row r="3" spans="1:6" ht="12.75" customHeight="1">
      <c r="A3" s="592" t="s">
        <v>8</v>
      </c>
      <c r="B3" s="428" t="s">
        <v>38</v>
      </c>
      <c r="C3" s="428" t="s">
        <v>1156</v>
      </c>
      <c r="D3" s="428" t="s">
        <v>28</v>
      </c>
      <c r="E3" s="428" t="s">
        <v>42</v>
      </c>
      <c r="F3" s="455"/>
    </row>
    <row r="4" spans="1:6" ht="12.75" customHeight="1">
      <c r="A4" s="429" t="s">
        <v>14</v>
      </c>
      <c r="B4" s="430" t="s">
        <v>15</v>
      </c>
      <c r="C4" s="429" t="s">
        <v>15</v>
      </c>
      <c r="D4" s="429" t="s">
        <v>15</v>
      </c>
      <c r="E4" s="429" t="s">
        <v>15</v>
      </c>
      <c r="F4" s="455"/>
    </row>
    <row r="5" spans="1:6" ht="12.75" customHeight="1">
      <c r="A5" s="425" t="s">
        <v>16</v>
      </c>
      <c r="B5" s="431" t="s">
        <v>38</v>
      </c>
      <c r="C5" s="426" t="s">
        <v>76</v>
      </c>
      <c r="D5" s="427" t="s">
        <v>28</v>
      </c>
      <c r="E5" s="431" t="s">
        <v>42</v>
      </c>
      <c r="F5" s="626" t="s">
        <v>18</v>
      </c>
    </row>
    <row r="6" spans="1:6" ht="12.75" customHeight="1">
      <c r="A6" s="432">
        <v>1</v>
      </c>
      <c r="B6" s="433" t="str">
        <f>HYPERLINK("#'M-ProductoInterno'!B6", 'M-ProductoInterno'!B6)</f>
        <v>Masa de Pizza</v>
      </c>
      <c r="C6" s="434">
        <v>350</v>
      </c>
      <c r="D6" s="407" t="str">
        <f>HYPERLINK("#'M-UnidadMedida'!B6", 'M-UnidadMedida'!B6)</f>
        <v>g</v>
      </c>
      <c r="E6" s="302" t="str">
        <f>HYPERLINK("#'M-Producto'!I8", 'M-Producto'!I8)</f>
        <v>Margarita Grande</v>
      </c>
      <c r="F6" s="520" t="str">
        <f t="shared" ref="F6:F30" si="0">E6&amp;" "&amp;B6</f>
        <v>Margarita Grande Masa de Pizza</v>
      </c>
    </row>
    <row r="7" spans="1:6" ht="12.75" customHeight="1">
      <c r="A7" s="432">
        <v>2</v>
      </c>
      <c r="B7" s="433" t="str">
        <f>HYPERLINK("#'M-ProductoInterno'!B7", 'M-ProductoInterno'!B7)</f>
        <v>Salsa de Tomate</v>
      </c>
      <c r="C7" s="434">
        <v>300</v>
      </c>
      <c r="D7" s="407" t="str">
        <f>HYPERLINK("#'M-UnidadMedida'!B6", 'M-UnidadMedida'!B6)</f>
        <v>g</v>
      </c>
      <c r="E7" s="302" t="str">
        <f>HYPERLINK("#'M-Producto'!I8", 'M-Producto'!I8)</f>
        <v>Margarita Grande</v>
      </c>
      <c r="F7" s="520" t="str">
        <f t="shared" si="0"/>
        <v>Margarita Grande Salsa de Tomate</v>
      </c>
    </row>
    <row r="8" spans="1:6" ht="12.75" customHeight="1">
      <c r="A8" s="432">
        <v>3</v>
      </c>
      <c r="B8" s="433" t="str">
        <f>HYPERLINK("#'M-ProductoInterno'!B8", 'M-ProductoInterno'!B8)</f>
        <v>Aceite de oliva</v>
      </c>
      <c r="C8" s="434">
        <v>2</v>
      </c>
      <c r="D8" s="910" t="str">
        <f>HYPERLINK("#'M-UnidadMedida'!B8", 'M-UnidadMedida'!B8)</f>
        <v>ml</v>
      </c>
      <c r="E8" s="302" t="str">
        <f>HYPERLINK("#'M-Producto'!I8", 'M-Producto'!I8)</f>
        <v>Margarita Grande</v>
      </c>
      <c r="F8" s="520" t="str">
        <f t="shared" si="0"/>
        <v>Margarita Grande Aceite de oliva</v>
      </c>
    </row>
    <row r="9" spans="1:6" ht="12.75" customHeight="1">
      <c r="A9" s="432">
        <v>4</v>
      </c>
      <c r="B9" s="433" t="str">
        <f>HYPERLINK("#'M-ProductoInterno'!B9", 'M-ProductoInterno'!B9)</f>
        <v>Queso</v>
      </c>
      <c r="C9" s="434">
        <v>100</v>
      </c>
      <c r="D9" s="910" t="str">
        <f>HYPERLINK("#'M-UnidadMedida'!B6", 'M-UnidadMedida'!B6)</f>
        <v>g</v>
      </c>
      <c r="E9" s="302" t="str">
        <f>HYPERLINK("#'M-Producto'!I8", 'M-Producto'!I8)</f>
        <v>Margarita Grande</v>
      </c>
      <c r="F9" s="520" t="str">
        <f t="shared" si="0"/>
        <v>Margarita Grande Queso</v>
      </c>
    </row>
    <row r="10" spans="1:6" ht="12.75" customHeight="1">
      <c r="A10" s="432">
        <v>5</v>
      </c>
      <c r="B10" s="433" t="str">
        <f>HYPERLINK("#'M-ProductoInterno'!B10", 'M-ProductoInterno'!B10)</f>
        <v>Albahaca</v>
      </c>
      <c r="C10" s="434">
        <v>50</v>
      </c>
      <c r="D10" s="910" t="str">
        <f>HYPERLINK("#'M-UnidadMedida'!B6", 'M-UnidadMedida'!B6)</f>
        <v>g</v>
      </c>
      <c r="E10" s="302" t="str">
        <f>HYPERLINK("#'M-Producto'!I8", 'M-Producto'!I8)</f>
        <v>Margarita Grande</v>
      </c>
      <c r="F10" s="520" t="str">
        <f t="shared" si="0"/>
        <v>Margarita Grande Albahaca</v>
      </c>
    </row>
    <row r="11" spans="1:6" ht="12.75" customHeight="1">
      <c r="A11" s="432">
        <v>6</v>
      </c>
      <c r="B11" s="433" t="str">
        <f>HYPERLINK("#'M-ProductoInterno'!B6", 'M-ProductoInterno'!B6)</f>
        <v>Masa de Pizza</v>
      </c>
      <c r="C11" s="434">
        <v>200</v>
      </c>
      <c r="D11" s="910" t="str">
        <f>HYPERLINK("#'M-UnidadMedida'!B6", 'M-UnidadMedida'!B6)</f>
        <v>g</v>
      </c>
      <c r="E11" s="302" t="str">
        <f>HYPERLINK("#'M-Producto'!I9", 'M-Producto'!I9)</f>
        <v>Peperoni Mediana</v>
      </c>
      <c r="F11" s="520" t="str">
        <f t="shared" si="0"/>
        <v>Peperoni Mediana Masa de Pizza</v>
      </c>
    </row>
    <row r="12" spans="1:6" ht="12.75" customHeight="1">
      <c r="A12" s="432">
        <v>7</v>
      </c>
      <c r="B12" s="433" t="str">
        <f>HYPERLINK("#'M-ProductoInterno'!B7", 'M-ProductoInterno'!B7)</f>
        <v>Salsa de Tomate</v>
      </c>
      <c r="C12" s="434">
        <v>200</v>
      </c>
      <c r="D12" s="910" t="str">
        <f>HYPERLINK("#'M-UnidadMedida'!B6", 'M-UnidadMedida'!B6)</f>
        <v>g</v>
      </c>
      <c r="E12" s="302" t="str">
        <f>HYPERLINK("#'M-Producto'!I9", 'M-Producto'!I9)</f>
        <v>Peperoni Mediana</v>
      </c>
      <c r="F12" s="520" t="str">
        <f t="shared" si="0"/>
        <v>Peperoni Mediana Salsa de Tomate</v>
      </c>
    </row>
    <row r="13" spans="1:6" ht="12.75" customHeight="1">
      <c r="A13" s="432">
        <v>8</v>
      </c>
      <c r="B13" s="433" t="str">
        <f>HYPERLINK("#'M-ProductoInterno'!B8", 'M-ProductoInterno'!B8)</f>
        <v>Aceite de oliva</v>
      </c>
      <c r="C13" s="434">
        <v>2</v>
      </c>
      <c r="D13" s="910" t="str">
        <f>HYPERLINK("#'M-UnidadMedida'!B8", 'M-UnidadMedida'!B8)</f>
        <v>ml</v>
      </c>
      <c r="E13" s="302" t="str">
        <f>HYPERLINK("#'M-Producto'!I9", 'M-Producto'!I9)</f>
        <v>Peperoni Mediana</v>
      </c>
      <c r="F13" s="520" t="str">
        <f t="shared" si="0"/>
        <v>Peperoni Mediana Aceite de oliva</v>
      </c>
    </row>
    <row r="14" spans="1:6" ht="12.75" customHeight="1">
      <c r="A14" s="432">
        <v>9</v>
      </c>
      <c r="B14" s="433" t="str">
        <f>HYPERLINK("#'M-ProductoInterno'!B9", 'M-ProductoInterno'!B9)</f>
        <v>Queso</v>
      </c>
      <c r="C14" s="434">
        <v>150</v>
      </c>
      <c r="D14" s="910" t="str">
        <f>HYPERLINK("#'M-UnidadMedida'!B6", 'M-UnidadMedida'!B6)</f>
        <v>g</v>
      </c>
      <c r="E14" s="302" t="str">
        <f>HYPERLINK("#'M-Producto'!I9", 'M-Producto'!I9)</f>
        <v>Peperoni Mediana</v>
      </c>
      <c r="F14" s="520" t="str">
        <f t="shared" si="0"/>
        <v>Peperoni Mediana Queso</v>
      </c>
    </row>
    <row r="15" spans="1:6" ht="12.75" customHeight="1">
      <c r="A15" s="432">
        <v>10</v>
      </c>
      <c r="B15" s="433" t="str">
        <f>HYPERLINK("#'M-ProductoInterno'!B10", 'M-ProductoInterno'!B10)</f>
        <v>Albahaca</v>
      </c>
      <c r="C15" s="434">
        <v>50</v>
      </c>
      <c r="D15" s="910" t="str">
        <f>HYPERLINK("#'M-UnidadMedida'!B6", 'M-UnidadMedida'!B6)</f>
        <v>g</v>
      </c>
      <c r="E15" s="302" t="str">
        <f>HYPERLINK("#'M-Producto'!I9", 'M-Producto'!I9)</f>
        <v>Peperoni Mediana</v>
      </c>
      <c r="F15" s="520" t="str">
        <f t="shared" si="0"/>
        <v>Peperoni Mediana Albahaca</v>
      </c>
    </row>
    <row r="16" spans="1:6" ht="12.75" customHeight="1">
      <c r="A16" s="432">
        <v>11</v>
      </c>
      <c r="B16" s="433" t="str">
        <f>HYPERLINK("#'M-ProductoInterno'!B11", 'M-ProductoInterno'!B11)</f>
        <v>Azucar</v>
      </c>
      <c r="C16" s="434">
        <v>100</v>
      </c>
      <c r="D16" s="910" t="str">
        <f>HYPERLINK("#'M-UnidadMedida'!B6", 'M-UnidadMedida'!B6)</f>
        <v>g</v>
      </c>
      <c r="E16" s="302" t="str">
        <f>HYPERLINK("#'M-Producto'!I9", 'M-Producto'!I9)</f>
        <v>Peperoni Mediana</v>
      </c>
      <c r="F16" s="520" t="str">
        <f t="shared" si="0"/>
        <v>Peperoni Mediana Azucar</v>
      </c>
    </row>
    <row r="17" spans="1:6" ht="12.75" customHeight="1">
      <c r="A17" s="432">
        <v>12</v>
      </c>
      <c r="B17" s="433" t="str">
        <f>HYPERLINK("#'M-ProductoInterno'!B12", 'M-ProductoInterno'!B12)</f>
        <v>Peperoni</v>
      </c>
      <c r="C17" s="434">
        <v>80</v>
      </c>
      <c r="D17" s="910" t="str">
        <f>HYPERLINK("#'M-UnidadMedida'!B6", 'M-UnidadMedida'!B6)</f>
        <v>g</v>
      </c>
      <c r="E17" s="302" t="str">
        <f>HYPERLINK("#'M-Producto'!I9", 'M-Producto'!I9)</f>
        <v>Peperoni Mediana</v>
      </c>
      <c r="F17" s="520" t="str">
        <f t="shared" si="0"/>
        <v>Peperoni Mediana Peperoni</v>
      </c>
    </row>
    <row r="18" spans="1:6" ht="25.5" customHeight="1">
      <c r="A18" s="432">
        <v>13</v>
      </c>
      <c r="B18" s="433" t="str">
        <f>HYPERLINK("#'M-ProductoInterno'!B6", 'M-ProductoInterno'!B6)</f>
        <v>Masa de Pizza</v>
      </c>
      <c r="C18" s="434">
        <v>350</v>
      </c>
      <c r="D18" s="910" t="str">
        <f>HYPERLINK("#'M-UnidadMedida'!B6", 'M-UnidadMedida'!B6)</f>
        <v>g</v>
      </c>
      <c r="E18" s="302" t="str">
        <f>HYPERLINK("#'M-Producto'!I10", 'M-Producto'!I10)</f>
        <v>Margarita y Hawaiana Pequeña</v>
      </c>
      <c r="F18" s="520" t="str">
        <f t="shared" si="0"/>
        <v>Margarita y Hawaiana Pequeña Masa de Pizza</v>
      </c>
    </row>
    <row r="19" spans="1:6" ht="12.75" customHeight="1">
      <c r="A19" s="432">
        <v>14</v>
      </c>
      <c r="B19" s="433" t="str">
        <f>HYPERLINK("#'M-ProductoInterno'!B7", 'M-ProductoInterno'!B7)</f>
        <v>Salsa de Tomate</v>
      </c>
      <c r="C19" s="434">
        <v>300</v>
      </c>
      <c r="D19" s="910" t="str">
        <f>HYPERLINK("#'M-UnidadMedida'!B6", 'M-UnidadMedida'!B6)</f>
        <v>g</v>
      </c>
      <c r="E19" s="302" t="str">
        <f>HYPERLINK("#'M-Producto'!I10", 'M-Producto'!I10)</f>
        <v>Margarita y Hawaiana Pequeña</v>
      </c>
      <c r="F19" s="520" t="str">
        <f t="shared" si="0"/>
        <v>Margarita y Hawaiana Pequeña Salsa de Tomate</v>
      </c>
    </row>
    <row r="20" spans="1:6" ht="12.75" customHeight="1">
      <c r="A20" s="432">
        <v>15</v>
      </c>
      <c r="B20" s="433" t="str">
        <f>HYPERLINK("#'M-ProductoInterno'!B8", 'M-ProductoInterno'!B8)</f>
        <v>Aceite de oliva</v>
      </c>
      <c r="C20" s="434">
        <v>2</v>
      </c>
      <c r="D20" s="910" t="str">
        <f>HYPERLINK("#'M-UnidadMedida'!B8", 'M-UnidadMedida'!B8)</f>
        <v>ml</v>
      </c>
      <c r="E20" s="302" t="str">
        <f>HYPERLINK("#'M-Producto'!I10", 'M-Producto'!I10)</f>
        <v>Margarita y Hawaiana Pequeña</v>
      </c>
      <c r="F20" s="520" t="str">
        <f t="shared" si="0"/>
        <v>Margarita y Hawaiana Pequeña Aceite de oliva</v>
      </c>
    </row>
    <row r="21" spans="1:6" ht="12.75" customHeight="1">
      <c r="A21" s="432">
        <v>16</v>
      </c>
      <c r="B21" s="433" t="str">
        <f>HYPERLINK("#'M-ProductoInterno'!B9", 'M-ProductoInterno'!B9)</f>
        <v>Queso</v>
      </c>
      <c r="C21" s="434">
        <v>100</v>
      </c>
      <c r="D21" s="910" t="str">
        <f>HYPERLINK("#'M-UnidadMedida'!B6", 'M-UnidadMedida'!B6)</f>
        <v>g</v>
      </c>
      <c r="E21" s="302" t="str">
        <f>HYPERLINK("#'M-Producto'!I10", 'M-Producto'!I10)</f>
        <v>Margarita y Hawaiana Pequeña</v>
      </c>
      <c r="F21" s="520" t="str">
        <f t="shared" si="0"/>
        <v>Margarita y Hawaiana Pequeña Queso</v>
      </c>
    </row>
    <row r="22" spans="1:6" ht="12.75" customHeight="1">
      <c r="A22" s="432">
        <v>17</v>
      </c>
      <c r="B22" s="433" t="str">
        <f>HYPERLINK("#'M-ProductoInterno'!B10", 'M-ProductoInterno'!B10)</f>
        <v>Albahaca</v>
      </c>
      <c r="C22" s="434">
        <v>50</v>
      </c>
      <c r="D22" s="910" t="str">
        <f>HYPERLINK("#'M-UnidadMedida'!B6", 'M-UnidadMedida'!B6)</f>
        <v>g</v>
      </c>
      <c r="E22" s="302" t="str">
        <f>HYPERLINK("#'M-Producto'!I10", 'M-Producto'!I10)</f>
        <v>Margarita y Hawaiana Pequeña</v>
      </c>
      <c r="F22" s="520" t="str">
        <f t="shared" si="0"/>
        <v>Margarita y Hawaiana Pequeña Albahaca</v>
      </c>
    </row>
    <row r="23" spans="1:6" ht="12.75" customHeight="1">
      <c r="A23" s="432">
        <v>18</v>
      </c>
      <c r="B23" s="433" t="str">
        <f>HYPERLINK("#'M-ProductoInterno'!B13", 'M-ProductoInterno'!B13)</f>
        <v>Piña</v>
      </c>
      <c r="C23" s="432">
        <v>80</v>
      </c>
      <c r="D23" s="910" t="str">
        <f>HYPERLINK("#'M-UnidadMedida'!B6", 'M-UnidadMedida'!B6)</f>
        <v>g</v>
      </c>
      <c r="E23" s="302" t="str">
        <f>HYPERLINK("#'M-Producto'!I10", 'M-Producto'!I10)</f>
        <v>Margarita y Hawaiana Pequeña</v>
      </c>
      <c r="F23" s="520" t="str">
        <f t="shared" si="0"/>
        <v>Margarita y Hawaiana Pequeña Piña</v>
      </c>
    </row>
    <row r="24" spans="1:6" ht="12.75" customHeight="1">
      <c r="A24" s="432">
        <v>19</v>
      </c>
      <c r="B24" s="433" t="str">
        <f>HYPERLINK("#'M-ProductoInterno'!B14", 'M-ProductoInterno'!B14)</f>
        <v>Sal</v>
      </c>
      <c r="C24" s="432">
        <v>25</v>
      </c>
      <c r="D24" s="910" t="str">
        <f>HYPERLINK("#'M-UnidadMedida'!B6", 'M-UnidadMedida'!B6)</f>
        <v>g</v>
      </c>
      <c r="E24" s="302" t="str">
        <f>HYPERLINK("#'M-Producto'!I10", 'M-Producto'!I10)</f>
        <v>Margarita y Hawaiana Pequeña</v>
      </c>
      <c r="F24" s="520" t="str">
        <f t="shared" si="0"/>
        <v>Margarita y Hawaiana Pequeña Sal</v>
      </c>
    </row>
    <row r="25" spans="1:6" ht="12.75" customHeight="1">
      <c r="A25" s="520">
        <v>20</v>
      </c>
      <c r="B25" s="318" t="str">
        <f>HYPERLINK("#'M-ProductoInterno'!B9", 'M-ProductoInterno'!B9)</f>
        <v>Queso</v>
      </c>
      <c r="C25" s="520">
        <v>50</v>
      </c>
      <c r="D25" s="911" t="str">
        <f>HYPERLINK("#'M-UnidadMedida'!B6", 'M-UnidadMedida'!B6)</f>
        <v>g</v>
      </c>
      <c r="E25" s="302" t="str">
        <f>HYPERLINK("#'M-Producto'!I11", 'M-Producto'!I11)</f>
        <v>Extra Queso</v>
      </c>
      <c r="F25" s="520" t="str">
        <f t="shared" si="0"/>
        <v>Extra Queso Queso</v>
      </c>
    </row>
    <row r="26" spans="1:6" ht="12.75" customHeight="1">
      <c r="A26" s="520">
        <v>21</v>
      </c>
      <c r="B26" s="318" t="str">
        <f>HYPERLINK("#'M-ProductoInterno'!B13", 'M-ProductoInterno'!B13)</f>
        <v>Piña</v>
      </c>
      <c r="C26" s="520">
        <v>50</v>
      </c>
      <c r="D26" s="911" t="str">
        <f>HYPERLINK("#'M-UnidadMedida'!B6", 'M-UnidadMedida'!B6)</f>
        <v>g</v>
      </c>
      <c r="E26" s="302" t="str">
        <f>HYPERLINK("#'M-Producto'!I12", 'M-Producto'!I12)</f>
        <v>Extra Piña</v>
      </c>
      <c r="F26" s="520" t="str">
        <f t="shared" si="0"/>
        <v>Extra Piña Piña</v>
      </c>
    </row>
    <row r="27" spans="1:6" ht="12.75" customHeight="1">
      <c r="A27" s="520">
        <v>22</v>
      </c>
      <c r="B27" s="318" t="str">
        <f>HYPERLINK("#'M-ProductoInterno'!B12", 'M-ProductoInterno'!B12)</f>
        <v>Peperoni</v>
      </c>
      <c r="C27" s="520">
        <v>40</v>
      </c>
      <c r="D27" s="911" t="str">
        <f>HYPERLINK("#'M-UnidadMedida'!B6", 'M-UnidadMedida'!B6)</f>
        <v>g</v>
      </c>
      <c r="E27" s="302" t="str">
        <f>HYPERLINK("#'M-Producto'!I13", 'M-Producto'!I13)</f>
        <v>Extra Peperoni</v>
      </c>
      <c r="F27" s="520" t="str">
        <f t="shared" si="0"/>
        <v>Extra Peperoni Peperoni</v>
      </c>
    </row>
    <row r="28" spans="1:6" ht="15.8" customHeight="1">
      <c r="A28" s="520">
        <v>23</v>
      </c>
      <c r="B28" s="628" t="str">
        <f>HYPERLINK("#'M-ProductoInterno'!B9", 'M-ProductoInterno'!B9)</f>
        <v>Queso</v>
      </c>
      <c r="C28" s="520">
        <v>500</v>
      </c>
      <c r="D28" s="912" t="str">
        <f>HYPERLINK("#'M-UnidadMedida'!B6", 'M-UnidadMedida'!B6)</f>
        <v>g</v>
      </c>
      <c r="E28" s="302" t="str">
        <f>HYPERLINK("#'M-Producto'!I19", 'M-Producto'!I19)</f>
        <v>Hawaiana Grande</v>
      </c>
      <c r="F28" s="520" t="str">
        <f t="shared" si="0"/>
        <v>Hawaiana Grande Queso</v>
      </c>
    </row>
    <row r="29" spans="1:6" ht="15.8" customHeight="1">
      <c r="A29" s="520">
        <v>24</v>
      </c>
      <c r="B29" s="628" t="str">
        <f>HYPERLINK("#'M-ProductoInterno'!B21", 'M-ProductoInterno'!B21)</f>
        <v>Jamón</v>
      </c>
      <c r="C29" s="520">
        <v>100</v>
      </c>
      <c r="D29" s="912" t="str">
        <f>HYPERLINK("#'M-UnidadMedida'!B6", 'M-UnidadMedida'!B6)</f>
        <v>g</v>
      </c>
      <c r="E29" s="302" t="str">
        <f>HYPERLINK("#'M-Producto'!I19", 'M-Producto'!I19)</f>
        <v>Hawaiana Grande</v>
      </c>
      <c r="F29" s="520" t="str">
        <f t="shared" si="0"/>
        <v>Hawaiana Grande Jamón</v>
      </c>
    </row>
    <row r="30" spans="1:6" ht="15.8" customHeight="1">
      <c r="A30" s="520">
        <v>25</v>
      </c>
      <c r="B30" s="628" t="str">
        <f>HYPERLINK("#'M-ProductoInterno'!B13", 'M-ProductoInterno'!B13)</f>
        <v>Piña</v>
      </c>
      <c r="C30" s="520">
        <v>80</v>
      </c>
      <c r="D30" s="912" t="str">
        <f>HYPERLINK("#'M-UnidadMedida'!B6", 'M-UnidadMedida'!B6)</f>
        <v>g</v>
      </c>
      <c r="E30" s="302" t="str">
        <f>HYPERLINK("#'M-Producto'!I19", 'M-Producto'!I19)</f>
        <v>Hawaiana Grande</v>
      </c>
      <c r="F30" s="520" t="str">
        <f t="shared" si="0"/>
        <v>Hawaiana Grande Piña</v>
      </c>
    </row>
  </sheetData>
  <hyperlinks>
    <hyperlink ref="A1" location="'Modelo de dominio'!A1" display="&lt;&lt;&lt;Modelo de Dominio" xr:uid="{00000000-0004-0000-1100-000000000000}"/>
    <hyperlink ref="B1" location="'Objetos de dominio'!A1" display="&lt;&lt;&lt;Objetos de Dominio" xr:uid="{00000000-0004-0000-1100-000001000000}"/>
    <hyperlink ref="B5" location="'M-ProductoInterno'!A1" display="Ingrediente " xr:uid="{00000000-0004-0000-1100-000002000000}"/>
    <hyperlink ref="D5" location="'M-UnidadMedida'!A1" display="UnidadMedida" xr:uid="{00000000-0004-0000-1100-000003000000}"/>
    <hyperlink ref="E5" location="'M-Producto'!A1" display="Receta" xr:uid="{00000000-0004-0000-1100-000004000000}"/>
  </hyperlink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41">
    <outlinePr summaryBelow="0" summaryRight="0"/>
  </sheetPr>
  <dimension ref="A1:WQJ34"/>
  <sheetViews>
    <sheetView topLeftCell="O1" zoomScale="85" zoomScaleNormal="85" workbookViewId="0">
      <selection activeCell="G34" sqref="G34"/>
    </sheetView>
  </sheetViews>
  <sheetFormatPr baseColWidth="10" defaultColWidth="12.625" defaultRowHeight="12.9"/>
  <cols>
    <col min="1" max="1" width="27.75" bestFit="1" customWidth="1"/>
    <col min="2" max="2" width="44.125" bestFit="1" customWidth="1"/>
    <col min="3" max="3" width="34.375" bestFit="1" customWidth="1"/>
    <col min="4" max="4" width="24" bestFit="1" customWidth="1"/>
    <col min="5" max="5" width="11.625" bestFit="1" customWidth="1"/>
    <col min="6" max="6" width="27" bestFit="1" customWidth="1"/>
    <col min="7" max="7" width="27.375" bestFit="1" customWidth="1"/>
    <col min="8" max="8" width="19.75" bestFit="1" customWidth="1"/>
    <col min="9" max="9" width="67.75" bestFit="1" customWidth="1"/>
    <col min="10" max="10" width="23.25" bestFit="1" customWidth="1"/>
    <col min="11" max="11" width="21.75" bestFit="1" customWidth="1"/>
    <col min="12" max="12" width="18.75" bestFit="1" customWidth="1"/>
    <col min="13" max="13" width="42.25" bestFit="1" customWidth="1"/>
    <col min="14" max="14" width="15.375" bestFit="1" customWidth="1"/>
    <col min="15" max="15" width="31.25" bestFit="1" customWidth="1"/>
    <col min="16" max="16" width="28.25" bestFit="1" customWidth="1"/>
    <col min="17" max="17" width="110.375" bestFit="1" customWidth="1"/>
    <col min="18" max="18" width="69.25" bestFit="1" customWidth="1"/>
    <col min="19" max="19" width="23.875" bestFit="1" customWidth="1"/>
    <col min="20" max="20" width="27.375" bestFit="1" customWidth="1"/>
    <col min="21" max="21" width="15.25" bestFit="1" customWidth="1"/>
    <col min="22" max="22" width="28.625" customWidth="1"/>
    <col min="23" max="23" width="30.375" customWidth="1"/>
    <col min="24" max="24" width="16.75" customWidth="1"/>
    <col min="25" max="25" width="28" customWidth="1"/>
    <col min="26" max="26" width="27.75" bestFit="1" customWidth="1"/>
    <col min="27" max="27" width="34.625" bestFit="1" customWidth="1"/>
    <col min="28" max="28" width="36.125" bestFit="1" customWidth="1"/>
  </cols>
  <sheetData>
    <row r="1" spans="1:28" ht="13.75" customHeight="1">
      <c r="A1" s="2" t="s">
        <v>0</v>
      </c>
      <c r="B1" s="132" t="s">
        <v>1</v>
      </c>
      <c r="C1" s="25"/>
      <c r="D1" s="25"/>
      <c r="E1" s="25"/>
      <c r="F1" s="25"/>
      <c r="G1" s="25"/>
      <c r="H1" s="25"/>
      <c r="I1" s="25"/>
      <c r="J1" s="25"/>
      <c r="K1" s="25"/>
      <c r="L1" s="25"/>
      <c r="M1" s="25"/>
      <c r="N1" s="25"/>
      <c r="O1" s="25"/>
      <c r="P1" s="25"/>
      <c r="Q1" s="25"/>
      <c r="R1" s="25"/>
      <c r="S1" s="25"/>
      <c r="T1" s="25"/>
      <c r="U1" s="25"/>
    </row>
    <row r="2" spans="1:28" ht="14.3" customHeight="1">
      <c r="A2" s="149" t="s">
        <v>20</v>
      </c>
      <c r="B2" s="1474" t="s">
        <v>51</v>
      </c>
      <c r="C2" s="1035"/>
      <c r="D2" s="1035"/>
      <c r="E2" s="1035"/>
      <c r="F2" s="1035"/>
      <c r="G2" s="1035"/>
      <c r="H2" s="1035"/>
      <c r="I2" s="1035"/>
      <c r="J2" s="1035"/>
      <c r="K2" s="1035"/>
      <c r="L2" s="1035"/>
      <c r="M2" s="1035"/>
      <c r="N2" s="1035"/>
      <c r="O2" s="1035"/>
      <c r="P2" s="1035"/>
      <c r="Q2" s="1035"/>
      <c r="R2" s="1035"/>
      <c r="S2" s="1035"/>
      <c r="T2" s="1035"/>
      <c r="U2" s="1036"/>
    </row>
    <row r="3" spans="1:28" ht="14.3" customHeight="1">
      <c r="A3" s="149" t="s">
        <v>79</v>
      </c>
      <c r="B3" s="1476" t="str">
        <f>HYPERLINK("#'Objetos de dominio'!B17", 'Objetos de dominio'!B19)</f>
        <v>Es cada uno de los ingredientes que se necesitan para preparar una receta, con la cantidad que se necesita de cada uno.</v>
      </c>
      <c r="C3" s="1035"/>
      <c r="D3" s="1035"/>
      <c r="E3" s="1035"/>
      <c r="F3" s="1035"/>
      <c r="G3" s="1035"/>
      <c r="H3" s="1035"/>
      <c r="I3" s="1035"/>
      <c r="J3" s="1035"/>
      <c r="K3" s="1035"/>
      <c r="L3" s="1035"/>
      <c r="M3" s="1035"/>
      <c r="N3" s="1035"/>
      <c r="O3" s="1035"/>
      <c r="P3" s="1035"/>
      <c r="Q3" s="1035"/>
      <c r="R3" s="1035"/>
      <c r="S3" s="1035"/>
      <c r="T3" s="1035"/>
      <c r="U3" s="1036"/>
    </row>
    <row r="4" spans="1:28" ht="14.3" customHeight="1">
      <c r="A4" s="161" t="s">
        <v>80</v>
      </c>
      <c r="B4" s="736" t="s">
        <v>81</v>
      </c>
      <c r="C4" s="161" t="s">
        <v>82</v>
      </c>
      <c r="D4" s="161" t="s">
        <v>8</v>
      </c>
      <c r="E4" s="161" t="s">
        <v>14</v>
      </c>
      <c r="F4" s="161" t="s">
        <v>83</v>
      </c>
      <c r="G4" s="161" t="s">
        <v>84</v>
      </c>
      <c r="H4" s="161" t="s">
        <v>85</v>
      </c>
      <c r="I4" s="161" t="s">
        <v>86</v>
      </c>
      <c r="J4" s="161" t="s">
        <v>87</v>
      </c>
      <c r="K4" s="161" t="s">
        <v>88</v>
      </c>
      <c r="L4" s="161" t="s">
        <v>89</v>
      </c>
      <c r="M4" s="161" t="s">
        <v>90</v>
      </c>
      <c r="N4" s="161" t="s">
        <v>91</v>
      </c>
      <c r="O4" s="161" t="s">
        <v>92</v>
      </c>
      <c r="P4" s="161" t="s">
        <v>93</v>
      </c>
      <c r="Q4" s="161" t="s">
        <v>94</v>
      </c>
      <c r="R4" s="161" t="s">
        <v>95</v>
      </c>
      <c r="S4" s="161" t="s">
        <v>96</v>
      </c>
      <c r="T4" s="161" t="s">
        <v>97</v>
      </c>
      <c r="U4" s="161" t="s">
        <v>98</v>
      </c>
      <c r="V4" s="582" t="str">
        <f>HYPERLINK("#'C-DetalleReceta'!A19", 'C-DetalleReceta'!A19)</f>
        <v>Agregar ingrediente a receta</v>
      </c>
      <c r="W4" s="1467" t="str">
        <f>HYPERLINK("#'C-DetalleReceta'!A29", 'C-DetalleReceta'!A29)</f>
        <v>Modificar cantidad de ingrediente</v>
      </c>
      <c r="X4" s="1468"/>
      <c r="Y4" s="570" t="str">
        <f>HYPERLINK("#'C-DetalleReceta'!A31", 'C-DetalleReceta'!A31)</f>
        <v>Retirar ingrediente de receta</v>
      </c>
      <c r="Z4" s="564" t="str">
        <f>HYPERLINK("#'C-DetalleReceta'!A32", 'C-DetalleReceta'!A32)</f>
        <v>Consultar ingredientes por filtro</v>
      </c>
      <c r="AA4" s="887" t="str">
        <f>HYPERLINK("#'C-DetalleReceta'!A33", 'C-DetalleReceta'!A33)</f>
        <v>Consultar recetas de productos activos</v>
      </c>
      <c r="AB4" s="914" t="str">
        <f>HYPERLINK("#'C-DetalleReceta'!A34", 'C-DetalleReceta'!A34)</f>
        <v>Consultar recetas de productos inactivos</v>
      </c>
    </row>
    <row r="5" spans="1:28" ht="14.3" customHeight="1">
      <c r="A5" s="832" t="str">
        <f>HYPERLINK("#'M-DetalleReceta'!A5", 'M-DetalleReceta'!A5)</f>
        <v>Id</v>
      </c>
      <c r="B5" s="708" t="str">
        <f>HYPERLINK("#'M-DetalleReceta'!A2", 'M-DetalleReceta'!A2)</f>
        <v>Identificador unico de cada ingrediente (linea) de una receta</v>
      </c>
      <c r="C5" s="735" t="s">
        <v>15</v>
      </c>
      <c r="D5" s="162" t="s">
        <v>99</v>
      </c>
      <c r="E5" s="162" t="s">
        <v>15</v>
      </c>
      <c r="F5" s="163"/>
      <c r="G5" s="164"/>
      <c r="H5" s="164"/>
      <c r="I5" s="164"/>
      <c r="J5" s="164"/>
      <c r="K5" s="164"/>
      <c r="L5" s="164"/>
      <c r="M5" s="164"/>
      <c r="N5" s="162" t="s">
        <v>100</v>
      </c>
      <c r="O5" s="162" t="s">
        <v>100</v>
      </c>
      <c r="P5" s="164"/>
      <c r="Q5" s="162" t="s">
        <v>100</v>
      </c>
      <c r="R5" s="162" t="s">
        <v>100</v>
      </c>
      <c r="S5" s="162" t="s">
        <v>100</v>
      </c>
      <c r="T5" s="164"/>
      <c r="U5" s="162" t="s">
        <v>15</v>
      </c>
      <c r="V5" s="582" t="s">
        <v>101</v>
      </c>
      <c r="W5" s="557" t="s">
        <v>101</v>
      </c>
      <c r="X5" s="557" t="s">
        <v>273</v>
      </c>
      <c r="Y5" s="570" t="s">
        <v>101</v>
      </c>
      <c r="Z5" s="564" t="s">
        <v>274</v>
      </c>
      <c r="AA5" s="519" t="s">
        <v>274</v>
      </c>
      <c r="AB5" s="914" t="s">
        <v>274</v>
      </c>
    </row>
    <row r="6" spans="1:28" ht="14.3" customHeight="1">
      <c r="A6" s="833" t="str">
        <f>HYPERLINK("#'M-DetalleReceta'!B5", 'M-DetalleReceta'!B5)</f>
        <v>ProductoInterno</v>
      </c>
      <c r="B6" s="834" t="str">
        <f>HYPERLINK("#'M-DetalleReceta'!B2", 'M-DetalleReceta'!B2)</f>
        <v>Producto interno que se utiliza en la receta</v>
      </c>
      <c r="C6" s="162" t="s">
        <v>100</v>
      </c>
      <c r="D6" s="162" t="s">
        <v>38</v>
      </c>
      <c r="E6" s="162" t="s">
        <v>15</v>
      </c>
      <c r="F6" s="165"/>
      <c r="G6" s="166"/>
      <c r="H6" s="164"/>
      <c r="I6" s="164"/>
      <c r="J6" s="164"/>
      <c r="K6" s="164"/>
      <c r="L6" s="164"/>
      <c r="M6" s="162" t="s">
        <v>426</v>
      </c>
      <c r="N6" s="162" t="s">
        <v>100</v>
      </c>
      <c r="O6" s="162" t="s">
        <v>100</v>
      </c>
      <c r="P6" s="164"/>
      <c r="Q6" s="162" t="s">
        <v>100</v>
      </c>
      <c r="R6" s="162" t="s">
        <v>100</v>
      </c>
      <c r="S6" s="162" t="s">
        <v>100</v>
      </c>
      <c r="T6" s="164"/>
      <c r="U6" s="162" t="s">
        <v>100</v>
      </c>
      <c r="V6" s="582" t="s">
        <v>101</v>
      </c>
      <c r="W6" s="557" t="s">
        <v>276</v>
      </c>
      <c r="X6" s="557" t="s">
        <v>273</v>
      </c>
      <c r="Y6" s="570" t="s">
        <v>276</v>
      </c>
      <c r="Z6" s="564" t="s">
        <v>278</v>
      </c>
      <c r="AA6" s="519" t="s">
        <v>278</v>
      </c>
      <c r="AB6" s="914" t="s">
        <v>278</v>
      </c>
    </row>
    <row r="7" spans="1:28" ht="14.3" customHeight="1">
      <c r="A7" s="833" t="str">
        <f>HYPERLINK("#'M-DetalleReceta'!C5", 'M-DetalleReceta'!C5)</f>
        <v>Cantidad</v>
      </c>
      <c r="B7" s="833" t="str">
        <f>HYPERLINK("#'M-DetalleReceta'!C2", 'M-DetalleReceta'!C2)</f>
        <v>Cantidad del producto interno</v>
      </c>
      <c r="C7" s="162" t="s">
        <v>100</v>
      </c>
      <c r="D7" s="162" t="s">
        <v>13</v>
      </c>
      <c r="E7" s="162" t="s">
        <v>15</v>
      </c>
      <c r="F7" s="165"/>
      <c r="G7" s="166"/>
      <c r="H7" s="162">
        <v>4</v>
      </c>
      <c r="I7" s="162" t="s">
        <v>103</v>
      </c>
      <c r="J7" s="162" t="s">
        <v>104</v>
      </c>
      <c r="K7" s="435">
        <v>10000</v>
      </c>
      <c r="L7" s="164"/>
      <c r="M7" s="162" t="s">
        <v>105</v>
      </c>
      <c r="N7" s="162" t="s">
        <v>100</v>
      </c>
      <c r="O7" s="162" t="s">
        <v>100</v>
      </c>
      <c r="P7" s="164"/>
      <c r="Q7" s="162" t="s">
        <v>100</v>
      </c>
      <c r="R7" s="162" t="s">
        <v>100</v>
      </c>
      <c r="S7" s="162" t="s">
        <v>100</v>
      </c>
      <c r="T7" s="164"/>
      <c r="U7" s="162" t="s">
        <v>100</v>
      </c>
      <c r="V7" s="582" t="s">
        <v>101</v>
      </c>
      <c r="W7" s="557" t="s">
        <v>101</v>
      </c>
      <c r="X7" s="557" t="s">
        <v>277</v>
      </c>
      <c r="Y7" s="570" t="s">
        <v>276</v>
      </c>
      <c r="Z7" s="564" t="s">
        <v>278</v>
      </c>
      <c r="AA7" s="519" t="s">
        <v>278</v>
      </c>
      <c r="AB7" s="914" t="s">
        <v>278</v>
      </c>
    </row>
    <row r="8" spans="1:28" ht="14.3" customHeight="1">
      <c r="A8" s="833" t="str">
        <f>HYPERLINK("#'M-DetalleReceta'!D5", 'M-DetalleReceta'!D5)</f>
        <v>UnidadMedida</v>
      </c>
      <c r="B8" s="833" t="str">
        <f>HYPERLINK("#'M-DetalleReceta'!D2", 'M-DetalleReceta'!D2)</f>
        <v>Unidad de medida del ingrediente; se asigna automaticamente segun el tipo de medida del producto interno (Peso: g, Volumen: ml, Unidad: und)</v>
      </c>
      <c r="C8" s="162" t="s">
        <v>100</v>
      </c>
      <c r="D8" s="162" t="s">
        <v>28</v>
      </c>
      <c r="E8" s="162" t="s">
        <v>15</v>
      </c>
      <c r="F8" s="165"/>
      <c r="G8" s="166"/>
      <c r="H8" s="163"/>
      <c r="I8" s="164"/>
      <c r="J8" s="163"/>
      <c r="K8" s="164"/>
      <c r="L8" s="164"/>
      <c r="M8" s="162" t="s">
        <v>1178</v>
      </c>
      <c r="N8" s="162" t="s">
        <v>15</v>
      </c>
      <c r="O8" s="162" t="s">
        <v>100</v>
      </c>
      <c r="P8" s="164"/>
      <c r="Q8" s="162" t="s">
        <v>100</v>
      </c>
      <c r="R8" s="162" t="s">
        <v>100</v>
      </c>
      <c r="S8" s="162" t="s">
        <v>100</v>
      </c>
      <c r="T8" s="164"/>
      <c r="U8" s="162" t="s">
        <v>15</v>
      </c>
      <c r="V8" s="582" t="s">
        <v>276</v>
      </c>
      <c r="W8" s="557" t="s">
        <v>276</v>
      </c>
      <c r="X8" s="557" t="s">
        <v>273</v>
      </c>
      <c r="Y8" s="570" t="s">
        <v>276</v>
      </c>
      <c r="Z8" s="564" t="s">
        <v>278</v>
      </c>
      <c r="AA8" s="519" t="s">
        <v>278</v>
      </c>
      <c r="AB8" s="914" t="s">
        <v>278</v>
      </c>
    </row>
    <row r="9" spans="1:28" ht="14.3" customHeight="1">
      <c r="A9" s="142" t="str">
        <f>HYPERLINK("#'M-DetalleReceta'!E5", 'M-DetalleReceta'!E5)</f>
        <v>Producto</v>
      </c>
      <c r="B9" s="142" t="str">
        <f>HYPERLINK("#'M-DetalleReceta'!E2", 'M-DetalleReceta'!E2)</f>
        <v>Producto (Pizza o Adicion) al que pertenece esta linea de receta</v>
      </c>
      <c r="C9" s="153" t="s">
        <v>100</v>
      </c>
      <c r="D9" s="153" t="s">
        <v>42</v>
      </c>
      <c r="E9" s="153" t="s">
        <v>15</v>
      </c>
      <c r="F9" s="167"/>
      <c r="G9" s="168"/>
      <c r="H9" s="169"/>
      <c r="I9" s="170"/>
      <c r="J9" s="169"/>
      <c r="K9" s="170"/>
      <c r="L9" s="170"/>
      <c r="M9" s="153" t="s">
        <v>427</v>
      </c>
      <c r="N9" s="162" t="s">
        <v>100</v>
      </c>
      <c r="O9" s="162" t="s">
        <v>100</v>
      </c>
      <c r="P9" s="170"/>
      <c r="Q9" s="162" t="s">
        <v>100</v>
      </c>
      <c r="R9" s="162" t="s">
        <v>100</v>
      </c>
      <c r="S9" s="162" t="s">
        <v>100</v>
      </c>
      <c r="T9" s="170"/>
      <c r="U9" s="162" t="s">
        <v>100</v>
      </c>
      <c r="V9" s="582" t="s">
        <v>101</v>
      </c>
      <c r="W9" s="557" t="s">
        <v>276</v>
      </c>
      <c r="X9" s="557" t="s">
        <v>273</v>
      </c>
      <c r="Y9" s="570" t="s">
        <v>276</v>
      </c>
      <c r="Z9" s="564" t="s">
        <v>278</v>
      </c>
      <c r="AA9" s="519" t="s">
        <v>278</v>
      </c>
      <c r="AB9" s="914" t="s">
        <v>278</v>
      </c>
    </row>
    <row r="12" spans="1:28" ht="14.3" customHeight="1">
      <c r="A12" s="16" t="s">
        <v>109</v>
      </c>
      <c r="B12" s="16" t="s">
        <v>79</v>
      </c>
      <c r="C12" s="16" t="s">
        <v>110</v>
      </c>
    </row>
    <row r="13" spans="1:28" ht="13.75" customHeight="1">
      <c r="A13" s="1547" t="s">
        <v>111</v>
      </c>
      <c r="B13" s="1548" t="s">
        <v>428</v>
      </c>
      <c r="C13" s="139" t="str">
        <f>HYPERLINK("#'C-DetalleReceta'!A9", 'C-DetalleReceta'!A9)</f>
        <v>Producto</v>
      </c>
    </row>
    <row r="14" spans="1:28">
      <c r="A14" s="971"/>
      <c r="B14" s="1263"/>
      <c r="C14" s="139" t="str">
        <f>HYPERLINK("#'C-DetalleReceta'!A6", 'C-DetalleReceta'!A6)</f>
        <v>ProductoInterno</v>
      </c>
    </row>
    <row r="16" spans="1:28" ht="13.75" customHeight="1" thickBot="1"/>
    <row r="17" spans="1:18 16000:16000" ht="14.3" customHeight="1">
      <c r="A17" s="1037" t="s">
        <v>113</v>
      </c>
      <c r="B17" s="1038"/>
      <c r="C17" s="1042" t="s">
        <v>79</v>
      </c>
      <c r="D17" s="1043"/>
      <c r="E17" s="1043"/>
      <c r="F17" s="1038"/>
      <c r="G17" s="1042" t="s">
        <v>114</v>
      </c>
      <c r="H17" s="1029"/>
      <c r="I17" s="1030"/>
      <c r="J17" s="1028" t="s">
        <v>115</v>
      </c>
      <c r="K17" s="1029"/>
      <c r="L17" s="1029"/>
      <c r="M17" s="1029"/>
      <c r="N17" s="1030"/>
      <c r="O17" s="1028" t="s">
        <v>116</v>
      </c>
      <c r="P17" s="1030"/>
      <c r="Q17" s="1028" t="s">
        <v>117</v>
      </c>
      <c r="R17" s="1030"/>
    </row>
    <row r="18" spans="1:18 16000:16000" ht="14.3" customHeight="1">
      <c r="A18" s="1039"/>
      <c r="B18" s="1040"/>
      <c r="C18" s="1044"/>
      <c r="D18" s="1045"/>
      <c r="E18" s="1045"/>
      <c r="F18" s="1040"/>
      <c r="G18" s="517" t="s">
        <v>118</v>
      </c>
      <c r="H18" s="517" t="s">
        <v>8</v>
      </c>
      <c r="I18" s="517" t="s">
        <v>79</v>
      </c>
      <c r="J18" s="691" t="s">
        <v>119</v>
      </c>
      <c r="K18" s="1034" t="s">
        <v>79</v>
      </c>
      <c r="L18" s="1035"/>
      <c r="M18" s="1035"/>
      <c r="N18" s="1036"/>
      <c r="O18" s="544" t="s">
        <v>120</v>
      </c>
      <c r="P18" s="544" t="s">
        <v>79</v>
      </c>
      <c r="Q18" s="544" t="s">
        <v>121</v>
      </c>
      <c r="R18" s="188" t="s">
        <v>122</v>
      </c>
    </row>
    <row r="19" spans="1:18 16000:16000" ht="76.75" customHeight="1">
      <c r="A19" s="1011" t="str">
        <f>HYPERLINK("#'C-DetalleReceta'!V4", 'E-DetalleReceta'!B7)</f>
        <v>Agregar ingrediente a receta</v>
      </c>
      <c r="B19" s="1012"/>
      <c r="C19" s="1011" t="str">
        <f>'E-DetalleReceta'!C7</f>
        <v>Permite incorporar un ingrediente a la composición de una receta indicando la cantidad necesaria para su elaboración.</v>
      </c>
      <c r="D19" s="1017"/>
      <c r="E19" s="1017"/>
      <c r="F19" s="1012"/>
      <c r="G19" s="1020" t="s">
        <v>123</v>
      </c>
      <c r="H19" s="1020" t="s">
        <v>51</v>
      </c>
      <c r="I19" s="1211" t="s">
        <v>429</v>
      </c>
      <c r="J19" s="1214" t="s">
        <v>51</v>
      </c>
      <c r="K19" s="1208" t="s">
        <v>430</v>
      </c>
      <c r="L19" s="1017"/>
      <c r="M19" s="1017"/>
      <c r="N19" s="1012"/>
      <c r="O19" s="776" t="str">
        <f>HYPERLINK("#'P-DetalleReceta'!A5", 'P-DetalleReceta'!A5)</f>
        <v>P-DR-001</v>
      </c>
      <c r="P19" s="512" t="str">
        <f>'P-DetalleReceta'!B5</f>
        <v>Asegurar que los datos requeridos para registrar un detalle de receta sean válidos de acuerdo con el tipo de dato, obligatoriedad, formato y rango correspondiente.</v>
      </c>
      <c r="Q19" s="512" t="s">
        <v>431</v>
      </c>
      <c r="R19" s="512" t="s">
        <v>127</v>
      </c>
    </row>
    <row r="20" spans="1:18 16000:16000" ht="51.65">
      <c r="A20" s="1013"/>
      <c r="B20" s="1014"/>
      <c r="C20" s="1013"/>
      <c r="D20" s="1018"/>
      <c r="E20" s="1018"/>
      <c r="F20" s="1014"/>
      <c r="G20" s="1021"/>
      <c r="H20" s="1021"/>
      <c r="I20" s="1212"/>
      <c r="J20" s="1215"/>
      <c r="K20" s="1209"/>
      <c r="L20" s="1018"/>
      <c r="M20" s="1018"/>
      <c r="N20" s="1014"/>
      <c r="O20" s="776" t="str">
        <f>HYPERLINK("#'P-DetalleReceta'!A6", 'P-DetalleReceta'!A6)</f>
        <v>P-DR-002</v>
      </c>
      <c r="P20" s="512" t="str">
        <f>'P-DetalleReceta'!B6</f>
        <v>Asegurar que el producto (pizza o adicion) al que pertenece este detalle de receta exista en el sistema.</v>
      </c>
      <c r="Q20" s="512" t="s">
        <v>432</v>
      </c>
      <c r="R20" s="512" t="s">
        <v>433</v>
      </c>
    </row>
    <row r="21" spans="1:18 16000:16000" ht="38.75">
      <c r="A21" s="1013"/>
      <c r="B21" s="1014"/>
      <c r="C21" s="1013"/>
      <c r="D21" s="1018"/>
      <c r="E21" s="1018"/>
      <c r="F21" s="1014"/>
      <c r="G21" s="1021"/>
      <c r="H21" s="1021"/>
      <c r="I21" s="1212"/>
      <c r="J21" s="1215"/>
      <c r="K21" s="1209"/>
      <c r="L21" s="1018"/>
      <c r="M21" s="1018"/>
      <c r="N21" s="1014"/>
      <c r="O21" s="776" t="str">
        <f>HYPERLINK("#'P-DetalleReceta'!A18", 'P-DetalleReceta'!A18)</f>
        <v>P-DR-014</v>
      </c>
      <c r="P21" s="512" t="str">
        <f>'P-DetalleReceta'!B18</f>
        <v>Asegurar que el producto al que se agrega el ingrediente se encuentre activo.</v>
      </c>
      <c r="Q21" s="512" t="s">
        <v>1573</v>
      </c>
      <c r="R21" s="512" t="s">
        <v>1574</v>
      </c>
    </row>
    <row r="22" spans="1:18 16000:16000" ht="77.45">
      <c r="A22" s="1013"/>
      <c r="B22" s="1014"/>
      <c r="C22" s="1013"/>
      <c r="D22" s="1018"/>
      <c r="E22" s="1018"/>
      <c r="F22" s="1014"/>
      <c r="G22" s="1021"/>
      <c r="H22" s="1021"/>
      <c r="I22" s="1212"/>
      <c r="J22" s="1215"/>
      <c r="K22" s="1209"/>
      <c r="L22" s="1018"/>
      <c r="M22" s="1018"/>
      <c r="N22" s="1014"/>
      <c r="O22" s="776" t="str">
        <f>HYPERLINK("#'P-DetalleReceta'!A13", 'P-DetalleReceta'!A13)</f>
        <v>P-DR-009</v>
      </c>
      <c r="P22" s="512" t="str">
        <f>'P-DetalleReceta'!B13</f>
        <v>Asegurar que el producto asociado al detalle de receta sea una pizza o una adicion: las bebidas no tienen receta, porque no se elaboran, se compran y se venden directamente.</v>
      </c>
      <c r="Q22" s="512" t="s">
        <v>437</v>
      </c>
      <c r="R22" s="512" t="s">
        <v>438</v>
      </c>
    </row>
    <row r="23" spans="1:18 16000:16000" ht="38.75">
      <c r="A23" s="1013"/>
      <c r="B23" s="1014"/>
      <c r="C23" s="1013"/>
      <c r="D23" s="1018"/>
      <c r="E23" s="1018"/>
      <c r="F23" s="1014"/>
      <c r="G23" s="1021"/>
      <c r="H23" s="1021"/>
      <c r="I23" s="1212"/>
      <c r="J23" s="1215"/>
      <c r="K23" s="1209"/>
      <c r="L23" s="1018"/>
      <c r="M23" s="1018"/>
      <c r="N23" s="1014"/>
      <c r="O23" s="776" t="str">
        <f>HYPERLINK("#'P-DetalleReceta'!A7", 'P-DetalleReceta'!A7)</f>
        <v>P-DR-003</v>
      </c>
      <c r="P23" s="512" t="str">
        <f>'P-DetalleReceta'!B7</f>
        <v>Asegurar que el producto interno que se asociará al detalle de receta exista en el sistema.</v>
      </c>
      <c r="Q23" s="512" t="s">
        <v>434</v>
      </c>
      <c r="R23" s="512" t="s">
        <v>129</v>
      </c>
    </row>
    <row r="24" spans="1:18 16000:16000" ht="38.75">
      <c r="A24" s="1013"/>
      <c r="B24" s="1014"/>
      <c r="C24" s="1013"/>
      <c r="D24" s="1018"/>
      <c r="E24" s="1018"/>
      <c r="F24" s="1014"/>
      <c r="G24" s="1021"/>
      <c r="H24" s="1021"/>
      <c r="I24" s="1212"/>
      <c r="J24" s="1215"/>
      <c r="K24" s="1209"/>
      <c r="L24" s="1018"/>
      <c r="M24" s="1018"/>
      <c r="N24" s="1014"/>
      <c r="O24" s="776" t="str">
        <f>HYPERLINK("#'P-DetalleReceta'!A15", 'P-DetalleReceta'!A15)</f>
        <v>P-DR-011</v>
      </c>
      <c r="P24" s="512" t="str">
        <f>'P-DetalleReceta'!B15</f>
        <v>Asegurar que el producto interno del ingrediente se encuentre activo.</v>
      </c>
      <c r="Q24" s="512" t="s">
        <v>1434</v>
      </c>
      <c r="R24" s="512" t="s">
        <v>1435</v>
      </c>
    </row>
    <row r="25" spans="1:18 16000:16000" ht="12.9" customHeight="1">
      <c r="A25" s="1013"/>
      <c r="B25" s="1014"/>
      <c r="C25" s="1013"/>
      <c r="D25" s="1018"/>
      <c r="E25" s="1018"/>
      <c r="F25" s="1014"/>
      <c r="G25" s="1021"/>
      <c r="H25" s="1021"/>
      <c r="I25" s="1212"/>
      <c r="J25" s="1215"/>
      <c r="K25" s="1209"/>
      <c r="L25" s="1018"/>
      <c r="M25" s="1018"/>
      <c r="N25" s="1014"/>
      <c r="O25" s="776" t="str">
        <f>HYPERLINK("#'P-DetalleReceta'!A8", 'P-DetalleReceta'!A8)</f>
        <v>P-DR-004</v>
      </c>
      <c r="P25" s="512" t="str">
        <f>'P-DetalleReceta'!B8</f>
        <v>Asegurar que la cantidad registrada para un producto interno sea mayor que cero y como maximo 10.000.</v>
      </c>
      <c r="Q25" s="512" t="s">
        <v>1575</v>
      </c>
      <c r="R25" s="512" t="s">
        <v>1437</v>
      </c>
    </row>
    <row r="26" spans="1:18 16000:16000" ht="90.35">
      <c r="A26" s="1013"/>
      <c r="B26" s="1014"/>
      <c r="C26" s="1013"/>
      <c r="D26" s="1018"/>
      <c r="E26" s="1018"/>
      <c r="F26" s="1014"/>
      <c r="G26" s="1021"/>
      <c r="H26" s="1021"/>
      <c r="I26" s="1212"/>
      <c r="J26" s="1215"/>
      <c r="K26" s="1209"/>
      <c r="L26" s="1018"/>
      <c r="M26" s="1018"/>
      <c r="N26" s="1014"/>
      <c r="O26" s="776" t="str">
        <f>HYPERLINK("#'P-DetalleReceta'!A9", 'P-DetalleReceta'!A9)</f>
        <v>P-DR-005</v>
      </c>
      <c r="P26" s="512" t="str">
        <f>'P-DetalleReceta'!B9</f>
        <v>Asegurar que la unidad de medida del detalle de receta se asigne automaticamente segun el tipo de medida del producto interno: Peso = g, Volumen = ml, Unidad = und. El usuario no la ingresa.</v>
      </c>
      <c r="Q26" s="512" t="s">
        <v>1576</v>
      </c>
      <c r="R26" s="512" t="s">
        <v>1577</v>
      </c>
    </row>
    <row r="27" spans="1:18 16000:16000" ht="51.65">
      <c r="A27" s="1013"/>
      <c r="B27" s="1014"/>
      <c r="C27" s="1013"/>
      <c r="D27" s="1018"/>
      <c r="E27" s="1018"/>
      <c r="F27" s="1014"/>
      <c r="G27" s="1021"/>
      <c r="H27" s="1021"/>
      <c r="I27" s="1212"/>
      <c r="J27" s="1215"/>
      <c r="K27" s="1209"/>
      <c r="L27" s="1018"/>
      <c r="M27" s="1018"/>
      <c r="N27" s="1014"/>
      <c r="O27" s="776" t="str">
        <f>HYPERLINK("#'P-DetalleReceta'!A10", 'P-DetalleReceta'!A10)</f>
        <v>P-DR-006</v>
      </c>
      <c r="P27" s="512" t="str">
        <f>'P-DetalleReceta'!B10</f>
        <v>Asegurar que un producto interno no se encuentre registrado más de una vez dentro de la misma receta.</v>
      </c>
      <c r="Q27" s="512" t="s">
        <v>435</v>
      </c>
      <c r="R27" s="512" t="s">
        <v>436</v>
      </c>
    </row>
    <row r="28" spans="1:18 16000:16000" ht="51.65">
      <c r="A28" s="1015"/>
      <c r="B28" s="1016"/>
      <c r="C28" s="1015"/>
      <c r="D28" s="1019"/>
      <c r="E28" s="1019"/>
      <c r="F28" s="1016"/>
      <c r="G28" s="1022"/>
      <c r="H28" s="1022"/>
      <c r="I28" s="1213"/>
      <c r="J28" s="1215"/>
      <c r="K28" s="1210"/>
      <c r="L28" s="1019"/>
      <c r="M28" s="1019"/>
      <c r="N28" s="1016"/>
      <c r="O28" s="776" t="str">
        <f>HYPERLINK("#'P-DetalleReceta'!A14", 'P-DetalleReceta'!A14)</f>
        <v>P-DR-010</v>
      </c>
      <c r="P28" s="512" t="str">
        <f>'P-DetalleReceta'!B14</f>
        <v>Asegurar que el identificador generado para el detalle de receta no este siendo utilizado por otro detalle de receta.</v>
      </c>
      <c r="Q28" s="512" t="s">
        <v>1249</v>
      </c>
      <c r="R28" s="512" t="s">
        <v>661</v>
      </c>
    </row>
    <row r="29" spans="1:18 16000:16000" s="614" customFormat="1" ht="51.65">
      <c r="A29" s="1243" t="str">
        <f>HYPERLINK("#'C-DetalleReceta'!W4", 'E-DetalleReceta'!B17)</f>
        <v>Modificar cantidad de ingrediente</v>
      </c>
      <c r="B29" s="1244"/>
      <c r="C29" s="1243" t="str">
        <f>'E-DetalleReceta'!C17</f>
        <v>Permite ajustar la cantidad de un ingrediente requerida para la elaboración de una receta.</v>
      </c>
      <c r="D29" s="1249"/>
      <c r="E29" s="1249"/>
      <c r="F29" s="1244"/>
      <c r="G29" s="1252" t="s">
        <v>123</v>
      </c>
      <c r="H29" s="1252" t="s">
        <v>51</v>
      </c>
      <c r="I29" s="1252" t="s">
        <v>439</v>
      </c>
      <c r="J29" s="1253" t="s">
        <v>51</v>
      </c>
      <c r="K29" s="1243" t="s">
        <v>440</v>
      </c>
      <c r="L29" s="1249"/>
      <c r="M29" s="1249"/>
      <c r="N29" s="1244"/>
      <c r="O29" s="793" t="str">
        <f>HYPERLINK("#'P-DetalleReceta'!A11", 'P-DetalleReceta'!A11)</f>
        <v>P-DR-007</v>
      </c>
      <c r="P29" s="587" t="str">
        <f>'P-DetalleReceta'!B11</f>
        <v>Asegurar que el detalle de receta que se desea modificar se encuentre registrado en el sistema.</v>
      </c>
      <c r="Q29" s="587" t="s">
        <v>441</v>
      </c>
      <c r="R29" s="587" t="s">
        <v>442</v>
      </c>
      <c r="WQJ29"/>
    </row>
    <row r="30" spans="1:18 16000:16000" s="614" customFormat="1" ht="51.65">
      <c r="A30" s="1247"/>
      <c r="B30" s="1248"/>
      <c r="C30" s="1247"/>
      <c r="D30" s="1251"/>
      <c r="E30" s="1251"/>
      <c r="F30" s="1248"/>
      <c r="G30" s="1254"/>
      <c r="H30" s="1254"/>
      <c r="I30" s="1254"/>
      <c r="J30" s="1254"/>
      <c r="K30" s="1247"/>
      <c r="L30" s="1251"/>
      <c r="M30" s="1251"/>
      <c r="N30" s="1248"/>
      <c r="O30" s="793" t="str">
        <f>HYPERLINK("#'P-DetalleReceta'!A8", 'P-DetalleReceta'!A8)</f>
        <v>P-DR-004</v>
      </c>
      <c r="P30" s="587" t="str">
        <f>'P-DetalleReceta'!B8</f>
        <v>Asegurar que la cantidad registrada para un producto interno sea mayor que cero y como maximo 10.000.</v>
      </c>
      <c r="Q30" s="587" t="s">
        <v>1578</v>
      </c>
      <c r="R30" s="587" t="s">
        <v>1448</v>
      </c>
      <c r="WQJ30"/>
    </row>
    <row r="31" spans="1:18 16000:16000" s="614" customFormat="1">
      <c r="A31" s="1549" t="str">
        <f>HYPERLINK("#'C-DetalleReceta'!Y4", 'E-DetalleReceta'!B19)</f>
        <v>Retirar ingrediente de receta</v>
      </c>
      <c r="B31" s="1550"/>
      <c r="C31" s="1549" t="str">
        <f>'E-DetalleReceta'!C19</f>
        <v>Permite retirar un ingrediente de la composición de una receta cuando deja de ser requerido para su elaboración.</v>
      </c>
      <c r="D31" s="1551"/>
      <c r="E31" s="1551"/>
      <c r="F31" s="1550"/>
      <c r="G31" s="563" t="s">
        <v>16</v>
      </c>
      <c r="H31" s="563" t="s">
        <v>299</v>
      </c>
      <c r="I31" s="563" t="s">
        <v>443</v>
      </c>
      <c r="J31" s="563" t="s">
        <v>51</v>
      </c>
      <c r="K31" s="1549" t="s">
        <v>444</v>
      </c>
      <c r="L31" s="1551"/>
      <c r="M31" s="1551"/>
      <c r="N31" s="1550"/>
      <c r="O31" s="768" t="str">
        <f>HYPERLINK("#'P-DetalleReceta'!A12", 'P-DetalleReceta'!A12)</f>
        <v>P-DR-008</v>
      </c>
      <c r="P31" s="563" t="str">
        <f>'P-DetalleReceta'!B12</f>
        <v>Asegurar que el detalle de receta exista con el identificador indicado</v>
      </c>
      <c r="Q31" s="563" t="s">
        <v>445</v>
      </c>
      <c r="R31" s="563" t="s">
        <v>446</v>
      </c>
      <c r="WQJ31"/>
    </row>
    <row r="32" spans="1:18 16000:16000" s="614" customFormat="1">
      <c r="A32" s="1552" t="str">
        <f>HYPERLINK("#'C-DetalleReceta'!Z4", 'E-DetalleReceta'!B20)</f>
        <v>Consultar ingredientes por filtro</v>
      </c>
      <c r="B32" s="1553"/>
      <c r="C32" s="1552" t="str">
        <f>'E-DetalleReceta'!C20</f>
        <v>Permite consultar los ingredientes de recetas que cumplan con los criterios indicados, por ejemplo todos los ingredientes de un producto.</v>
      </c>
      <c r="D32" s="1554"/>
      <c r="E32" s="1554"/>
      <c r="F32" s="1553"/>
      <c r="G32" s="565" t="s">
        <v>1579</v>
      </c>
      <c r="H32" s="565" t="s">
        <v>51</v>
      </c>
      <c r="I32" s="565" t="s">
        <v>1580</v>
      </c>
      <c r="J32" s="565" t="s">
        <v>1581</v>
      </c>
      <c r="K32" s="1552" t="s">
        <v>1582</v>
      </c>
      <c r="L32" s="1554"/>
      <c r="M32" s="1554"/>
      <c r="N32" s="1553"/>
      <c r="O32" s="835" t="str">
        <f>HYPERLINK("#'P-DetalleReceta'!A16", 'P-DetalleReceta'!A16)</f>
        <v>P-DR-012</v>
      </c>
      <c r="P32" s="565" t="str">
        <f>'P-DetalleReceta'!B16</f>
        <v>Asegurar que la consulta retorne los ingredientes que cumplan con los criterios indicados (producto, producto interno o unidad de medida).</v>
      </c>
      <c r="Q32" s="565" t="s">
        <v>1583</v>
      </c>
      <c r="R32" s="565" t="s">
        <v>1584</v>
      </c>
      <c r="WQJ32"/>
    </row>
    <row r="33" spans="1:18 16000:16000" s="614" customFormat="1">
      <c r="A33" s="1555" t="str">
        <f>HYPERLINK("#'C-DetalleReceta'!AA4", 'E-DetalleReceta'!B21)</f>
        <v>Consultar recetas de productos activos</v>
      </c>
      <c r="B33" s="1556"/>
      <c r="C33" s="1555" t="str">
        <f>'E-DetalleReceta'!C21</f>
        <v>Permite consultar las recetas (ingredientes) de los productos que la pizzeria ofrece actualmente.</v>
      </c>
      <c r="D33" s="1557"/>
      <c r="E33" s="1557"/>
      <c r="F33" s="1556"/>
      <c r="G33" s="913" t="s">
        <v>1405</v>
      </c>
      <c r="H33" s="913"/>
      <c r="I33" s="913" t="s">
        <v>1407</v>
      </c>
      <c r="J33" s="913" t="s">
        <v>1581</v>
      </c>
      <c r="K33" s="1555" t="s">
        <v>1585</v>
      </c>
      <c r="L33" s="1557"/>
      <c r="M33" s="1557"/>
      <c r="N33" s="1556"/>
      <c r="O33" s="884" t="str">
        <f>HYPERLINK("#'P-DetalleReceta'!A17", 'P-DetalleReceta'!A17)</f>
        <v>P-DR-013</v>
      </c>
      <c r="P33" s="913" t="str">
        <f>'P-DetalleReceta'!B17</f>
        <v>Asegurar que se consulten las recetas de los productos activos o de los inactivos, segun lo solicitado.</v>
      </c>
      <c r="Q33" s="913" t="s">
        <v>1586</v>
      </c>
      <c r="R33" s="913" t="s">
        <v>1587</v>
      </c>
      <c r="WQJ33"/>
    </row>
    <row r="34" spans="1:18 16000:16000" s="614" customFormat="1">
      <c r="A34" s="1558" t="str">
        <f>HYPERLINK("#'C-DetalleReceta'!AB4", 'E-DetalleReceta'!B22)</f>
        <v>Consultar recetas de productos inactivos</v>
      </c>
      <c r="B34" s="1559"/>
      <c r="C34" s="1558" t="str">
        <f>'E-DetalleReceta'!C22</f>
        <v>Permite consultar las recetas de los productos que la pizzeria ya no ofrece, para conservar su historial.</v>
      </c>
      <c r="D34" s="1560"/>
      <c r="E34" s="1560"/>
      <c r="F34" s="1559"/>
      <c r="G34" s="915" t="s">
        <v>1405</v>
      </c>
      <c r="H34" s="915"/>
      <c r="I34" s="915" t="s">
        <v>1407</v>
      </c>
      <c r="J34" s="915" t="s">
        <v>1581</v>
      </c>
      <c r="K34" s="1558" t="s">
        <v>1588</v>
      </c>
      <c r="L34" s="1560"/>
      <c r="M34" s="1560"/>
      <c r="N34" s="1559"/>
      <c r="O34" s="916" t="str">
        <f>HYPERLINK("#'P-DetalleReceta'!A17", 'P-DetalleReceta'!A17)</f>
        <v>P-DR-013</v>
      </c>
      <c r="P34" s="915" t="str">
        <f>'P-DetalleReceta'!B17</f>
        <v>Asegurar que se consulten las recetas de los productos activos o de los inactivos, segun lo solicitado.</v>
      </c>
      <c r="Q34" s="915" t="s">
        <v>1589</v>
      </c>
      <c r="R34" s="915" t="s">
        <v>1590</v>
      </c>
      <c r="WQJ34"/>
    </row>
  </sheetData>
  <mergeCells count="38">
    <mergeCell ref="A33:B33"/>
    <mergeCell ref="C33:F33"/>
    <mergeCell ref="K33:N33"/>
    <mergeCell ref="A34:B34"/>
    <mergeCell ref="C34:F34"/>
    <mergeCell ref="K34:N34"/>
    <mergeCell ref="A31:B31"/>
    <mergeCell ref="C31:F31"/>
    <mergeCell ref="K31:N31"/>
    <mergeCell ref="A32:B32"/>
    <mergeCell ref="C32:F32"/>
    <mergeCell ref="K32:N32"/>
    <mergeCell ref="A29:B30"/>
    <mergeCell ref="C29:F30"/>
    <mergeCell ref="K29:N30"/>
    <mergeCell ref="G29:G30"/>
    <mergeCell ref="H29:H30"/>
    <mergeCell ref="I29:I30"/>
    <mergeCell ref="J29:J30"/>
    <mergeCell ref="A19:B28"/>
    <mergeCell ref="C19:F28"/>
    <mergeCell ref="K19:N28"/>
    <mergeCell ref="G19:G28"/>
    <mergeCell ref="H19:H28"/>
    <mergeCell ref="I19:I28"/>
    <mergeCell ref="J19:J28"/>
    <mergeCell ref="B2:U2"/>
    <mergeCell ref="A13:A14"/>
    <mergeCell ref="O17:P17"/>
    <mergeCell ref="B3:U3"/>
    <mergeCell ref="B13:B14"/>
    <mergeCell ref="Q17:R17"/>
    <mergeCell ref="W4:X4"/>
    <mergeCell ref="J17:N17"/>
    <mergeCell ref="G17:I17"/>
    <mergeCell ref="A17:B18"/>
    <mergeCell ref="C17:F18"/>
    <mergeCell ref="K18:N18"/>
  </mergeCells>
  <hyperlinks>
    <hyperlink ref="A1" location="'Modelo de dominio'!A1" display="&lt;&lt;&lt;Modelo de Dominio" xr:uid="{00000000-0004-0000-1200-000000000000}"/>
    <hyperlink ref="B1" location="'Objetos de dominio'!A1" display="&lt;&lt;&lt;Objetos de Dominio" xr:uid="{00000000-0004-0000-1200-000001000000}"/>
  </hyperlink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42">
    <outlinePr summaryBelow="0" summaryRight="0"/>
  </sheetPr>
  <dimension ref="A1:WQJ1003"/>
  <sheetViews>
    <sheetView topLeftCell="G1" workbookViewId="0">
      <selection activeCell="J21" sqref="A21:J21"/>
    </sheetView>
  </sheetViews>
  <sheetFormatPr baseColWidth="10" defaultColWidth="12.625" defaultRowHeight="12.9"/>
  <cols>
    <col min="1" max="1" width="17" bestFit="1" customWidth="1"/>
    <col min="2" max="2" width="27.75" bestFit="1" customWidth="1"/>
    <col min="3" max="3" width="94.375" bestFit="1" customWidth="1"/>
    <col min="4" max="4" width="26.375" customWidth="1"/>
    <col min="5" max="5" width="53.125" bestFit="1" customWidth="1"/>
    <col min="6" max="6" width="97.375" bestFit="1" customWidth="1"/>
    <col min="7" max="7" width="17.375" bestFit="1" customWidth="1"/>
    <col min="8" max="8" width="13.75" bestFit="1" customWidth="1"/>
    <col min="9" max="9" width="25.125" bestFit="1" customWidth="1"/>
    <col min="10" max="10" width="19.875" bestFit="1" customWidth="1"/>
  </cols>
  <sheetData>
    <row r="1" spans="1:25">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ht="13.75" customHeight="1">
      <c r="A2" s="333" t="s">
        <v>209</v>
      </c>
      <c r="B2" s="1561" t="s">
        <v>51</v>
      </c>
      <c r="C2" s="1123"/>
      <c r="D2" s="1123"/>
      <c r="E2" s="1123"/>
      <c r="F2" s="1123"/>
      <c r="G2" s="1123"/>
      <c r="H2" s="1123"/>
      <c r="I2" s="1123"/>
      <c r="J2" s="1124"/>
      <c r="K2" s="73"/>
      <c r="L2" s="73"/>
      <c r="M2" s="73"/>
      <c r="N2" s="73"/>
      <c r="O2" s="73"/>
      <c r="P2" s="73"/>
      <c r="Q2" s="73"/>
      <c r="R2" s="73"/>
      <c r="S2" s="73"/>
      <c r="T2" s="73"/>
      <c r="U2" s="73"/>
      <c r="V2" s="73"/>
      <c r="W2" s="73"/>
      <c r="X2" s="73"/>
      <c r="Y2" s="73"/>
    </row>
    <row r="3" spans="1:25" ht="13.75" customHeight="1">
      <c r="A3" s="334" t="s">
        <v>210</v>
      </c>
      <c r="B3" s="1562" t="str">
        <f>'C-DetalleReceta'!B3</f>
        <v>Es cada uno de los ingredientes que se necesitan para preparar una receta, con la cantidad que se necesita de cada uno.</v>
      </c>
      <c r="C3" s="1123"/>
      <c r="D3" s="1123"/>
      <c r="E3" s="1123"/>
      <c r="F3" s="1123"/>
      <c r="G3" s="1123"/>
      <c r="H3" s="1123"/>
      <c r="I3" s="1123"/>
      <c r="J3" s="1124"/>
      <c r="K3" s="73"/>
      <c r="L3" s="73"/>
      <c r="M3" s="73"/>
      <c r="N3" s="73"/>
      <c r="O3" s="73"/>
      <c r="P3" s="73"/>
      <c r="Q3" s="73"/>
      <c r="R3" s="73"/>
      <c r="S3" s="73"/>
      <c r="T3" s="73"/>
      <c r="U3" s="73"/>
      <c r="V3" s="73"/>
      <c r="W3" s="73"/>
      <c r="X3" s="73"/>
      <c r="Y3" s="73"/>
    </row>
    <row r="4" spans="1:25" ht="13.75" customHeight="1">
      <c r="A4" s="328" t="s">
        <v>211</v>
      </c>
      <c r="B4" s="1546" t="s">
        <v>212</v>
      </c>
      <c r="C4" s="1124"/>
      <c r="D4" s="329" t="s">
        <v>213</v>
      </c>
      <c r="E4" s="1545" t="s">
        <v>214</v>
      </c>
      <c r="F4" s="1124"/>
      <c r="G4" s="330" t="s">
        <v>215</v>
      </c>
      <c r="H4" s="337" t="s">
        <v>216</v>
      </c>
      <c r="I4" s="331" t="s">
        <v>217</v>
      </c>
      <c r="J4" s="332" t="s">
        <v>218</v>
      </c>
      <c r="K4" s="73"/>
      <c r="L4" s="73"/>
      <c r="M4" s="73"/>
      <c r="N4" s="73"/>
      <c r="O4" s="73"/>
      <c r="P4" s="73"/>
      <c r="Q4" s="73"/>
      <c r="R4" s="73"/>
      <c r="S4" s="73"/>
      <c r="T4" s="73"/>
      <c r="U4" s="73"/>
      <c r="V4" s="73"/>
      <c r="W4" s="73"/>
      <c r="X4" s="73"/>
      <c r="Y4" s="73"/>
    </row>
    <row r="5" spans="1:25" ht="13.75" customHeight="1">
      <c r="A5" s="328" t="s">
        <v>211</v>
      </c>
      <c r="B5" s="569" t="s">
        <v>219</v>
      </c>
      <c r="C5" s="569" t="s">
        <v>79</v>
      </c>
      <c r="D5" s="329" t="s">
        <v>220</v>
      </c>
      <c r="E5" s="1545" t="s">
        <v>221</v>
      </c>
      <c r="F5" s="1124"/>
      <c r="G5" s="330" t="s">
        <v>222</v>
      </c>
      <c r="H5" s="337" t="s">
        <v>223</v>
      </c>
      <c r="I5" s="331" t="s">
        <v>224</v>
      </c>
      <c r="J5" s="332" t="s">
        <v>225</v>
      </c>
      <c r="K5" s="73"/>
      <c r="L5" s="73"/>
      <c r="M5" s="73"/>
      <c r="N5" s="73"/>
      <c r="O5" s="73"/>
      <c r="P5" s="73"/>
      <c r="Q5" s="73"/>
      <c r="R5" s="73"/>
      <c r="S5" s="73"/>
      <c r="T5" s="73"/>
      <c r="U5" s="73"/>
      <c r="V5" s="73"/>
      <c r="W5" s="73"/>
      <c r="X5" s="73"/>
      <c r="Y5" s="73"/>
    </row>
    <row r="6" spans="1:25" ht="13.75" customHeight="1">
      <c r="A6" s="562"/>
      <c r="B6" s="562"/>
      <c r="C6" s="562"/>
      <c r="D6" s="562"/>
      <c r="E6" s="568" t="s">
        <v>226</v>
      </c>
      <c r="F6" s="568" t="s">
        <v>79</v>
      </c>
      <c r="G6" s="330" t="s">
        <v>227</v>
      </c>
      <c r="H6" s="562"/>
      <c r="I6" s="562"/>
      <c r="J6" s="562"/>
      <c r="K6" s="73"/>
      <c r="L6" s="73"/>
      <c r="M6" s="73"/>
      <c r="N6" s="73"/>
      <c r="O6" s="73"/>
      <c r="P6" s="73"/>
      <c r="Q6" s="73"/>
      <c r="R6" s="73"/>
      <c r="S6" s="73"/>
      <c r="T6" s="73"/>
      <c r="U6" s="73"/>
      <c r="V6" s="73"/>
      <c r="W6" s="73"/>
      <c r="X6" s="73"/>
      <c r="Y6" s="73"/>
    </row>
    <row r="7" spans="1:25" ht="25.5" customHeight="1">
      <c r="A7" s="1046" t="s">
        <v>228</v>
      </c>
      <c r="B7" s="1046" t="s">
        <v>447</v>
      </c>
      <c r="C7" s="1046" t="s">
        <v>448</v>
      </c>
      <c r="D7" s="1046" t="s">
        <v>51</v>
      </c>
      <c r="E7" s="1046" t="s">
        <v>449</v>
      </c>
      <c r="F7" s="1046" t="s">
        <v>450</v>
      </c>
      <c r="G7" s="779" t="str">
        <f>HYPERLINK("#'P-DetalleReceta'!A5", "P-DR-001")</f>
        <v>P-DR-001</v>
      </c>
      <c r="H7" s="1046"/>
      <c r="I7" s="1046" t="s">
        <v>451</v>
      </c>
      <c r="J7" s="1046"/>
      <c r="K7" s="73"/>
      <c r="L7" s="73"/>
      <c r="M7" s="73"/>
      <c r="N7" s="73"/>
      <c r="O7" s="73"/>
      <c r="P7" s="73"/>
      <c r="Q7" s="73"/>
      <c r="R7" s="73"/>
      <c r="S7" s="73"/>
      <c r="T7" s="73"/>
      <c r="U7" s="73"/>
      <c r="V7" s="73"/>
      <c r="W7" s="73"/>
      <c r="X7" s="73"/>
      <c r="Y7" s="73"/>
    </row>
    <row r="8" spans="1:25">
      <c r="A8" s="1047"/>
      <c r="B8" s="1047"/>
      <c r="C8" s="1047"/>
      <c r="D8" s="1047"/>
      <c r="E8" s="1047"/>
      <c r="F8" s="1047"/>
      <c r="G8" s="779" t="str">
        <f>HYPERLINK("#'P-DetalleReceta'!A6", "P-DR-002")</f>
        <v>P-DR-002</v>
      </c>
      <c r="H8" s="1047"/>
      <c r="I8" s="1047"/>
      <c r="J8" s="1047"/>
      <c r="K8" s="73"/>
      <c r="L8" s="73"/>
      <c r="M8" s="73"/>
      <c r="N8" s="73"/>
      <c r="O8" s="73"/>
      <c r="P8" s="73"/>
      <c r="Q8" s="73"/>
      <c r="R8" s="73"/>
      <c r="S8" s="73"/>
      <c r="T8" s="73"/>
      <c r="U8" s="73"/>
      <c r="V8" s="73"/>
      <c r="W8" s="73"/>
      <c r="X8" s="73"/>
      <c r="Y8" s="73"/>
    </row>
    <row r="9" spans="1:25">
      <c r="A9" s="1047"/>
      <c r="B9" s="1047"/>
      <c r="C9" s="1047"/>
      <c r="D9" s="1047"/>
      <c r="E9" s="1047"/>
      <c r="F9" s="1047"/>
      <c r="G9" s="779" t="str">
        <f>HYPERLINK("#'P-DetalleReceta'!A18", "P-DR-014")</f>
        <v>P-DR-014</v>
      </c>
      <c r="H9" s="1047"/>
      <c r="I9" s="1047"/>
      <c r="J9" s="1047"/>
      <c r="K9" s="73"/>
      <c r="L9" s="73"/>
      <c r="M9" s="73"/>
      <c r="N9" s="73"/>
      <c r="O9" s="73"/>
      <c r="P9" s="73"/>
      <c r="Q9" s="73"/>
      <c r="R9" s="73"/>
      <c r="S9" s="73"/>
      <c r="T9" s="73"/>
      <c r="U9" s="73"/>
      <c r="V9" s="73"/>
      <c r="W9" s="73"/>
      <c r="X9" s="73"/>
      <c r="Y9" s="73"/>
    </row>
    <row r="10" spans="1:25">
      <c r="A10" s="1047"/>
      <c r="B10" s="1047"/>
      <c r="C10" s="1047"/>
      <c r="D10" s="1047"/>
      <c r="E10" s="1047"/>
      <c r="F10" s="1047"/>
      <c r="G10" s="779" t="str">
        <f>HYPERLINK("#'P-DetalleReceta'!A13", "P-DR-009")</f>
        <v>P-DR-009</v>
      </c>
      <c r="H10" s="1047"/>
      <c r="I10" s="1047"/>
      <c r="J10" s="1047"/>
      <c r="K10" s="73"/>
      <c r="L10" s="73"/>
      <c r="M10" s="73"/>
      <c r="N10" s="73"/>
      <c r="O10" s="73"/>
      <c r="P10" s="73"/>
      <c r="Q10" s="73"/>
      <c r="R10" s="73"/>
      <c r="S10" s="73"/>
      <c r="T10" s="73"/>
      <c r="U10" s="73"/>
      <c r="V10" s="73"/>
      <c r="W10" s="73"/>
      <c r="X10" s="73"/>
      <c r="Y10" s="73"/>
    </row>
    <row r="11" spans="1:25">
      <c r="A11" s="1047"/>
      <c r="B11" s="1047"/>
      <c r="C11" s="1047"/>
      <c r="D11" s="1047"/>
      <c r="E11" s="1047"/>
      <c r="F11" s="1047"/>
      <c r="G11" s="779" t="str">
        <f>HYPERLINK("#'P-DetalleReceta'!A7", "P-DR-003")</f>
        <v>P-DR-003</v>
      </c>
      <c r="H11" s="1047"/>
      <c r="I11" s="1047"/>
      <c r="J11" s="1047"/>
    </row>
    <row r="12" spans="1:25">
      <c r="A12" s="1047"/>
      <c r="B12" s="1047"/>
      <c r="C12" s="1047"/>
      <c r="D12" s="1047"/>
      <c r="E12" s="1047"/>
      <c r="F12" s="1047"/>
      <c r="G12" s="779" t="str">
        <f>HYPERLINK("#'P-DetalleReceta'!A15", "P-DR-011")</f>
        <v>P-DR-011</v>
      </c>
      <c r="H12" s="1047"/>
      <c r="I12" s="1047"/>
      <c r="J12" s="1047"/>
      <c r="K12" s="73"/>
      <c r="L12" s="73"/>
      <c r="M12" s="73"/>
      <c r="N12" s="73"/>
      <c r="O12" s="73"/>
      <c r="P12" s="73"/>
      <c r="Q12" s="73"/>
      <c r="R12" s="73"/>
      <c r="S12" s="73"/>
      <c r="T12" s="73"/>
      <c r="U12" s="73"/>
      <c r="V12" s="73"/>
      <c r="W12" s="73"/>
      <c r="X12" s="73"/>
      <c r="Y12" s="73"/>
    </row>
    <row r="13" spans="1:25" ht="25.5" customHeight="1">
      <c r="A13" s="1047"/>
      <c r="B13" s="1047"/>
      <c r="C13" s="1047"/>
      <c r="D13" s="1047"/>
      <c r="E13" s="1047"/>
      <c r="F13" s="1047"/>
      <c r="G13" s="779" t="str">
        <f>HYPERLINK("#'P-DetalleReceta'!A8", "P-DR-004")</f>
        <v>P-DR-004</v>
      </c>
      <c r="H13" s="1047"/>
      <c r="I13" s="1047"/>
      <c r="J13" s="1047"/>
      <c r="K13" s="73"/>
      <c r="L13" s="73"/>
      <c r="M13" s="73"/>
      <c r="N13" s="73"/>
      <c r="O13" s="73"/>
      <c r="P13" s="73"/>
      <c r="Q13" s="73"/>
      <c r="R13" s="73"/>
      <c r="S13" s="73"/>
      <c r="T13" s="73"/>
      <c r="U13" s="73"/>
      <c r="V13" s="73"/>
      <c r="W13" s="73"/>
      <c r="X13" s="73"/>
      <c r="Y13" s="73"/>
    </row>
    <row r="14" spans="1:25" ht="25.5" customHeight="1">
      <c r="A14" s="1047"/>
      <c r="B14" s="1047"/>
      <c r="C14" s="1047"/>
      <c r="D14" s="1047"/>
      <c r="E14" s="1047"/>
      <c r="F14" s="1047"/>
      <c r="G14" s="779" t="str">
        <f>HYPERLINK("#'P-DetalleReceta'!A9", "P-DR-005")</f>
        <v>P-DR-005</v>
      </c>
      <c r="H14" s="1047"/>
      <c r="I14" s="1047"/>
      <c r="J14" s="1047"/>
      <c r="K14" s="73"/>
      <c r="L14" s="73"/>
      <c r="M14" s="73"/>
      <c r="N14" s="73"/>
      <c r="O14" s="73"/>
      <c r="P14" s="73"/>
      <c r="Q14" s="73"/>
      <c r="R14" s="73"/>
      <c r="S14" s="73"/>
      <c r="T14" s="73"/>
      <c r="U14" s="73"/>
      <c r="V14" s="73"/>
      <c r="W14" s="73"/>
      <c r="X14" s="73"/>
      <c r="Y14" s="73"/>
    </row>
    <row r="15" spans="1:25" ht="25.5" customHeight="1">
      <c r="A15" s="1047"/>
      <c r="B15" s="1047"/>
      <c r="C15" s="1047"/>
      <c r="D15" s="1047"/>
      <c r="E15" s="1047"/>
      <c r="F15" s="1047"/>
      <c r="G15" s="779" t="str">
        <f>HYPERLINK("#'P-DetalleReceta'!A10", "P-DR-006")</f>
        <v>P-DR-006</v>
      </c>
      <c r="H15" s="1047"/>
      <c r="I15" s="1047"/>
      <c r="J15" s="1047"/>
      <c r="K15" s="73"/>
      <c r="L15" s="73"/>
      <c r="M15" s="73"/>
      <c r="N15" s="73"/>
      <c r="O15" s="73"/>
      <c r="P15" s="73"/>
      <c r="Q15" s="73"/>
      <c r="R15" s="73"/>
      <c r="S15" s="73"/>
      <c r="T15" s="73"/>
      <c r="U15" s="73"/>
      <c r="V15" s="73"/>
      <c r="W15" s="73"/>
      <c r="X15" s="73"/>
      <c r="Y15" s="73"/>
    </row>
    <row r="16" spans="1:25" ht="25.5" customHeight="1">
      <c r="A16" s="1048"/>
      <c r="B16" s="1048"/>
      <c r="C16" s="1048"/>
      <c r="D16" s="1048"/>
      <c r="E16" s="1048"/>
      <c r="F16" s="1048"/>
      <c r="G16" s="779" t="str">
        <f>HYPERLINK("#'P-DetalleReceta'!A14", "P-DR-010")</f>
        <v>P-DR-010</v>
      </c>
      <c r="H16" s="1048"/>
      <c r="I16" s="1048"/>
      <c r="J16" s="1048"/>
      <c r="K16" s="73"/>
      <c r="L16" s="73"/>
      <c r="M16" s="73"/>
      <c r="N16" s="73"/>
      <c r="O16" s="73"/>
      <c r="P16" s="73"/>
      <c r="Q16" s="73"/>
      <c r="R16" s="73"/>
      <c r="S16" s="73"/>
      <c r="T16" s="73"/>
      <c r="U16" s="73"/>
      <c r="V16" s="73"/>
      <c r="W16" s="73"/>
      <c r="X16" s="73"/>
      <c r="Y16" s="73"/>
    </row>
    <row r="17" spans="1:25 16000:16000" s="614" customFormat="1" ht="25.5" customHeight="1">
      <c r="A17" s="1059" t="s">
        <v>228</v>
      </c>
      <c r="B17" s="1059" t="s">
        <v>452</v>
      </c>
      <c r="C17" s="1059" t="s">
        <v>453</v>
      </c>
      <c r="D17" s="1059" t="s">
        <v>51</v>
      </c>
      <c r="E17" s="1059" t="s">
        <v>454</v>
      </c>
      <c r="F17" s="1059" t="s">
        <v>455</v>
      </c>
      <c r="G17" s="794" t="str">
        <f>HYPERLINK("#'P-DetalleReceta'!A11", "P-DR-007")</f>
        <v>P-DR-007</v>
      </c>
      <c r="H17" s="1059"/>
      <c r="I17" s="1059" t="s">
        <v>456</v>
      </c>
      <c r="J17" s="1056"/>
      <c r="K17" s="297"/>
      <c r="L17" s="297"/>
      <c r="M17" s="297"/>
      <c r="N17" s="297"/>
      <c r="O17" s="297"/>
      <c r="P17" s="297"/>
      <c r="Q17" s="297"/>
      <c r="R17" s="297"/>
      <c r="S17" s="297"/>
      <c r="T17" s="297"/>
      <c r="U17" s="297"/>
      <c r="V17" s="297"/>
      <c r="W17" s="297"/>
      <c r="X17" s="297"/>
      <c r="Y17" s="297"/>
      <c r="WQJ17"/>
    </row>
    <row r="18" spans="1:25 16000:16000" s="614" customFormat="1" ht="25.5" customHeight="1">
      <c r="A18" s="1061"/>
      <c r="B18" s="1061"/>
      <c r="C18" s="1061"/>
      <c r="D18" s="1061"/>
      <c r="E18" s="1061"/>
      <c r="F18" s="1061"/>
      <c r="G18" s="794" t="str">
        <f>HYPERLINK("#'P-DetalleReceta'!A8", "P-DR-004")</f>
        <v>P-DR-004</v>
      </c>
      <c r="H18" s="1061"/>
      <c r="I18" s="1061"/>
      <c r="J18" s="1058"/>
      <c r="K18" s="297"/>
      <c r="L18" s="297"/>
      <c r="M18" s="297"/>
      <c r="N18" s="297"/>
      <c r="O18" s="297"/>
      <c r="P18" s="297"/>
      <c r="Q18" s="297"/>
      <c r="R18" s="297"/>
      <c r="S18" s="297"/>
      <c r="T18" s="297"/>
      <c r="U18" s="297"/>
      <c r="V18" s="297"/>
      <c r="W18" s="297"/>
      <c r="X18" s="297"/>
      <c r="Y18" s="297"/>
      <c r="WQJ18"/>
    </row>
    <row r="19" spans="1:25 16000:16000" s="614" customFormat="1" ht="25.5" customHeight="1">
      <c r="A19" s="567" t="s">
        <v>228</v>
      </c>
      <c r="B19" s="567" t="s">
        <v>457</v>
      </c>
      <c r="C19" s="567" t="s">
        <v>458</v>
      </c>
      <c r="D19" s="567" t="s">
        <v>51</v>
      </c>
      <c r="E19" s="567" t="s">
        <v>459</v>
      </c>
      <c r="F19" s="567" t="s">
        <v>460</v>
      </c>
      <c r="G19" s="779" t="str">
        <f>HYPERLINK("#'P-DetalleReceta'!A12", "P-DR-008")</f>
        <v>P-DR-008</v>
      </c>
      <c r="H19" s="567"/>
      <c r="I19" s="567" t="s">
        <v>461</v>
      </c>
      <c r="J19" s="559"/>
      <c r="K19" s="297"/>
      <c r="L19" s="297"/>
      <c r="M19" s="297"/>
      <c r="N19" s="297"/>
      <c r="O19" s="297"/>
      <c r="P19" s="297"/>
      <c r="Q19" s="297"/>
      <c r="R19" s="297"/>
      <c r="S19" s="297"/>
      <c r="T19" s="297"/>
      <c r="U19" s="297"/>
      <c r="V19" s="297"/>
      <c r="W19" s="297"/>
      <c r="X19" s="297"/>
      <c r="Y19" s="297"/>
      <c r="WQJ19"/>
    </row>
    <row r="20" spans="1:25 16000:16000" s="614" customFormat="1" ht="25.5" customHeight="1">
      <c r="A20" s="566" t="s">
        <v>228</v>
      </c>
      <c r="B20" s="566" t="s">
        <v>1559</v>
      </c>
      <c r="C20" s="566" t="s">
        <v>1560</v>
      </c>
      <c r="D20" s="566"/>
      <c r="E20" s="566" t="s">
        <v>1561</v>
      </c>
      <c r="F20" s="566" t="s">
        <v>1562</v>
      </c>
      <c r="G20" s="794" t="str">
        <f>HYPERLINK("#'P-DetalleReceta'!A16", "P-DR-012")</f>
        <v>P-DR-012</v>
      </c>
      <c r="H20" s="566"/>
      <c r="I20" s="566" t="s">
        <v>1563</v>
      </c>
      <c r="J20" s="566"/>
      <c r="K20" s="297"/>
      <c r="L20" s="297"/>
      <c r="M20" s="297"/>
      <c r="N20" s="297"/>
      <c r="O20" s="297"/>
      <c r="P20" s="297"/>
      <c r="Q20" s="297"/>
      <c r="R20" s="297"/>
      <c r="S20" s="297"/>
      <c r="T20" s="297"/>
      <c r="U20" s="297"/>
      <c r="V20" s="297"/>
      <c r="W20" s="297"/>
      <c r="X20" s="297"/>
      <c r="Y20" s="297"/>
      <c r="WQJ20"/>
    </row>
    <row r="21" spans="1:25 16000:16000" s="614" customFormat="1" ht="25.5" customHeight="1">
      <c r="A21" s="606" t="s">
        <v>228</v>
      </c>
      <c r="B21" s="606" t="s">
        <v>1564</v>
      </c>
      <c r="C21" s="606" t="s">
        <v>1565</v>
      </c>
      <c r="D21" s="606"/>
      <c r="E21" s="606" t="s">
        <v>1566</v>
      </c>
      <c r="F21" s="606" t="s">
        <v>1567</v>
      </c>
      <c r="G21" s="822" t="str">
        <f>HYPERLINK("#'P-DetalleReceta'!A17", "P-DR-013")</f>
        <v>P-DR-013</v>
      </c>
      <c r="H21" s="606"/>
      <c r="I21" s="606" t="s">
        <v>1568</v>
      </c>
      <c r="J21" s="606"/>
      <c r="K21" s="297"/>
      <c r="L21" s="297"/>
      <c r="M21" s="297"/>
      <c r="N21" s="297"/>
      <c r="O21" s="297"/>
      <c r="P21" s="297"/>
      <c r="Q21" s="297"/>
      <c r="R21" s="297"/>
      <c r="S21" s="297"/>
      <c r="T21" s="297"/>
      <c r="U21" s="297"/>
      <c r="V21" s="297"/>
      <c r="W21" s="297"/>
      <c r="X21" s="297"/>
      <c r="Y21" s="297"/>
      <c r="WQJ21"/>
    </row>
    <row r="22" spans="1:25 16000:16000" s="614" customFormat="1" ht="25.5" customHeight="1">
      <c r="A22" s="566" t="s">
        <v>228</v>
      </c>
      <c r="B22" s="566" t="s">
        <v>1569</v>
      </c>
      <c r="C22" s="566" t="s">
        <v>1570</v>
      </c>
      <c r="D22" s="566"/>
      <c r="E22" s="566" t="s">
        <v>1566</v>
      </c>
      <c r="F22" s="566" t="s">
        <v>1571</v>
      </c>
      <c r="G22" s="794" t="str">
        <f>HYPERLINK("#'P-DetalleReceta'!A17", "P-DR-013")</f>
        <v>P-DR-013</v>
      </c>
      <c r="H22" s="566"/>
      <c r="I22" s="566" t="s">
        <v>1572</v>
      </c>
      <c r="J22" s="566"/>
      <c r="K22" s="297"/>
      <c r="L22" s="297"/>
      <c r="M22" s="297"/>
      <c r="N22" s="297"/>
      <c r="O22" s="297"/>
      <c r="P22" s="297"/>
      <c r="Q22" s="297"/>
      <c r="R22" s="297"/>
      <c r="S22" s="297"/>
      <c r="T22" s="297"/>
      <c r="U22" s="297"/>
      <c r="V22" s="297"/>
      <c r="W22" s="297"/>
      <c r="X22" s="297"/>
      <c r="Y22" s="297"/>
      <c r="WQJ22"/>
    </row>
    <row r="23" spans="1:25 16000:16000">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16000:16000">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16000:16000">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16000:16000">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16000:16000">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16000:16000">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16000:16000">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16000:1600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16000:16000">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16000:16000">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spans="1:2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spans="1:2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spans="1:25">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spans="1:25">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spans="1:25">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sheetData>
  <mergeCells count="23">
    <mergeCell ref="F17:F18"/>
    <mergeCell ref="H17:H18"/>
    <mergeCell ref="I17:I18"/>
    <mergeCell ref="J17:J18"/>
    <mergeCell ref="A17:A18"/>
    <mergeCell ref="B17:B18"/>
    <mergeCell ref="C17:C18"/>
    <mergeCell ref="D17:D18"/>
    <mergeCell ref="E17:E18"/>
    <mergeCell ref="A7:A16"/>
    <mergeCell ref="B3:J3"/>
    <mergeCell ref="B4:C4"/>
    <mergeCell ref="E5:F5"/>
    <mergeCell ref="B7:B16"/>
    <mergeCell ref="C7:C16"/>
    <mergeCell ref="D7:D16"/>
    <mergeCell ref="E7:E16"/>
    <mergeCell ref="F7:F16"/>
    <mergeCell ref="B2:J2"/>
    <mergeCell ref="E4:F4"/>
    <mergeCell ref="H7:H16"/>
    <mergeCell ref="I7:I16"/>
    <mergeCell ref="J7:J16"/>
  </mergeCells>
  <hyperlinks>
    <hyperlink ref="A1" location="'Modelo de dominio'!A1" display="&lt;&lt;&lt;Modelo de Dominio" xr:uid="{00000000-0004-0000-1300-000000000000}"/>
    <hyperlink ref="B1" location="'Objetos de dominio'!A1" display="&lt;&lt;&lt;Objetos de Dominio" xr:uid="{00000000-0004-0000-1300-000001000000}"/>
    <hyperlink ref="B3" location="'Objetos de dominio'!B15" display="Objeto de dominio que representa el detalle de los ingredientes utilizados en una receta, indicando el ingrediente, la cantidad, la unidad de medida y la receta a la que pertenece." xr:uid="{00000000-0004-0000-1300-000002000000}"/>
  </hyperlink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43">
    <outlinePr summaryBelow="0" summaryRight="0"/>
  </sheetPr>
  <dimension ref="A1:Z1000"/>
  <sheetViews>
    <sheetView workbookViewId="0">
      <selection activeCell="B28" sqref="B28"/>
    </sheetView>
  </sheetViews>
  <sheetFormatPr baseColWidth="10" defaultColWidth="12.625" defaultRowHeight="12.9"/>
  <cols>
    <col min="1" max="1" width="17.625" bestFit="1" customWidth="1"/>
    <col min="2" max="2" width="161" bestFit="1" customWidth="1"/>
    <col min="3" max="3" width="19.5" bestFit="1" customWidth="1"/>
    <col min="4" max="4" width="19.125" bestFit="1" customWidth="1"/>
    <col min="6" max="6" width="121.375"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3.6">
      <c r="A2" s="54" t="s">
        <v>233</v>
      </c>
      <c r="B2" s="1112" t="s">
        <v>51</v>
      </c>
      <c r="C2" s="1033"/>
      <c r="E2" s="73"/>
      <c r="F2" s="73"/>
      <c r="G2" s="73"/>
      <c r="H2" s="73"/>
      <c r="I2" s="73"/>
      <c r="J2" s="73"/>
      <c r="K2" s="73"/>
      <c r="L2" s="73"/>
      <c r="M2" s="73"/>
      <c r="N2" s="73"/>
      <c r="O2" s="73"/>
      <c r="P2" s="73"/>
      <c r="Q2" s="73"/>
      <c r="R2" s="73"/>
      <c r="S2" s="73"/>
      <c r="T2" s="73"/>
      <c r="U2" s="73"/>
      <c r="V2" s="73"/>
      <c r="W2" s="73"/>
      <c r="X2" s="73"/>
      <c r="Y2" s="73"/>
      <c r="Z2" s="73"/>
    </row>
    <row r="3" spans="1:26" ht="13.6">
      <c r="A3" s="54" t="s">
        <v>21</v>
      </c>
      <c r="B3" s="1111" t="str">
        <f>'C-DetalleReceta'!B3</f>
        <v>Es cada uno de los ingredientes que se necesitan para preparar una receta, con la cantidad que se necesita de cada uno.</v>
      </c>
      <c r="C3" s="1033"/>
      <c r="E3" s="73"/>
      <c r="F3" s="73"/>
      <c r="G3" s="73"/>
      <c r="H3" s="73"/>
      <c r="I3" s="73"/>
      <c r="J3" s="73"/>
      <c r="K3" s="73"/>
      <c r="L3" s="73"/>
      <c r="M3" s="73"/>
      <c r="N3" s="73"/>
      <c r="O3" s="73"/>
      <c r="P3" s="73"/>
      <c r="Q3" s="73"/>
      <c r="R3" s="73"/>
      <c r="S3" s="73"/>
      <c r="T3" s="73"/>
      <c r="U3" s="73"/>
      <c r="V3" s="73"/>
      <c r="W3" s="73"/>
      <c r="X3" s="73"/>
      <c r="Y3" s="73"/>
      <c r="Z3" s="73"/>
    </row>
    <row r="4" spans="1:26" ht="13.6">
      <c r="A4" s="55" t="s">
        <v>234</v>
      </c>
      <c r="B4" s="55" t="s">
        <v>235</v>
      </c>
      <c r="C4" s="55" t="s">
        <v>236</v>
      </c>
      <c r="D4" s="55" t="s">
        <v>237</v>
      </c>
      <c r="E4" s="73"/>
      <c r="F4" s="73"/>
      <c r="G4" s="73"/>
      <c r="H4" s="56"/>
      <c r="I4" s="73"/>
      <c r="J4" s="73"/>
      <c r="K4" s="73"/>
      <c r="L4" s="73"/>
      <c r="M4" s="73"/>
      <c r="N4" s="73"/>
      <c r="O4" s="73"/>
      <c r="P4" s="73"/>
      <c r="Q4" s="73"/>
      <c r="R4" s="73"/>
      <c r="S4" s="73"/>
      <c r="T4" s="73"/>
      <c r="U4" s="73"/>
      <c r="V4" s="73"/>
      <c r="W4" s="73"/>
      <c r="X4" s="73"/>
      <c r="Y4" s="73"/>
      <c r="Z4" s="73"/>
    </row>
    <row r="5" spans="1:26">
      <c r="A5" s="114" t="s">
        <v>462</v>
      </c>
      <c r="B5" s="114" t="s">
        <v>463</v>
      </c>
      <c r="C5" s="114" t="s">
        <v>51</v>
      </c>
      <c r="D5" s="114"/>
      <c r="E5" s="73"/>
      <c r="F5" s="73"/>
      <c r="G5" s="73"/>
      <c r="H5" s="56"/>
      <c r="I5" s="73"/>
      <c r="J5" s="73"/>
      <c r="K5" s="73"/>
      <c r="L5" s="73"/>
      <c r="M5" s="73"/>
      <c r="N5" s="73"/>
      <c r="O5" s="73"/>
      <c r="P5" s="73"/>
      <c r="Q5" s="73"/>
      <c r="R5" s="73"/>
      <c r="S5" s="73"/>
      <c r="T5" s="73"/>
      <c r="U5" s="73"/>
      <c r="V5" s="73"/>
      <c r="W5" s="73"/>
      <c r="X5" s="73"/>
      <c r="Y5" s="73"/>
      <c r="Z5" s="73"/>
    </row>
    <row r="6" spans="1:26">
      <c r="A6" s="114" t="s">
        <v>464</v>
      </c>
      <c r="B6" s="114" t="s">
        <v>465</v>
      </c>
      <c r="C6" s="114" t="s">
        <v>42</v>
      </c>
      <c r="D6" s="802" t="str">
        <f>HYPERLINK("#'P-Producto'!A13", 'P-Producto'!A13)</f>
        <v>P-PRO-009</v>
      </c>
      <c r="E6" s="73"/>
      <c r="F6" s="73"/>
      <c r="G6" s="73"/>
      <c r="H6" s="73"/>
      <c r="I6" s="73"/>
      <c r="J6" s="73"/>
      <c r="K6" s="73"/>
      <c r="L6" s="73"/>
      <c r="M6" s="73"/>
      <c r="N6" s="73"/>
      <c r="O6" s="73"/>
      <c r="P6" s="73"/>
      <c r="Q6" s="73"/>
      <c r="R6" s="73"/>
      <c r="S6" s="73"/>
      <c r="T6" s="73"/>
      <c r="U6" s="73"/>
      <c r="V6" s="73"/>
      <c r="W6" s="73"/>
      <c r="X6" s="73"/>
      <c r="Y6" s="73"/>
      <c r="Z6" s="73"/>
    </row>
    <row r="7" spans="1:26">
      <c r="A7" s="114" t="s">
        <v>466</v>
      </c>
      <c r="B7" s="114" t="s">
        <v>467</v>
      </c>
      <c r="C7" s="114" t="s">
        <v>38</v>
      </c>
      <c r="D7" s="802" t="str">
        <f>HYPERLINK("#'P-ProductoInterno'!A11", 'P-ProductoInterno'!A11)</f>
        <v>P-PI-007</v>
      </c>
      <c r="E7" s="73"/>
      <c r="F7" s="73"/>
      <c r="G7" s="73"/>
      <c r="H7" s="73"/>
      <c r="I7" s="73"/>
      <c r="J7" s="73"/>
      <c r="K7" s="73"/>
      <c r="L7" s="73"/>
      <c r="M7" s="73"/>
      <c r="N7" s="73"/>
      <c r="O7" s="73"/>
      <c r="P7" s="73"/>
      <c r="Q7" s="73"/>
      <c r="R7" s="73"/>
      <c r="S7" s="73"/>
      <c r="T7" s="73"/>
      <c r="U7" s="73"/>
      <c r="V7" s="73"/>
      <c r="W7" s="73"/>
      <c r="X7" s="73"/>
      <c r="Y7" s="73"/>
      <c r="Z7" s="73"/>
    </row>
    <row r="8" spans="1:26">
      <c r="A8" s="114" t="s">
        <v>468</v>
      </c>
      <c r="B8" s="114" t="s">
        <v>1547</v>
      </c>
      <c r="C8" s="114" t="s">
        <v>51</v>
      </c>
      <c r="D8" s="114"/>
      <c r="E8" s="73"/>
      <c r="F8" s="73"/>
      <c r="G8" s="73"/>
      <c r="H8" s="73"/>
      <c r="I8" s="73"/>
      <c r="J8" s="73"/>
      <c r="K8" s="73"/>
      <c r="L8" s="73"/>
      <c r="M8" s="73"/>
      <c r="N8" s="73"/>
      <c r="O8" s="73"/>
      <c r="P8" s="73"/>
      <c r="Q8" s="73"/>
      <c r="R8" s="73"/>
      <c r="S8" s="73"/>
      <c r="T8" s="73"/>
      <c r="U8" s="73"/>
      <c r="V8" s="73"/>
      <c r="W8" s="73"/>
      <c r="X8" s="73"/>
      <c r="Y8" s="73"/>
      <c r="Z8" s="73"/>
    </row>
    <row r="9" spans="1:26">
      <c r="A9" s="114" t="s">
        <v>469</v>
      </c>
      <c r="B9" s="114" t="s">
        <v>1548</v>
      </c>
      <c r="C9" s="114" t="s">
        <v>51</v>
      </c>
      <c r="D9" s="802"/>
      <c r="E9" s="73"/>
      <c r="F9" s="73"/>
      <c r="G9" s="73"/>
      <c r="H9" s="73"/>
      <c r="I9" s="73"/>
      <c r="J9" s="73"/>
      <c r="K9" s="73"/>
      <c r="L9" s="73"/>
      <c r="M9" s="73"/>
      <c r="N9" s="73"/>
      <c r="O9" s="73"/>
      <c r="P9" s="73"/>
      <c r="Q9" s="73"/>
      <c r="R9" s="73"/>
      <c r="S9" s="73"/>
      <c r="T9" s="73"/>
      <c r="U9" s="73"/>
      <c r="V9" s="73"/>
      <c r="W9" s="73"/>
      <c r="X9" s="73"/>
      <c r="Y9" s="73"/>
      <c r="Z9" s="73"/>
    </row>
    <row r="10" spans="1:26">
      <c r="A10" s="114" t="s">
        <v>470</v>
      </c>
      <c r="B10" s="298" t="s">
        <v>471</v>
      </c>
      <c r="C10" s="114" t="s">
        <v>51</v>
      </c>
      <c r="D10" s="114"/>
      <c r="E10" s="73"/>
      <c r="F10" s="73"/>
      <c r="G10" s="73"/>
      <c r="H10" s="73"/>
      <c r="I10" s="73"/>
      <c r="J10" s="73"/>
      <c r="K10" s="73"/>
      <c r="L10" s="73"/>
      <c r="M10" s="73"/>
      <c r="N10" s="73"/>
      <c r="O10" s="73"/>
      <c r="P10" s="73"/>
      <c r="Q10" s="73"/>
      <c r="R10" s="73"/>
      <c r="S10" s="73"/>
      <c r="T10" s="73"/>
      <c r="U10" s="73"/>
      <c r="V10" s="73"/>
      <c r="W10" s="73"/>
      <c r="X10" s="73"/>
      <c r="Y10" s="73"/>
      <c r="Z10" s="73"/>
    </row>
    <row r="11" spans="1:26">
      <c r="A11" s="114" t="s">
        <v>472</v>
      </c>
      <c r="B11" s="114" t="s">
        <v>473</v>
      </c>
      <c r="C11" s="114" t="s">
        <v>51</v>
      </c>
      <c r="D11" s="114"/>
      <c r="E11" s="73"/>
      <c r="F11" s="73"/>
      <c r="G11" s="73"/>
      <c r="H11" s="73"/>
      <c r="I11" s="73"/>
      <c r="J11" s="73"/>
      <c r="K11" s="73"/>
      <c r="L11" s="73"/>
      <c r="M11" s="73"/>
      <c r="N11" s="73"/>
      <c r="O11" s="73"/>
      <c r="P11" s="73"/>
      <c r="Q11" s="73"/>
      <c r="R11" s="73"/>
      <c r="S11" s="73"/>
      <c r="T11" s="73"/>
      <c r="U11" s="73"/>
      <c r="V11" s="73"/>
      <c r="W11" s="73"/>
      <c r="X11" s="73"/>
      <c r="Y11" s="73"/>
      <c r="Z11" s="73"/>
    </row>
    <row r="12" spans="1:26">
      <c r="A12" s="114" t="s">
        <v>474</v>
      </c>
      <c r="B12" s="202" t="s">
        <v>475</v>
      </c>
      <c r="C12" s="114" t="s">
        <v>51</v>
      </c>
      <c r="D12" s="114"/>
      <c r="E12" s="73"/>
      <c r="F12" s="73"/>
      <c r="G12" s="73"/>
      <c r="H12" s="73"/>
      <c r="I12" s="73"/>
      <c r="J12" s="73"/>
      <c r="K12" s="73"/>
      <c r="L12" s="73"/>
      <c r="M12" s="73"/>
      <c r="N12" s="73"/>
      <c r="O12" s="73"/>
      <c r="P12" s="73"/>
      <c r="Q12" s="73"/>
      <c r="R12" s="73"/>
      <c r="S12" s="73"/>
      <c r="T12" s="73"/>
      <c r="U12" s="73"/>
      <c r="V12" s="73"/>
      <c r="W12" s="73"/>
      <c r="X12" s="73"/>
      <c r="Y12" s="73"/>
      <c r="Z12" s="73"/>
    </row>
    <row r="13" spans="1:26">
      <c r="A13" s="114" t="s">
        <v>476</v>
      </c>
      <c r="B13" s="114" t="s">
        <v>477</v>
      </c>
      <c r="C13" s="114" t="s">
        <v>51</v>
      </c>
      <c r="D13" s="114"/>
      <c r="E13" s="73"/>
      <c r="F13" s="73"/>
      <c r="G13" s="73"/>
      <c r="H13" s="73"/>
      <c r="I13" s="73"/>
      <c r="J13" s="73"/>
      <c r="K13" s="73"/>
      <c r="L13" s="73"/>
      <c r="M13" s="73"/>
      <c r="N13" s="73"/>
      <c r="O13" s="73"/>
      <c r="P13" s="73"/>
      <c r="Q13" s="73"/>
      <c r="R13" s="73"/>
      <c r="S13" s="73"/>
      <c r="T13" s="73"/>
      <c r="U13" s="73"/>
      <c r="V13" s="73"/>
      <c r="W13" s="73"/>
      <c r="X13" s="73"/>
      <c r="Y13" s="73"/>
      <c r="Z13" s="73"/>
    </row>
    <row r="14" spans="1:26">
      <c r="A14" s="114" t="s">
        <v>1549</v>
      </c>
      <c r="B14" s="114" t="s">
        <v>1550</v>
      </c>
      <c r="C14" s="114" t="s">
        <v>51</v>
      </c>
      <c r="D14" s="114"/>
      <c r="E14" s="73"/>
      <c r="F14" s="73"/>
      <c r="G14" s="73"/>
      <c r="H14" s="73"/>
      <c r="I14" s="73"/>
      <c r="J14" s="73"/>
      <c r="K14" s="73"/>
      <c r="L14" s="73"/>
      <c r="M14" s="73"/>
      <c r="N14" s="73"/>
      <c r="O14" s="73"/>
      <c r="P14" s="73"/>
      <c r="Q14" s="73"/>
      <c r="R14" s="73"/>
      <c r="S14" s="73"/>
      <c r="T14" s="73"/>
      <c r="U14" s="73"/>
      <c r="V14" s="73"/>
      <c r="W14" s="73"/>
      <c r="X14" s="73"/>
      <c r="Y14" s="73"/>
      <c r="Z14" s="73"/>
    </row>
    <row r="15" spans="1:26">
      <c r="A15" s="114" t="s">
        <v>1551</v>
      </c>
      <c r="B15" s="114" t="s">
        <v>1552</v>
      </c>
      <c r="C15" s="114" t="s">
        <v>38</v>
      </c>
      <c r="D15" s="114" t="str">
        <f>HYPERLINK("#'P-ProductoInterno'!A10", 'P-ProductoInterno'!A10)</f>
        <v>P-PI-006</v>
      </c>
      <c r="E15" s="73"/>
      <c r="F15" s="73"/>
      <c r="G15" s="73"/>
      <c r="H15" s="73"/>
      <c r="I15" s="73"/>
      <c r="J15" s="73"/>
      <c r="K15" s="73"/>
      <c r="L15" s="73"/>
      <c r="M15" s="73"/>
      <c r="N15" s="73"/>
      <c r="O15" s="73"/>
      <c r="P15" s="73"/>
      <c r="Q15" s="73"/>
      <c r="R15" s="73"/>
      <c r="S15" s="73"/>
      <c r="T15" s="73"/>
      <c r="U15" s="73"/>
      <c r="V15" s="73"/>
      <c r="W15" s="73"/>
      <c r="X15" s="73"/>
      <c r="Y15" s="73"/>
      <c r="Z15" s="73"/>
    </row>
    <row r="16" spans="1:26">
      <c r="A16" s="114" t="s">
        <v>1553</v>
      </c>
      <c r="B16" s="114" t="s">
        <v>1554</v>
      </c>
      <c r="C16" s="114" t="s">
        <v>51</v>
      </c>
      <c r="D16" s="114"/>
      <c r="E16" s="73"/>
      <c r="F16" s="73"/>
      <c r="G16" s="73"/>
      <c r="H16" s="73"/>
      <c r="I16" s="73"/>
      <c r="J16" s="73"/>
      <c r="K16" s="73"/>
      <c r="L16" s="73"/>
      <c r="M16" s="73"/>
      <c r="N16" s="73"/>
      <c r="O16" s="73"/>
      <c r="P16" s="73"/>
      <c r="Q16" s="73"/>
      <c r="R16" s="73"/>
      <c r="S16" s="73"/>
      <c r="T16" s="73"/>
      <c r="U16" s="73"/>
      <c r="V16" s="73"/>
      <c r="W16" s="73"/>
      <c r="X16" s="73"/>
      <c r="Y16" s="73"/>
      <c r="Z16" s="73"/>
    </row>
    <row r="17" spans="1:26">
      <c r="A17" s="114" t="s">
        <v>1555</v>
      </c>
      <c r="B17" s="114" t="s">
        <v>1556</v>
      </c>
      <c r="C17" s="114" t="s">
        <v>51</v>
      </c>
      <c r="D17" s="114"/>
      <c r="E17" s="73"/>
      <c r="F17" s="73"/>
      <c r="G17" s="73"/>
      <c r="H17" s="73"/>
      <c r="I17" s="73"/>
      <c r="J17" s="73"/>
      <c r="K17" s="73"/>
      <c r="L17" s="73"/>
      <c r="M17" s="73"/>
      <c r="N17" s="73"/>
      <c r="O17" s="73"/>
      <c r="P17" s="73"/>
      <c r="Q17" s="73"/>
      <c r="R17" s="73"/>
      <c r="S17" s="73"/>
      <c r="T17" s="73"/>
      <c r="U17" s="73"/>
      <c r="V17" s="73"/>
      <c r="W17" s="73"/>
      <c r="X17" s="73"/>
      <c r="Y17" s="73"/>
      <c r="Z17" s="73"/>
    </row>
    <row r="18" spans="1:26">
      <c r="A18" s="114" t="s">
        <v>1557</v>
      </c>
      <c r="B18" s="114" t="s">
        <v>1558</v>
      </c>
      <c r="C18" s="114" t="s">
        <v>42</v>
      </c>
      <c r="D18" s="114" t="str">
        <f>HYPERLINK("#'P-Producto'!A15", 'P-Producto'!A15)</f>
        <v>P-PRO-011</v>
      </c>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3.6">
      <c r="A1000" s="73"/>
      <c r="B1000" s="73"/>
      <c r="C1000" s="73"/>
      <c r="D1000" s="27"/>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2">
    <mergeCell ref="B3:C3"/>
    <mergeCell ref="B2:C2"/>
  </mergeCells>
  <hyperlinks>
    <hyperlink ref="A1" location="'Modelo de dominio'!A1" display="&lt;&lt;&lt;Modelo de Dominio" xr:uid="{00000000-0004-0000-1400-000000000000}"/>
    <hyperlink ref="B1" location="'Objetos de dominio'!A1" display="&lt;&lt;&lt;Objetos de Dominio" xr:uid="{00000000-0004-0000-1400-000001000000}"/>
    <hyperlink ref="B3" location="'Objetos de dominio'!B15" display="Objeto de dominio que representa el detalle de los productos internos utilizados en una receta, indicando el producto interno, la cantidad, la unidad de medida y la receta a la que pertenece." xr:uid="{00000000-0004-0000-1400-000002000000}"/>
  </hyperlink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sheetPr>
  <dimension ref="A1:I8"/>
  <sheetViews>
    <sheetView workbookViewId="0">
      <selection activeCell="B1" sqref="B1"/>
    </sheetView>
  </sheetViews>
  <sheetFormatPr baseColWidth="10" defaultColWidth="9.125" defaultRowHeight="12.9"/>
  <cols>
    <col min="1" max="1" width="19.625" customWidth="1"/>
    <col min="2" max="2" width="20" customWidth="1"/>
    <col min="3" max="3" width="16.875" customWidth="1"/>
    <col min="4" max="4" width="18" customWidth="1"/>
    <col min="5" max="5" width="20" customWidth="1"/>
    <col min="6" max="6" width="18" customWidth="1"/>
    <col min="7" max="7" width="18.625" style="614" customWidth="1"/>
    <col min="8" max="8" width="22.25" bestFit="1" customWidth="1"/>
    <col min="9" max="9" width="18.125" bestFit="1" customWidth="1"/>
  </cols>
  <sheetData>
    <row r="1" spans="1:9" ht="18.7" customHeight="1">
      <c r="A1" s="76" t="s">
        <v>0</v>
      </c>
      <c r="B1" s="132" t="s">
        <v>1</v>
      </c>
    </row>
    <row r="2" spans="1:9" ht="63" customHeight="1">
      <c r="A2" s="195" t="s">
        <v>68</v>
      </c>
      <c r="B2" s="195" t="s">
        <v>69</v>
      </c>
      <c r="C2" s="195" t="s">
        <v>70</v>
      </c>
      <c r="D2" s="195" t="s">
        <v>71</v>
      </c>
      <c r="E2" s="195" t="s">
        <v>72</v>
      </c>
      <c r="F2" s="195" t="s">
        <v>73</v>
      </c>
      <c r="G2" s="195" t="s">
        <v>74</v>
      </c>
      <c r="H2" s="195"/>
    </row>
    <row r="3" spans="1:9">
      <c r="A3" s="1563" t="s">
        <v>8</v>
      </c>
      <c r="B3" s="1565" t="s">
        <v>38</v>
      </c>
      <c r="C3" s="1563" t="s">
        <v>1156</v>
      </c>
      <c r="D3" s="1563" t="s">
        <v>28</v>
      </c>
      <c r="E3" s="1563" t="s">
        <v>9</v>
      </c>
      <c r="F3" s="1563" t="s">
        <v>9</v>
      </c>
      <c r="G3" s="1563" t="s">
        <v>10</v>
      </c>
      <c r="H3" s="1563"/>
    </row>
    <row r="4" spans="1:9">
      <c r="A4" s="1564"/>
      <c r="B4" s="1089"/>
      <c r="C4" s="1564"/>
      <c r="D4" s="1564"/>
      <c r="E4" s="1564"/>
      <c r="F4" s="1564"/>
      <c r="G4" s="1564"/>
      <c r="H4" s="1564"/>
    </row>
    <row r="5" spans="1:9" ht="32.299999999999997" customHeight="1">
      <c r="A5" s="196" t="s">
        <v>14</v>
      </c>
      <c r="B5" s="196" t="s">
        <v>15</v>
      </c>
      <c r="C5" s="196" t="s">
        <v>15</v>
      </c>
      <c r="D5" s="196" t="s">
        <v>15</v>
      </c>
      <c r="E5" s="196" t="s">
        <v>15</v>
      </c>
      <c r="F5" s="196" t="s">
        <v>15</v>
      </c>
      <c r="G5" s="196" t="s">
        <v>15</v>
      </c>
      <c r="H5" s="196"/>
    </row>
    <row r="6" spans="1:9" ht="13.75" customHeight="1">
      <c r="A6" s="682" t="s">
        <v>16</v>
      </c>
      <c r="B6" s="204" t="s">
        <v>75</v>
      </c>
      <c r="C6" s="197" t="s">
        <v>76</v>
      </c>
      <c r="D6" s="203" t="s">
        <v>28</v>
      </c>
      <c r="E6" s="197" t="s">
        <v>77</v>
      </c>
      <c r="F6" s="197" t="s">
        <v>78</v>
      </c>
      <c r="G6" s="203" t="s">
        <v>10</v>
      </c>
      <c r="H6" s="336" t="s">
        <v>1129</v>
      </c>
      <c r="I6" s="336" t="s">
        <v>1142</v>
      </c>
    </row>
    <row r="7" spans="1:9">
      <c r="A7" s="198">
        <v>1</v>
      </c>
      <c r="B7" s="199" t="str">
        <f>HYPERLINK("#'M-ProductoInterno'!B17", 'M-ProductoInterno'!B17)</f>
        <v>Pepsi 400 ml</v>
      </c>
      <c r="C7" s="198">
        <v>24</v>
      </c>
      <c r="D7" s="288" t="str">
        <f>HYPERLINK("#'M-UnidadMedida'!B10", 'M-UnidadMedida'!B10)</f>
        <v>und</v>
      </c>
      <c r="E7" s="408">
        <v>46357</v>
      </c>
      <c r="F7" s="408">
        <v>46274</v>
      </c>
      <c r="G7" s="302">
        <f>HYPERLINK("#'M-TipoMovimiento'!A31", 'M-TipoMovimiento'!A31)</f>
        <v>200</v>
      </c>
      <c r="H7" s="562" t="str">
        <f>CONCATENATE(B7," ",TEXT(F7,"dd/mm/yyyy"))</f>
        <v>Pepsi 400 ml 09/09/2026</v>
      </c>
      <c r="I7" s="562">
        <f>G7</f>
        <v>200</v>
      </c>
    </row>
    <row r="8" spans="1:9">
      <c r="A8" s="198">
        <v>2</v>
      </c>
      <c r="B8" s="199" t="str">
        <f>HYPERLINK("#'M-ProductoInterno'!B8", 'M-ProductoInterno'!B8)</f>
        <v>Aceite de oliva</v>
      </c>
      <c r="C8" s="198">
        <v>5</v>
      </c>
      <c r="D8" s="199" t="str">
        <f>HYPERLINK("#'M-UnidadMedida'!B9", 'M-UnidadMedida'!B9)</f>
        <v>l</v>
      </c>
      <c r="E8" s="408">
        <v>46310</v>
      </c>
      <c r="F8" s="408">
        <v>46274</v>
      </c>
      <c r="G8" s="302">
        <f>HYPERLINK("#'M-TipoMovimiento'!A32", 'M-TipoMovimiento'!A32)</f>
        <v>201</v>
      </c>
      <c r="H8" s="562" t="str">
        <f>CONCATENATE(B8," ",TEXT(F8,"dd/mm/yyyy"))</f>
        <v>Aceite de oliva 09/09/2026</v>
      </c>
      <c r="I8" s="562">
        <f>G8</f>
        <v>201</v>
      </c>
    </row>
  </sheetData>
  <mergeCells count="8">
    <mergeCell ref="A3:A4"/>
    <mergeCell ref="G3:G4"/>
    <mergeCell ref="E3:E4"/>
    <mergeCell ref="H3:H4"/>
    <mergeCell ref="F3:F4"/>
    <mergeCell ref="D3:D4"/>
    <mergeCell ref="C3:C4"/>
    <mergeCell ref="B3:B4"/>
  </mergeCells>
  <hyperlinks>
    <hyperlink ref="A1" location="'Modelo de dominio'!A1" display="&lt;&lt;&lt;Modelo de Dominio" xr:uid="{00000000-0004-0000-0300-000000000000}"/>
    <hyperlink ref="B1" location="'Objetos de dominio'!A1" display="&lt;&lt;&lt;Objetos de Dominio" xr:uid="{00000000-0004-0000-0300-000001000000}"/>
    <hyperlink ref="B6" location="'M-ProductoInterno'!A1" display="ProductoCambio" xr:uid="{00000000-0004-0000-0300-000002000000}"/>
    <hyperlink ref="D6" location="'M-UnidadMedida'!A1" display="UnidadMedida" xr:uid="{00000000-0004-0000-0300-000003000000}"/>
    <hyperlink ref="G6" location="'M-TipoMovimiento'!A1" display="TipoMovimiento" xr:uid="{00000000-0004-0000-0300-000004000000}"/>
  </hyperlink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9">
    <outlinePr summaryBelow="0" summaryRight="0"/>
  </sheetPr>
  <dimension ref="A1:WQJ33"/>
  <sheetViews>
    <sheetView topLeftCell="B1" zoomScale="77" workbookViewId="0">
      <selection activeCell="B15" sqref="B15"/>
    </sheetView>
  </sheetViews>
  <sheetFormatPr baseColWidth="10" defaultColWidth="12.625" defaultRowHeight="12.9"/>
  <cols>
    <col min="1" max="1" width="27.75" bestFit="1" customWidth="1"/>
    <col min="2" max="2" width="188.37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50.375" bestFit="1" customWidth="1"/>
    <col min="10" max="10" width="23.25" bestFit="1" customWidth="1"/>
    <col min="11" max="11" width="21.75" bestFit="1" customWidth="1"/>
    <col min="12" max="12" width="18.75" bestFit="1" customWidth="1"/>
    <col min="13" max="13" width="159" bestFit="1" customWidth="1"/>
    <col min="14" max="14" width="15.375" bestFit="1" customWidth="1"/>
    <col min="15" max="15" width="31.25" bestFit="1" customWidth="1"/>
    <col min="16" max="16" width="28.25" bestFit="1" customWidth="1"/>
    <col min="17" max="17" width="52.25" customWidth="1"/>
    <col min="18" max="18" width="86.625" customWidth="1"/>
    <col min="19" max="19" width="23.875" bestFit="1" customWidth="1"/>
    <col min="20" max="20" width="27.375" bestFit="1" customWidth="1"/>
    <col min="21" max="21" width="15.25" bestFit="1" customWidth="1"/>
    <col min="22" max="22" width="31.625" customWidth="1"/>
    <col min="23" max="23" width="16.75" bestFit="1" customWidth="1"/>
  </cols>
  <sheetData>
    <row r="1" spans="1:23">
      <c r="A1" s="76" t="s">
        <v>0</v>
      </c>
      <c r="B1" s="132" t="s">
        <v>1</v>
      </c>
      <c r="C1" s="76"/>
      <c r="D1" s="132"/>
      <c r="E1" s="76"/>
      <c r="F1" s="132"/>
      <c r="G1" s="76"/>
      <c r="H1" s="132"/>
      <c r="I1" s="76"/>
      <c r="J1" s="132"/>
      <c r="K1" s="76"/>
      <c r="L1" s="132"/>
      <c r="M1" s="76"/>
      <c r="N1" s="132"/>
      <c r="O1" s="76"/>
      <c r="P1" s="132"/>
      <c r="Q1" s="76"/>
      <c r="R1" s="132"/>
      <c r="S1" s="76"/>
      <c r="T1" s="132"/>
      <c r="U1" s="76"/>
      <c r="V1" s="132"/>
    </row>
    <row r="2" spans="1:23" ht="14.3" customHeight="1">
      <c r="A2" s="7" t="s">
        <v>20</v>
      </c>
      <c r="B2" s="1074" t="s">
        <v>53</v>
      </c>
      <c r="C2" s="1032"/>
      <c r="D2" s="1032"/>
      <c r="E2" s="1032"/>
      <c r="F2" s="1032"/>
      <c r="G2" s="1032"/>
      <c r="H2" s="1032"/>
      <c r="I2" s="1032"/>
      <c r="J2" s="1032"/>
      <c r="K2" s="1032"/>
      <c r="L2" s="1032"/>
      <c r="M2" s="1032"/>
      <c r="N2" s="1032"/>
      <c r="O2" s="1032"/>
      <c r="P2" s="1032"/>
      <c r="Q2" s="1032"/>
      <c r="R2" s="1032"/>
      <c r="S2" s="1032"/>
      <c r="T2" s="1032"/>
      <c r="U2" s="1033"/>
    </row>
    <row r="3" spans="1:23" ht="14.3" customHeight="1">
      <c r="A3" s="144" t="s">
        <v>79</v>
      </c>
      <c r="B3" s="1084" t="str">
        <f>HYPERLINK("#'Objetos de dominio'!B18", 'Objetos de dominio'!B20)</f>
        <v>Es cuando se retira un insumo que ya casi se vence y se cambia por otro que sí sirve, para que la pizzería siempre tenga insumos en buen estado.</v>
      </c>
      <c r="C3" s="1032"/>
      <c r="D3" s="1032"/>
      <c r="E3" s="1032"/>
      <c r="F3" s="1032"/>
      <c r="G3" s="1032"/>
      <c r="H3" s="1032"/>
      <c r="I3" s="1032"/>
      <c r="J3" s="1032"/>
      <c r="K3" s="1032"/>
      <c r="L3" s="1032"/>
      <c r="M3" s="1032"/>
      <c r="N3" s="1032"/>
      <c r="O3" s="1032"/>
      <c r="P3" s="1032"/>
      <c r="Q3" s="1032"/>
      <c r="R3" s="1032"/>
      <c r="S3" s="1032"/>
      <c r="T3" s="1032"/>
      <c r="U3" s="1033"/>
    </row>
    <row r="4" spans="1:23" ht="14.3" customHeight="1">
      <c r="A4" s="110" t="s">
        <v>80</v>
      </c>
      <c r="B4" s="110" t="s">
        <v>81</v>
      </c>
      <c r="C4" s="143"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5" t="str">
        <f>HYPERLINK("#'C-Cambio'!A23", 'C-Cambio'!A23)</f>
        <v>Registrar cambio de producto</v>
      </c>
      <c r="W4" s="917" t="str">
        <f>HYPERLINK("#'C-Cambio'!A33", 'C-Cambio'!A33)</f>
        <v>Consultar cambio</v>
      </c>
    </row>
    <row r="5" spans="1:23" ht="13.75" customHeight="1">
      <c r="A5" s="141" t="str">
        <f>HYPERLINK("#'M-Cambio'!A6", 'M-Cambio'!A6)</f>
        <v>Id</v>
      </c>
      <c r="B5" s="141" t="str">
        <f>HYPERLINK("#'M-Cambio'!A2", 'M-Cambio'!A2)</f>
        <v>Identificador unico de cada cambio registrado</v>
      </c>
      <c r="C5" s="145" t="s">
        <v>15</v>
      </c>
      <c r="D5" s="146" t="s">
        <v>99</v>
      </c>
      <c r="E5" s="146" t="s">
        <v>15</v>
      </c>
      <c r="F5" s="146"/>
      <c r="G5" s="146"/>
      <c r="H5" s="146"/>
      <c r="I5" s="146"/>
      <c r="J5" s="146"/>
      <c r="K5" s="146"/>
      <c r="L5" s="146"/>
      <c r="M5" s="146"/>
      <c r="N5" s="146" t="s">
        <v>100</v>
      </c>
      <c r="O5" s="146" t="s">
        <v>100</v>
      </c>
      <c r="P5" s="146"/>
      <c r="Q5" s="146" t="s">
        <v>100</v>
      </c>
      <c r="R5" s="146" t="s">
        <v>100</v>
      </c>
      <c r="S5" s="146" t="s">
        <v>100</v>
      </c>
      <c r="T5" s="146"/>
      <c r="U5" s="482" t="s">
        <v>15</v>
      </c>
      <c r="V5" s="684" t="s">
        <v>101</v>
      </c>
      <c r="W5" s="873" t="s">
        <v>274</v>
      </c>
    </row>
    <row r="6" spans="1:23" ht="13.75" customHeight="1">
      <c r="A6" s="141" t="str">
        <f>HYPERLINK("#'M-Cambio'!B6", 'M-Cambio'!B6)</f>
        <v>ProductoCambio</v>
      </c>
      <c r="B6" s="141" t="str">
        <f>HYPERLINK("#'M-Cambio'!B2", 'M-Cambio'!B2)</f>
        <v>Producto interno que se cambia (siempre un producto no perecedero)</v>
      </c>
      <c r="C6" s="145" t="s">
        <v>100</v>
      </c>
      <c r="D6" s="146" t="s">
        <v>38</v>
      </c>
      <c r="E6" s="146" t="s">
        <v>15</v>
      </c>
      <c r="F6" s="146"/>
      <c r="G6" s="146"/>
      <c r="H6" s="146"/>
      <c r="I6" s="146"/>
      <c r="J6" s="146"/>
      <c r="K6" s="146"/>
      <c r="L6" s="146"/>
      <c r="M6" s="147" t="s">
        <v>102</v>
      </c>
      <c r="N6" s="146" t="s">
        <v>100</v>
      </c>
      <c r="O6" s="146" t="s">
        <v>100</v>
      </c>
      <c r="P6" s="146"/>
      <c r="Q6" s="146" t="s">
        <v>100</v>
      </c>
      <c r="R6" s="146" t="s">
        <v>100</v>
      </c>
      <c r="S6" s="146" t="s">
        <v>100</v>
      </c>
      <c r="T6" s="146"/>
      <c r="U6" s="482" t="s">
        <v>100</v>
      </c>
      <c r="V6" s="582" t="s">
        <v>101</v>
      </c>
      <c r="W6" s="519" t="s">
        <v>278</v>
      </c>
    </row>
    <row r="7" spans="1:23" ht="13.75" customHeight="1">
      <c r="A7" s="141" t="str">
        <f>HYPERLINK("#'M-Cambio'!C6", 'M-Cambio'!C6)</f>
        <v>Cantidad</v>
      </c>
      <c r="B7" s="141" t="str">
        <f>HYPERLINK("#'M-Cambio'!C2", 'M-Cambio'!C2)</f>
        <v>Cantidad del producto que entra o sale por el cambio</v>
      </c>
      <c r="C7" s="145" t="s">
        <v>100</v>
      </c>
      <c r="D7" s="146" t="s">
        <v>13</v>
      </c>
      <c r="E7" s="146" t="s">
        <v>15</v>
      </c>
      <c r="F7" s="146"/>
      <c r="G7" s="146"/>
      <c r="H7" s="146">
        <v>4</v>
      </c>
      <c r="I7" s="146" t="s">
        <v>103</v>
      </c>
      <c r="J7" s="146" t="s">
        <v>104</v>
      </c>
      <c r="K7" s="469">
        <v>10000</v>
      </c>
      <c r="L7" s="146"/>
      <c r="M7" s="146" t="s">
        <v>1200</v>
      </c>
      <c r="N7" s="146" t="s">
        <v>100</v>
      </c>
      <c r="O7" s="146" t="s">
        <v>100</v>
      </c>
      <c r="P7" s="146"/>
      <c r="Q7" s="146" t="s">
        <v>100</v>
      </c>
      <c r="R7" s="146" t="s">
        <v>100</v>
      </c>
      <c r="S7" s="146" t="s">
        <v>100</v>
      </c>
      <c r="T7" s="146"/>
      <c r="U7" s="482" t="s">
        <v>100</v>
      </c>
      <c r="V7" s="582" t="s">
        <v>101</v>
      </c>
      <c r="W7" s="519" t="s">
        <v>278</v>
      </c>
    </row>
    <row r="8" spans="1:23" ht="13.75" customHeight="1">
      <c r="A8" s="141" t="str">
        <f>HYPERLINK("#'M-Cambio'!D6", 'M-Cambio'!D6)</f>
        <v>UnidadMedida</v>
      </c>
      <c r="B8" s="141" t="str">
        <f>HYPERLINK("#'M-Cambio'!D2", 'M-Cambio'!D2)</f>
        <v>Unidad de medida en la que se registra la cantidad del cambio, debe ser valida para el tipo de producto</v>
      </c>
      <c r="C8" s="145" t="s">
        <v>100</v>
      </c>
      <c r="D8" s="146" t="s">
        <v>28</v>
      </c>
      <c r="E8" s="146" t="s">
        <v>15</v>
      </c>
      <c r="F8" s="146"/>
      <c r="G8" s="146"/>
      <c r="H8" s="146"/>
      <c r="I8" s="146"/>
      <c r="J8" s="146"/>
      <c r="K8" s="146"/>
      <c r="L8" s="146"/>
      <c r="M8" s="147" t="s">
        <v>106</v>
      </c>
      <c r="N8" s="146" t="s">
        <v>100</v>
      </c>
      <c r="O8" s="146" t="s">
        <v>100</v>
      </c>
      <c r="P8" s="146"/>
      <c r="Q8" s="146" t="s">
        <v>100</v>
      </c>
      <c r="R8" s="146" t="s">
        <v>100</v>
      </c>
      <c r="S8" s="146" t="s">
        <v>100</v>
      </c>
      <c r="T8" s="146"/>
      <c r="U8" s="482" t="s">
        <v>100</v>
      </c>
      <c r="V8" s="582" t="s">
        <v>101</v>
      </c>
      <c r="W8" s="519" t="s">
        <v>278</v>
      </c>
    </row>
    <row r="9" spans="1:23" ht="13.75" customHeight="1">
      <c r="A9" s="142" t="str">
        <f>HYPERLINK("#'M-Cambio'!E6", 'M-Cambio'!E6)</f>
        <v>FechaVencimiento</v>
      </c>
      <c r="B9" s="142" t="str">
        <f>HYPERLINK("#'M-Cambio'!E2", 'M-Cambio'!E2)</f>
        <v>Fecha de vencimiento del producto que entra por el cambio</v>
      </c>
      <c r="C9" s="145" t="s">
        <v>100</v>
      </c>
      <c r="D9" s="146" t="s">
        <v>9</v>
      </c>
      <c r="E9" s="146" t="s">
        <v>15</v>
      </c>
      <c r="F9" s="146"/>
      <c r="G9" s="146"/>
      <c r="H9" s="146"/>
      <c r="I9" s="146"/>
      <c r="J9" s="146"/>
      <c r="K9" s="146"/>
      <c r="L9" s="146" t="s">
        <v>107</v>
      </c>
      <c r="M9" s="147" t="s">
        <v>1201</v>
      </c>
      <c r="N9" s="146" t="s">
        <v>100</v>
      </c>
      <c r="O9" s="146" t="s">
        <v>100</v>
      </c>
      <c r="P9" s="146"/>
      <c r="Q9" s="146" t="s">
        <v>100</v>
      </c>
      <c r="R9" s="146" t="s">
        <v>100</v>
      </c>
      <c r="S9" s="146" t="s">
        <v>100</v>
      </c>
      <c r="T9" s="146"/>
      <c r="U9" s="482" t="s">
        <v>100</v>
      </c>
      <c r="V9" s="582" t="s">
        <v>101</v>
      </c>
      <c r="W9" s="519" t="s">
        <v>278</v>
      </c>
    </row>
    <row r="10" spans="1:23" ht="13.75" customHeight="1">
      <c r="A10" s="670" t="str">
        <f>HYPERLINK("#'M-Cambio'!F6", 'M-Cambio'!F6)</f>
        <v>FechaCambio</v>
      </c>
      <c r="B10" s="670" t="str">
        <f>HYPERLINK("#'M-Cambio'!F2", 'M-Cambio'!F2)</f>
        <v>Fecha en la que se realiza el cambio</v>
      </c>
      <c r="C10" s="671" t="s">
        <v>100</v>
      </c>
      <c r="D10" s="672" t="s">
        <v>9</v>
      </c>
      <c r="E10" s="672" t="s">
        <v>15</v>
      </c>
      <c r="F10" s="672"/>
      <c r="G10" s="672"/>
      <c r="H10" s="672"/>
      <c r="I10" s="672"/>
      <c r="J10" s="672"/>
      <c r="K10" s="672"/>
      <c r="L10" s="672" t="s">
        <v>107</v>
      </c>
      <c r="M10" s="673" t="s">
        <v>108</v>
      </c>
      <c r="N10" s="672" t="s">
        <v>100</v>
      </c>
      <c r="O10" s="672" t="s">
        <v>100</v>
      </c>
      <c r="P10" s="672"/>
      <c r="Q10" s="672" t="s">
        <v>100</v>
      </c>
      <c r="R10" s="672" t="s">
        <v>100</v>
      </c>
      <c r="S10" s="672" t="s">
        <v>100</v>
      </c>
      <c r="T10" s="672"/>
      <c r="U10" s="674" t="s">
        <v>100</v>
      </c>
      <c r="V10" s="663" t="s">
        <v>101</v>
      </c>
      <c r="W10" s="874" t="s">
        <v>278</v>
      </c>
    </row>
    <row r="11" spans="1:23" s="614" customFormat="1" ht="13.75" customHeight="1">
      <c r="A11" s="921" t="str">
        <f>HYPERLINK("#'M-Cambio'!G6", 'M-Cambio'!G6)</f>
        <v>TipoMovimiento</v>
      </c>
      <c r="B11" s="921" t="str">
        <f>HYPERLINK("#'M-Cambio'!G2", 'M-Cambio'!G2)</f>
        <v>Codigo de la operacion (TipoMovimiento) del cambio; con el se rastrean los movimientos que genero el cambio</v>
      </c>
      <c r="C11" s="677" t="s">
        <v>100</v>
      </c>
      <c r="D11" s="677" t="s">
        <v>10</v>
      </c>
      <c r="E11" s="677" t="s">
        <v>15</v>
      </c>
      <c r="F11" s="677"/>
      <c r="G11" s="677"/>
      <c r="H11" s="677"/>
      <c r="I11" s="677"/>
      <c r="J11" s="677"/>
      <c r="K11" s="677"/>
      <c r="L11" s="677"/>
      <c r="M11" s="678" t="s">
        <v>1202</v>
      </c>
      <c r="N11" s="677" t="s">
        <v>100</v>
      </c>
      <c r="O11" s="677" t="s">
        <v>100</v>
      </c>
      <c r="P11" s="677"/>
      <c r="Q11" s="677" t="s">
        <v>100</v>
      </c>
      <c r="R11" s="677" t="s">
        <v>100</v>
      </c>
      <c r="S11" s="677" t="s">
        <v>100</v>
      </c>
      <c r="T11" s="677"/>
      <c r="U11" s="677" t="s">
        <v>15</v>
      </c>
      <c r="V11" s="582" t="s">
        <v>276</v>
      </c>
      <c r="W11" s="519" t="s">
        <v>274</v>
      </c>
    </row>
    <row r="12" spans="1:23" ht="13.75" customHeight="1">
      <c r="A12" s="154"/>
      <c r="B12" s="155"/>
      <c r="C12" s="155"/>
      <c r="D12" s="155"/>
      <c r="E12" s="155"/>
      <c r="F12" s="156"/>
      <c r="G12" s="157"/>
      <c r="H12" s="154"/>
      <c r="I12" s="155"/>
      <c r="J12" s="154"/>
      <c r="K12" s="155"/>
      <c r="L12" s="155"/>
      <c r="M12" s="155"/>
      <c r="N12" s="155"/>
      <c r="O12" s="155"/>
      <c r="P12" s="155"/>
      <c r="Q12" s="154"/>
      <c r="R12" s="155"/>
      <c r="S12" s="155"/>
      <c r="T12" s="155"/>
      <c r="U12" s="155"/>
    </row>
    <row r="16" spans="1:23" ht="14.3" customHeight="1">
      <c r="A16" s="467" t="s">
        <v>109</v>
      </c>
      <c r="B16" s="467" t="s">
        <v>79</v>
      </c>
      <c r="C16" s="467" t="s">
        <v>110</v>
      </c>
    </row>
    <row r="17" spans="1:18 16000:16000" ht="13.75" customHeight="1">
      <c r="A17" s="1464" t="s">
        <v>111</v>
      </c>
      <c r="B17" s="1566" t="s">
        <v>112</v>
      </c>
      <c r="C17" s="468" t="str">
        <f>HYPERLINK("#'C-Cambio'!A6", 'C-Cambio'!A6)</f>
        <v>ProductoCambio</v>
      </c>
    </row>
    <row r="18" spans="1:18 16000:16000">
      <c r="A18" s="1089"/>
      <c r="B18" s="1089"/>
      <c r="C18" s="738" t="str">
        <f>HYPERLINK("#'C-Cambio'!A10", 'C-Cambio'!A10)</f>
        <v>FechaCambio</v>
      </c>
    </row>
    <row r="19" spans="1:18 16000:16000" ht="13.6">
      <c r="A19" s="542" t="s">
        <v>1061</v>
      </c>
      <c r="B19" s="737" t="s">
        <v>1203</v>
      </c>
      <c r="C19" s="836" t="str">
        <f>HYPERLINK("#'C-Cambio'!A11", 'C-Cambio'!A11)</f>
        <v>TipoMovimiento</v>
      </c>
    </row>
    <row r="20" spans="1:18 16000:16000" ht="13.75" customHeight="1" thickBot="1"/>
    <row r="21" spans="1:18 16000:16000" ht="14.3" customHeight="1">
      <c r="A21" s="1037" t="s">
        <v>113</v>
      </c>
      <c r="B21" s="1038"/>
      <c r="C21" s="1042" t="s">
        <v>79</v>
      </c>
      <c r="D21" s="1043"/>
      <c r="E21" s="1043"/>
      <c r="F21" s="1038"/>
      <c r="G21" s="1042" t="s">
        <v>114</v>
      </c>
      <c r="H21" s="1029"/>
      <c r="I21" s="1030"/>
      <c r="J21" s="1028" t="s">
        <v>115</v>
      </c>
      <c r="K21" s="1029"/>
      <c r="L21" s="1029"/>
      <c r="M21" s="1029"/>
      <c r="N21" s="1030"/>
      <c r="O21" s="1028" t="s">
        <v>116</v>
      </c>
      <c r="P21" s="1030"/>
      <c r="Q21" s="1028" t="s">
        <v>117</v>
      </c>
      <c r="R21" s="1030"/>
    </row>
    <row r="22" spans="1:18 16000:16000" ht="14.3" customHeight="1">
      <c r="A22" s="1039"/>
      <c r="B22" s="1040"/>
      <c r="C22" s="1044"/>
      <c r="D22" s="1045"/>
      <c r="E22" s="1045"/>
      <c r="F22" s="1040"/>
      <c r="G22" s="517" t="s">
        <v>118</v>
      </c>
      <c r="H22" s="517" t="s">
        <v>8</v>
      </c>
      <c r="I22" s="517" t="s">
        <v>79</v>
      </c>
      <c r="J22" s="691" t="s">
        <v>119</v>
      </c>
      <c r="K22" s="1034" t="s">
        <v>79</v>
      </c>
      <c r="L22" s="1035"/>
      <c r="M22" s="1035"/>
      <c r="N22" s="1036"/>
      <c r="O22" s="544" t="s">
        <v>120</v>
      </c>
      <c r="P22" s="544" t="s">
        <v>79</v>
      </c>
      <c r="Q22" s="544" t="s">
        <v>121</v>
      </c>
      <c r="R22" s="188" t="s">
        <v>122</v>
      </c>
    </row>
    <row r="23" spans="1:18 16000:16000" ht="76.75" customHeight="1">
      <c r="A23" s="1498" t="str">
        <f>HYPERLINK("#'C-Cambio'!V4", 'E-Cambio'!B7)</f>
        <v>Registrar cambio de producto</v>
      </c>
      <c r="B23" s="1012"/>
      <c r="C23" s="1011" t="str">
        <f>'E-Cambio'!C7</f>
        <v>Registrar el reemplazo de un producto proximo a vencer por uno nuevo, en respuesta a la alerta de vencimiento emitida por Lote, generando la salida del lote saliente y la entrada del nuevo lote en el inventario.</v>
      </c>
      <c r="D23" s="1017"/>
      <c r="E23" s="1017"/>
      <c r="F23" s="1012"/>
      <c r="G23" s="1020" t="s">
        <v>123</v>
      </c>
      <c r="H23" s="1020" t="s">
        <v>53</v>
      </c>
      <c r="I23" s="1211" t="s">
        <v>124</v>
      </c>
      <c r="J23" s="1214" t="s">
        <v>53</v>
      </c>
      <c r="K23" s="1208" t="s">
        <v>125</v>
      </c>
      <c r="L23" s="1017"/>
      <c r="M23" s="1017"/>
      <c r="N23" s="1567"/>
      <c r="O23" s="837" t="str">
        <f>HYPERLINK("#'P-Cambio'!A5", 'P-Cambio'!A5)</f>
        <v>P-CAM-001</v>
      </c>
      <c r="P23" s="511" t="str">
        <f>'P-Cambio'!B5</f>
        <v>Asegurar que los datos requeridos para registrar un cambio sean validos de acuerdo con el tipo de dato, obligatoriedad, formato y rango correspondiente.</v>
      </c>
      <c r="Q23" s="599" t="s">
        <v>126</v>
      </c>
      <c r="R23" s="512" t="s">
        <v>127</v>
      </c>
    </row>
    <row r="24" spans="1:18 16000:16000" ht="38.75">
      <c r="A24" s="1499"/>
      <c r="B24" s="1014"/>
      <c r="C24" s="1013"/>
      <c r="D24" s="1018"/>
      <c r="E24" s="1018"/>
      <c r="F24" s="1014"/>
      <c r="G24" s="1021"/>
      <c r="H24" s="1021"/>
      <c r="I24" s="1212"/>
      <c r="J24" s="1215"/>
      <c r="K24" s="1209"/>
      <c r="L24" s="1018"/>
      <c r="M24" s="1018"/>
      <c r="N24" s="1320"/>
      <c r="O24" s="837" t="str">
        <f>HYPERLINK("#'P-Cambio'!A6", 'P-Cambio'!A6)</f>
        <v>P-CAM-002</v>
      </c>
      <c r="P24" s="511" t="str">
        <f>'P-Cambio'!B6</f>
        <v>Asegurar que el producto interno asociado al cambio exista en el sistema.</v>
      </c>
      <c r="Q24" s="599" t="s">
        <v>128</v>
      </c>
      <c r="R24" s="512" t="s">
        <v>129</v>
      </c>
    </row>
    <row r="25" spans="1:18 16000:16000" ht="77.45">
      <c r="A25" s="1499"/>
      <c r="B25" s="1014"/>
      <c r="C25" s="1013"/>
      <c r="D25" s="1018"/>
      <c r="E25" s="1018"/>
      <c r="F25" s="1014"/>
      <c r="G25" s="1021"/>
      <c r="H25" s="1021"/>
      <c r="I25" s="1212"/>
      <c r="J25" s="1215"/>
      <c r="K25" s="1209"/>
      <c r="L25" s="1018"/>
      <c r="M25" s="1018"/>
      <c r="N25" s="1320"/>
      <c r="O25" s="837" t="str">
        <f>HYPERLINK("#'P-Cambio'!A7", 'P-Cambio'!A7)</f>
        <v>P-CAM-003</v>
      </c>
      <c r="P25" s="511" t="str">
        <f>'P-Cambio'!B7</f>
        <v>Asegurar que el producto interno asociado al cambio sea no perecedero; un producto perecedero no se cambia con el proveedor, se retira del lote con SalidaLote.</v>
      </c>
      <c r="Q25" s="599" t="s">
        <v>130</v>
      </c>
      <c r="R25" s="512" t="s">
        <v>131</v>
      </c>
    </row>
    <row r="26" spans="1:18 16000:16000" ht="51.65">
      <c r="A26" s="1499"/>
      <c r="B26" s="1014"/>
      <c r="C26" s="1013"/>
      <c r="D26" s="1018"/>
      <c r="E26" s="1018"/>
      <c r="F26" s="1014"/>
      <c r="G26" s="1021"/>
      <c r="H26" s="1021"/>
      <c r="I26" s="1212"/>
      <c r="J26" s="1215"/>
      <c r="K26" s="1209"/>
      <c r="L26" s="1018"/>
      <c r="M26" s="1018"/>
      <c r="N26" s="1320"/>
      <c r="O26" s="837" t="str">
        <f>HYPERLINK("#'P-Cambio'!A8", 'P-Cambio'!A8)</f>
        <v>P-CAM-004</v>
      </c>
      <c r="P26" s="511" t="str">
        <f>'P-Cambio'!B8</f>
        <v>Asegurar que la cantidad registrada en el cambio sea mayor que cero y como maximo 10.000.</v>
      </c>
      <c r="Q26" s="599" t="s">
        <v>1575</v>
      </c>
      <c r="R26" s="512" t="s">
        <v>1437</v>
      </c>
    </row>
    <row r="27" spans="1:18 16000:16000" ht="38.75">
      <c r="A27" s="1499"/>
      <c r="B27" s="1014"/>
      <c r="C27" s="1013"/>
      <c r="D27" s="1018"/>
      <c r="E27" s="1018"/>
      <c r="F27" s="1014"/>
      <c r="G27" s="1021"/>
      <c r="H27" s="1021"/>
      <c r="I27" s="1212"/>
      <c r="J27" s="1215"/>
      <c r="K27" s="1209"/>
      <c r="L27" s="1018"/>
      <c r="M27" s="1018"/>
      <c r="N27" s="1320"/>
      <c r="O27" s="837" t="str">
        <f>HYPERLINK("#'P-Cambio'!A9", 'P-Cambio'!A9)</f>
        <v>P-CAM-005</v>
      </c>
      <c r="P27" s="511" t="str">
        <f>'P-Cambio'!B9</f>
        <v>Asegurar que la unidad de medida utilizada para expresar la cantidad del cambio sea valida.</v>
      </c>
      <c r="Q27" s="599" t="s">
        <v>132</v>
      </c>
      <c r="R27" s="512" t="s">
        <v>133</v>
      </c>
    </row>
    <row r="28" spans="1:18 16000:16000" ht="103.25">
      <c r="A28" s="1499"/>
      <c r="B28" s="1014"/>
      <c r="C28" s="1013"/>
      <c r="D28" s="1018"/>
      <c r="E28" s="1018"/>
      <c r="F28" s="1014"/>
      <c r="G28" s="1021"/>
      <c r="H28" s="1021"/>
      <c r="I28" s="1212"/>
      <c r="J28" s="1215"/>
      <c r="K28" s="1209"/>
      <c r="L28" s="1018"/>
      <c r="M28" s="1018"/>
      <c r="N28" s="1320"/>
      <c r="O28" s="837" t="str">
        <f>HYPERLINK("#'P-Cambio'!A10", 'P-Cambio'!A10)</f>
        <v>P-CAM-006</v>
      </c>
      <c r="P28" s="511" t="str">
        <f>'P-Cambio'!B10</f>
        <v>Asegurar que el producto de reemplazo que entra por el cambio no llegue ya vencido: su fecha de vencimiento tiene que ser posterior a la fecha en la que se registra el cambio, es decir, el dia en que efectivamente llega y se ingresa.</v>
      </c>
      <c r="Q28" s="599" t="s">
        <v>134</v>
      </c>
      <c r="R28" s="512" t="s">
        <v>135</v>
      </c>
    </row>
    <row r="29" spans="1:18 16000:16000" ht="13.75" customHeight="1">
      <c r="A29" s="1499"/>
      <c r="B29" s="1014"/>
      <c r="C29" s="1013"/>
      <c r="D29" s="1018"/>
      <c r="E29" s="1018"/>
      <c r="F29" s="1014"/>
      <c r="G29" s="1021"/>
      <c r="H29" s="1021"/>
      <c r="I29" s="1212"/>
      <c r="J29" s="1215"/>
      <c r="K29" s="1209"/>
      <c r="L29" s="1018"/>
      <c r="M29" s="1018"/>
      <c r="N29" s="1320"/>
      <c r="O29" s="837" t="str">
        <f>HYPERLINK("#'P-Cambio'!A11", 'P-Cambio'!A11)</f>
        <v>P-CAM-007</v>
      </c>
      <c r="P29" s="511" t="str">
        <f>'P-Cambio'!B11</f>
        <v>Asegurar que no exista otro cambio con el mismo ProductoCambio y la misma FechaCambio.</v>
      </c>
      <c r="Q29" s="599" t="s">
        <v>136</v>
      </c>
      <c r="R29" s="512" t="s">
        <v>137</v>
      </c>
    </row>
    <row r="30" spans="1:18 16000:16000" ht="13.75" customHeight="1">
      <c r="A30" s="1499"/>
      <c r="B30" s="1014"/>
      <c r="C30" s="1013"/>
      <c r="D30" s="1018"/>
      <c r="E30" s="1018"/>
      <c r="F30" s="1014"/>
      <c r="G30" s="1021"/>
      <c r="H30" s="1021"/>
      <c r="I30" s="1212"/>
      <c r="J30" s="1215"/>
      <c r="K30" s="1209"/>
      <c r="L30" s="1018"/>
      <c r="M30" s="1018"/>
      <c r="N30" s="1320"/>
      <c r="O30" s="837" t="str">
        <f>HYPERLINK("#'P-Cambio'!A13", 'P-Cambio'!A13)</f>
        <v>P-CAM-009</v>
      </c>
      <c r="P30" s="511" t="str">
        <f>'P-Cambio'!B13</f>
        <v>El registro de Cambio se realiza en respuesta a una alerta de vencimiento proximo emitida por Lote.</v>
      </c>
      <c r="Q30" s="599" t="s">
        <v>138</v>
      </c>
      <c r="R30" s="512" t="s">
        <v>139</v>
      </c>
    </row>
    <row r="31" spans="1:18 16000:16000" s="614" customFormat="1" ht="13.75" customHeight="1">
      <c r="A31" s="1499"/>
      <c r="B31" s="1014"/>
      <c r="C31" s="1013"/>
      <c r="D31" s="1018"/>
      <c r="E31" s="1018"/>
      <c r="F31" s="1014"/>
      <c r="G31" s="1021"/>
      <c r="H31" s="1021"/>
      <c r="I31" s="1212"/>
      <c r="J31" s="1215"/>
      <c r="K31" s="1209"/>
      <c r="L31" s="1018"/>
      <c r="M31" s="1018"/>
      <c r="N31" s="1320"/>
      <c r="O31" s="837" t="str">
        <f>HYPERLINK("#'P-Cambio'!A14", 'P-Cambio'!A14)</f>
        <v>P-CAM-010</v>
      </c>
      <c r="P31" s="511" t="str">
        <f>'P-Cambio'!B14</f>
        <v>Al registrar un cambio se genera su propio TipoMovimiento de categoria Cambio, que no se repite.</v>
      </c>
      <c r="Q31" s="599" t="s">
        <v>1732</v>
      </c>
      <c r="R31" s="512" t="s">
        <v>1733</v>
      </c>
      <c r="WQJ31"/>
    </row>
    <row r="32" spans="1:18 16000:16000" s="614" customFormat="1" ht="13.75" customHeight="1">
      <c r="A32" s="1499"/>
      <c r="B32" s="1014"/>
      <c r="C32" s="1013"/>
      <c r="D32" s="1018"/>
      <c r="E32" s="1018"/>
      <c r="F32" s="1014"/>
      <c r="G32" s="1021"/>
      <c r="H32" s="1021"/>
      <c r="I32" s="1212"/>
      <c r="J32" s="1215"/>
      <c r="K32" s="1209"/>
      <c r="L32" s="1018"/>
      <c r="M32" s="1018"/>
      <c r="N32" s="1320"/>
      <c r="O32" s="918" t="str">
        <f>HYPERLINK("#'P-Cambio'!A15", 'P-Cambio'!A15)</f>
        <v>P-CAM-011</v>
      </c>
      <c r="P32" s="901" t="str">
        <f>'P-Cambio'!B15</f>
        <v>Al registrar un cambio se registra la Salida del lote que se devuelve al proveedor y se crea un nuevo lote con el producto de reemplazo y su Entrada, ambos con el TipoMovimiento del cambio.</v>
      </c>
      <c r="Q32" s="919" t="s">
        <v>1734</v>
      </c>
      <c r="R32" s="901" t="s">
        <v>1442</v>
      </c>
      <c r="WQJ32"/>
    </row>
    <row r="33" spans="1:18 16000:16000" s="614" customFormat="1" ht="13.75" customHeight="1">
      <c r="A33" s="1128" t="str">
        <f>HYPERLINK("#'C-Cambio'!W4", 'E-Cambio'!B17)</f>
        <v>Consultar cambio</v>
      </c>
      <c r="B33" s="1128"/>
      <c r="C33" s="1128" t="str">
        <f>'E-Cambio'!C17</f>
        <v>Permite consultar un cambio de producto registrado, con su producto, cantidad y fechas.</v>
      </c>
      <c r="D33" s="1128"/>
      <c r="E33" s="1128"/>
      <c r="F33" s="1128"/>
      <c r="G33" s="859" t="s">
        <v>16</v>
      </c>
      <c r="H33" s="859" t="s">
        <v>299</v>
      </c>
      <c r="I33" s="860" t="s">
        <v>1735</v>
      </c>
      <c r="J33" s="859" t="s">
        <v>53</v>
      </c>
      <c r="K33" s="1128" t="s">
        <v>1736</v>
      </c>
      <c r="L33" s="1128"/>
      <c r="M33" s="1128"/>
      <c r="N33" s="1128"/>
      <c r="O33" s="920" t="str">
        <f>HYPERLINK("#'P-Cambio'!A12", 'P-Cambio'!A12)</f>
        <v>P-CAM-008</v>
      </c>
      <c r="P33" s="518" t="str">
        <f>'P-Cambio'!B12</f>
        <v>Asegurar que el cambio exista con el identificador indicado.</v>
      </c>
      <c r="Q33" s="518" t="s">
        <v>1737</v>
      </c>
      <c r="R33" s="518" t="s">
        <v>1738</v>
      </c>
      <c r="WQJ33"/>
    </row>
  </sheetData>
  <mergeCells count="21">
    <mergeCell ref="A33:B33"/>
    <mergeCell ref="C33:F33"/>
    <mergeCell ref="K33:N33"/>
    <mergeCell ref="Q21:R21"/>
    <mergeCell ref="C21:F22"/>
    <mergeCell ref="A23:B32"/>
    <mergeCell ref="C23:F32"/>
    <mergeCell ref="K23:N32"/>
    <mergeCell ref="G23:G32"/>
    <mergeCell ref="H23:H32"/>
    <mergeCell ref="I23:I32"/>
    <mergeCell ref="J23:J32"/>
    <mergeCell ref="B17:B18"/>
    <mergeCell ref="B2:U2"/>
    <mergeCell ref="G21:I21"/>
    <mergeCell ref="A17:A18"/>
    <mergeCell ref="B3:U3"/>
    <mergeCell ref="A21:B22"/>
    <mergeCell ref="J21:N21"/>
    <mergeCell ref="O21:P21"/>
    <mergeCell ref="K22:N22"/>
  </mergeCells>
  <hyperlinks>
    <hyperlink ref="A1" location="'Modelo de dominio'!A1" display="&lt;&lt;&lt;Modelo de Dominio" xr:uid="{00000000-0004-0000-0400-000000000000}"/>
    <hyperlink ref="B1" location="'Objetos de dominio'!A1" display="&lt;&lt;&lt;Objetos de Dominio" xr:uid="{00000000-0004-0000-0400-000001000000}"/>
  </hyperlink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0">
    <tabColor theme="2"/>
    <outlinePr summaryBelow="0" summaryRight="0"/>
  </sheetPr>
  <dimension ref="A1:WQJ18"/>
  <sheetViews>
    <sheetView workbookViewId="0">
      <selection activeCell="C6" sqref="C6"/>
    </sheetView>
  </sheetViews>
  <sheetFormatPr baseColWidth="10" defaultColWidth="25.625" defaultRowHeight="12.9"/>
  <cols>
    <col min="1" max="1" width="18" bestFit="1" customWidth="1"/>
    <col min="2" max="2" width="25.375" bestFit="1" customWidth="1"/>
    <col min="3" max="3" width="177.875" bestFit="1" customWidth="1"/>
    <col min="4" max="4" width="29.125" bestFit="1" customWidth="1"/>
    <col min="5" max="5" width="30.75" bestFit="1" customWidth="1"/>
    <col min="6" max="6" width="106.625" bestFit="1" customWidth="1"/>
    <col min="7" max="7" width="19.625" bestFit="1" customWidth="1"/>
    <col min="8" max="8" width="15.375" bestFit="1" customWidth="1"/>
    <col min="9" max="9" width="26.875" bestFit="1" customWidth="1"/>
    <col min="10" max="10" width="22.375" bestFit="1" customWidth="1"/>
  </cols>
  <sheetData>
    <row r="1" spans="1:10 16000:16000">
      <c r="A1" s="2" t="s">
        <v>0</v>
      </c>
      <c r="B1" s="132" t="s">
        <v>1</v>
      </c>
    </row>
    <row r="2" spans="1:10 16000:16000" ht="13.75" customHeight="1">
      <c r="A2" s="17" t="s">
        <v>209</v>
      </c>
      <c r="B2" s="476" t="s">
        <v>53</v>
      </c>
      <c r="C2" s="614"/>
    </row>
    <row r="3" spans="1:10 16000:16000" ht="13.75" customHeight="1">
      <c r="A3" s="475" t="s">
        <v>210</v>
      </c>
      <c r="B3" s="1570" t="str">
        <f>'C-Cambio'!B3</f>
        <v>Es cuando se retira un insumo que ya casi se vence y se cambia por otro que sí sirve, para que la pizzería siempre tenga insumos en buen estado.</v>
      </c>
      <c r="C3" s="1124"/>
    </row>
    <row r="4" spans="1:10 16000:16000" ht="13.75" customHeight="1">
      <c r="A4" s="406" t="s">
        <v>211</v>
      </c>
      <c r="B4" s="1571" t="s">
        <v>212</v>
      </c>
      <c r="C4" s="1261"/>
      <c r="D4" s="19" t="s">
        <v>213</v>
      </c>
      <c r="E4" s="1572" t="s">
        <v>214</v>
      </c>
      <c r="F4" s="1263"/>
      <c r="G4" s="20" t="s">
        <v>215</v>
      </c>
      <c r="H4" s="384" t="s">
        <v>216</v>
      </c>
      <c r="I4" s="385" t="s">
        <v>217</v>
      </c>
      <c r="J4" s="383" t="s">
        <v>218</v>
      </c>
    </row>
    <row r="5" spans="1:10 16000:16000" ht="13.75" customHeight="1">
      <c r="A5" s="561" t="s">
        <v>211</v>
      </c>
      <c r="B5" s="382" t="s">
        <v>219</v>
      </c>
      <c r="C5" s="382" t="s">
        <v>79</v>
      </c>
      <c r="D5" s="560" t="s">
        <v>220</v>
      </c>
      <c r="E5" s="1569" t="s">
        <v>221</v>
      </c>
      <c r="F5" s="1261"/>
      <c r="G5" s="26" t="s">
        <v>222</v>
      </c>
      <c r="H5" s="473" t="s">
        <v>223</v>
      </c>
      <c r="I5" s="474" t="s">
        <v>224</v>
      </c>
      <c r="J5" s="471" t="s">
        <v>225</v>
      </c>
    </row>
    <row r="6" spans="1:10 16000:16000" ht="13.75" customHeight="1">
      <c r="E6" s="121" t="s">
        <v>226</v>
      </c>
      <c r="F6" s="121" t="s">
        <v>79</v>
      </c>
      <c r="G6" s="472" t="s">
        <v>227</v>
      </c>
      <c r="H6" s="562"/>
      <c r="I6" s="562"/>
      <c r="J6" s="562"/>
    </row>
    <row r="7" spans="1:10 16000:16000" ht="13.75" customHeight="1">
      <c r="A7" s="1364" t="s">
        <v>228</v>
      </c>
      <c r="B7" s="1568" t="s">
        <v>229</v>
      </c>
      <c r="C7" s="1542" t="s">
        <v>230</v>
      </c>
      <c r="D7" s="1364" t="s">
        <v>53</v>
      </c>
      <c r="E7" s="1364" t="s">
        <v>231</v>
      </c>
      <c r="F7" s="1364" t="s">
        <v>232</v>
      </c>
      <c r="G7" s="838" t="str">
        <f>HYPERLINK("#'P-Cambio'!A5", "P-CAM-001")</f>
        <v>P-CAM-001</v>
      </c>
      <c r="H7" s="1568"/>
      <c r="I7" s="1364" t="s">
        <v>125</v>
      </c>
      <c r="J7" s="1364"/>
    </row>
    <row r="8" spans="1:10 16000:16000" ht="13.75" customHeight="1">
      <c r="A8" s="1350"/>
      <c r="B8" s="1359"/>
      <c r="C8" s="1362"/>
      <c r="D8" s="1350"/>
      <c r="E8" s="1350"/>
      <c r="F8" s="1350"/>
      <c r="G8" s="838" t="str">
        <f>HYPERLINK("#'P-Cambio'!A6", "P-CAM-002")</f>
        <v>P-CAM-002</v>
      </c>
      <c r="H8" s="1359"/>
      <c r="I8" s="1350"/>
      <c r="J8" s="1350"/>
    </row>
    <row r="9" spans="1:10 16000:16000" ht="13.75" customHeight="1">
      <c r="A9" s="1350"/>
      <c r="B9" s="1359"/>
      <c r="C9" s="1362"/>
      <c r="D9" s="1350"/>
      <c r="E9" s="1350"/>
      <c r="F9" s="1350"/>
      <c r="G9" s="838" t="str">
        <f>HYPERLINK("#'P-Cambio'!A7", "P-CAM-003")</f>
        <v>P-CAM-003</v>
      </c>
      <c r="H9" s="1359"/>
      <c r="I9" s="1350"/>
      <c r="J9" s="1350"/>
    </row>
    <row r="10" spans="1:10 16000:16000" ht="13.75" customHeight="1">
      <c r="A10" s="1350"/>
      <c r="B10" s="1359"/>
      <c r="C10" s="1362"/>
      <c r="D10" s="1350"/>
      <c r="E10" s="1350"/>
      <c r="F10" s="1350"/>
      <c r="G10" s="838" t="str">
        <f>HYPERLINK("#'P-Cambio'!A8", "P-CAM-004")</f>
        <v>P-CAM-004</v>
      </c>
      <c r="H10" s="1359"/>
      <c r="I10" s="1350"/>
      <c r="J10" s="1350"/>
    </row>
    <row r="11" spans="1:10 16000:16000" ht="13.75" customHeight="1">
      <c r="A11" s="1350"/>
      <c r="B11" s="1359"/>
      <c r="C11" s="1362"/>
      <c r="D11" s="1350"/>
      <c r="E11" s="1350"/>
      <c r="F11" s="1350"/>
      <c r="G11" s="838" t="str">
        <f>HYPERLINK("#'P-Cambio'!A9", "P-CAM-005")</f>
        <v>P-CAM-005</v>
      </c>
      <c r="H11" s="1359"/>
      <c r="I11" s="1350"/>
      <c r="J11" s="1350"/>
    </row>
    <row r="12" spans="1:10 16000:16000" ht="13.75" customHeight="1">
      <c r="A12" s="1350"/>
      <c r="B12" s="1359"/>
      <c r="C12" s="1362"/>
      <c r="D12" s="1350"/>
      <c r="E12" s="1350"/>
      <c r="F12" s="1350"/>
      <c r="G12" s="838" t="str">
        <f>HYPERLINK("#'P-Cambio'!A10", "P-CAM-006")</f>
        <v>P-CAM-006</v>
      </c>
      <c r="H12" s="1359"/>
      <c r="I12" s="1350"/>
      <c r="J12" s="1350"/>
    </row>
    <row r="13" spans="1:10 16000:16000" ht="13.75" customHeight="1">
      <c r="A13" s="1350"/>
      <c r="B13" s="1359"/>
      <c r="C13" s="1362"/>
      <c r="D13" s="1350"/>
      <c r="E13" s="1350"/>
      <c r="F13" s="1350"/>
      <c r="G13" s="838" t="str">
        <f>HYPERLINK("#'P-Cambio'!A11", "P-CAM-007")</f>
        <v>P-CAM-007</v>
      </c>
      <c r="H13" s="1359"/>
      <c r="I13" s="1350"/>
      <c r="J13" s="1350"/>
    </row>
    <row r="14" spans="1:10 16000:16000" ht="13.75" customHeight="1">
      <c r="A14" s="1350"/>
      <c r="B14" s="1359"/>
      <c r="C14" s="1362"/>
      <c r="D14" s="1350"/>
      <c r="E14" s="1350"/>
      <c r="F14" s="1350"/>
      <c r="G14" s="838" t="str">
        <f>HYPERLINK("#'P-Cambio'!A13", "P-CAM-009")</f>
        <v>P-CAM-009</v>
      </c>
      <c r="H14" s="1359"/>
      <c r="I14" s="1350"/>
      <c r="J14" s="1350"/>
    </row>
    <row r="15" spans="1:10 16000:16000" s="614" customFormat="1" ht="13.75" customHeight="1">
      <c r="A15" s="1350"/>
      <c r="B15" s="1359"/>
      <c r="C15" s="1362"/>
      <c r="D15" s="1350"/>
      <c r="E15" s="1350"/>
      <c r="F15" s="1350"/>
      <c r="G15" s="838" t="str">
        <f>HYPERLINK("#'P-Cambio'!A14", "P-CAM-010")</f>
        <v>P-CAM-010</v>
      </c>
      <c r="H15" s="1359"/>
      <c r="I15" s="1350"/>
      <c r="J15" s="1350"/>
      <c r="WQJ15"/>
    </row>
    <row r="16" spans="1:10 16000:16000" s="614" customFormat="1" ht="13.75" customHeight="1">
      <c r="A16" s="1351"/>
      <c r="B16" s="1360"/>
      <c r="C16" s="1363"/>
      <c r="D16" s="1351"/>
      <c r="E16" s="1351"/>
      <c r="F16" s="1351"/>
      <c r="G16" s="838" t="str">
        <f>HYPERLINK("#'P-Cambio'!A15", "P-CAM-011")</f>
        <v>P-CAM-011</v>
      </c>
      <c r="H16" s="1360"/>
      <c r="I16" s="1351"/>
      <c r="J16" s="1351"/>
      <c r="WQJ16"/>
    </row>
    <row r="17" spans="1:10 16000:16000" s="614" customFormat="1" ht="13.75" customHeight="1">
      <c r="A17" s="922" t="s">
        <v>228</v>
      </c>
      <c r="B17" s="923" t="s">
        <v>1727</v>
      </c>
      <c r="C17" s="924" t="s">
        <v>1728</v>
      </c>
      <c r="D17" s="922"/>
      <c r="E17" s="922" t="s">
        <v>1729</v>
      </c>
      <c r="F17" s="922" t="s">
        <v>1730</v>
      </c>
      <c r="G17" s="925" t="str">
        <f>HYPERLINK("#'P-Cambio'!A12", "P-CAM-008")</f>
        <v>P-CAM-008</v>
      </c>
      <c r="H17" s="923"/>
      <c r="I17" s="922" t="s">
        <v>1731</v>
      </c>
      <c r="J17" s="922"/>
      <c r="WQJ17"/>
    </row>
    <row r="18" spans="1:10 16000:16000" ht="14.3" customHeight="1">
      <c r="G18" s="155"/>
    </row>
  </sheetData>
  <mergeCells count="13">
    <mergeCell ref="A7:A16"/>
    <mergeCell ref="B7:B16"/>
    <mergeCell ref="C7:C16"/>
    <mergeCell ref="D7:D16"/>
    <mergeCell ref="E7:E16"/>
    <mergeCell ref="H7:H16"/>
    <mergeCell ref="E5:F5"/>
    <mergeCell ref="I7:I16"/>
    <mergeCell ref="J7:J16"/>
    <mergeCell ref="B3:C3"/>
    <mergeCell ref="B4:C4"/>
    <mergeCell ref="E4:F4"/>
    <mergeCell ref="F7:F16"/>
  </mergeCells>
  <hyperlinks>
    <hyperlink ref="A1" location="'Modelo de dominio'!A1" display="&lt;&lt;&lt;Modelo de Dominio" xr:uid="{00000000-0004-0000-0600-000000000000}"/>
    <hyperlink ref="B1" location="'Objetos de dominio'!A1" display="&lt;&lt;&lt;Objetos de Dominio" xr:uid="{00000000-0004-0000-0600-000001000000}"/>
    <hyperlink ref="B3" location="'Objetos de dominio'!B26" display="Objeto de dominio que representa el reemplazo de un producto proximo a vencer por uno nuevo, generando la salida del lote saliente y la entrada del nuevo lote en el inventario." xr:uid="{00000000-0004-0000-0600-000002000000}"/>
  </hyperlink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1">
    <outlinePr summaryBelow="0" summaryRight="0"/>
  </sheetPr>
  <dimension ref="A1:Z999"/>
  <sheetViews>
    <sheetView workbookViewId="0">
      <selection sqref="A1:XFD1048576"/>
    </sheetView>
  </sheetViews>
  <sheetFormatPr baseColWidth="10" defaultColWidth="12.625" defaultRowHeight="15.8" customHeight="1"/>
  <cols>
    <col min="1" max="1" width="17.625" bestFit="1" customWidth="1"/>
    <col min="2" max="2" width="205.875" bestFit="1" customWidth="1"/>
    <col min="3" max="3" width="19.5" bestFit="1" customWidth="1"/>
    <col min="4" max="4" width="19.125" bestFit="1" customWidth="1"/>
  </cols>
  <sheetData>
    <row r="1" spans="1:26">
      <c r="A1" s="2" t="s">
        <v>0</v>
      </c>
      <c r="B1" s="132" t="s">
        <v>1</v>
      </c>
      <c r="C1" s="27"/>
      <c r="D1" s="73"/>
      <c r="E1" s="27"/>
      <c r="F1" s="27"/>
      <c r="G1" s="27"/>
      <c r="H1" s="27"/>
      <c r="I1" s="27"/>
      <c r="J1" s="27"/>
      <c r="K1" s="27"/>
      <c r="L1" s="27"/>
      <c r="M1" s="27"/>
      <c r="N1" s="27"/>
      <c r="O1" s="27"/>
      <c r="P1" s="27"/>
      <c r="Q1" s="27"/>
      <c r="R1" s="27"/>
      <c r="S1" s="27"/>
      <c r="T1" s="27"/>
      <c r="U1" s="27"/>
      <c r="V1" s="27"/>
      <c r="W1" s="27"/>
      <c r="X1" s="27"/>
      <c r="Y1" s="27"/>
      <c r="Z1" s="27"/>
    </row>
    <row r="2" spans="1:26">
      <c r="A2" s="54" t="s">
        <v>233</v>
      </c>
      <c r="B2" s="1237" t="s">
        <v>53</v>
      </c>
      <c r="C2" s="1033"/>
      <c r="E2" s="27"/>
      <c r="F2" s="27"/>
      <c r="G2" s="27"/>
      <c r="H2" s="27"/>
      <c r="I2" s="27"/>
      <c r="J2" s="27"/>
      <c r="K2" s="27"/>
      <c r="L2" s="27"/>
      <c r="M2" s="27"/>
      <c r="N2" s="27"/>
      <c r="O2" s="27"/>
      <c r="P2" s="27"/>
      <c r="Q2" s="27"/>
      <c r="R2" s="27"/>
      <c r="S2" s="27"/>
      <c r="T2" s="27"/>
      <c r="U2" s="27"/>
      <c r="V2" s="27"/>
      <c r="W2" s="27"/>
      <c r="X2" s="27"/>
      <c r="Y2" s="27"/>
      <c r="Z2" s="27"/>
    </row>
    <row r="3" spans="1:26">
      <c r="A3" s="54" t="s">
        <v>21</v>
      </c>
      <c r="B3" s="1573" t="str">
        <f>'C-Cambio'!B3</f>
        <v>Es cuando se retira un insumo que ya casi se vence y se cambia por otro que sí sirve, para que la pizzería siempre tenga insumos en buen estado.</v>
      </c>
      <c r="C3" s="1033"/>
      <c r="E3" s="27"/>
      <c r="F3" s="27"/>
      <c r="G3" s="27"/>
      <c r="H3" s="27"/>
      <c r="I3" s="27"/>
      <c r="J3" s="27"/>
      <c r="K3" s="27"/>
      <c r="L3" s="27"/>
      <c r="M3" s="27"/>
      <c r="N3" s="27"/>
      <c r="O3" s="27"/>
      <c r="P3" s="27"/>
      <c r="Q3" s="27"/>
      <c r="R3" s="27"/>
      <c r="S3" s="27"/>
      <c r="T3" s="27"/>
      <c r="U3" s="27"/>
      <c r="V3" s="27"/>
      <c r="W3" s="27"/>
      <c r="X3" s="27"/>
      <c r="Y3" s="27"/>
      <c r="Z3" s="27"/>
    </row>
    <row r="4" spans="1:26">
      <c r="A4" s="55" t="s">
        <v>234</v>
      </c>
      <c r="B4" s="55" t="s">
        <v>235</v>
      </c>
      <c r="C4" s="55" t="s">
        <v>236</v>
      </c>
      <c r="D4" s="55" t="s">
        <v>237</v>
      </c>
      <c r="E4" s="27"/>
      <c r="F4" s="27"/>
      <c r="G4" s="27"/>
      <c r="H4" s="27"/>
      <c r="I4" s="27"/>
      <c r="J4" s="27"/>
      <c r="K4" s="27"/>
      <c r="L4" s="27"/>
      <c r="M4" s="27"/>
      <c r="N4" s="27"/>
      <c r="O4" s="27"/>
      <c r="P4" s="27"/>
      <c r="Q4" s="27"/>
      <c r="R4" s="27"/>
      <c r="S4" s="27"/>
      <c r="T4" s="27"/>
      <c r="U4" s="27"/>
      <c r="V4" s="27"/>
      <c r="W4" s="27"/>
      <c r="X4" s="27"/>
      <c r="Y4" s="27"/>
      <c r="Z4" s="27"/>
    </row>
    <row r="5" spans="1:26">
      <c r="A5" s="21" t="s">
        <v>238</v>
      </c>
      <c r="B5" s="21" t="s">
        <v>239</v>
      </c>
      <c r="C5" s="21" t="s">
        <v>53</v>
      </c>
      <c r="D5" s="470"/>
      <c r="E5" s="27"/>
      <c r="F5" s="27"/>
      <c r="G5" s="27"/>
      <c r="H5" s="27"/>
      <c r="I5" s="27"/>
      <c r="J5" s="27"/>
      <c r="K5" s="27"/>
      <c r="L5" s="27"/>
      <c r="M5" s="27"/>
      <c r="N5" s="27"/>
      <c r="O5" s="27"/>
      <c r="P5" s="27"/>
      <c r="Q5" s="27"/>
      <c r="R5" s="27"/>
      <c r="S5" s="27"/>
      <c r="T5" s="27"/>
      <c r="U5" s="27"/>
      <c r="V5" s="27"/>
      <c r="W5" s="27"/>
      <c r="X5" s="27"/>
      <c r="Y5" s="27"/>
      <c r="Z5" s="27"/>
    </row>
    <row r="6" spans="1:26">
      <c r="A6" s="21" t="s">
        <v>240</v>
      </c>
      <c r="B6" s="21" t="s">
        <v>241</v>
      </c>
      <c r="C6" s="21" t="s">
        <v>38</v>
      </c>
      <c r="D6" s="802" t="str">
        <f>HYPERLINK("#'P-ProductoInterno'!A11", 'P-ProductoInterno'!A11)</f>
        <v>P-PI-007</v>
      </c>
      <c r="E6" s="27"/>
      <c r="F6" s="27"/>
      <c r="G6" s="27"/>
      <c r="H6" s="27"/>
      <c r="I6" s="27"/>
      <c r="J6" s="27"/>
      <c r="K6" s="27"/>
      <c r="L6" s="27"/>
      <c r="M6" s="27"/>
      <c r="N6" s="27"/>
      <c r="O6" s="27"/>
      <c r="P6" s="27"/>
      <c r="Q6" s="27"/>
      <c r="R6" s="27"/>
      <c r="S6" s="27"/>
      <c r="T6" s="27"/>
      <c r="U6" s="27"/>
      <c r="V6" s="27"/>
      <c r="W6" s="27"/>
      <c r="X6" s="27"/>
      <c r="Y6" s="27"/>
      <c r="Z6" s="27"/>
    </row>
    <row r="7" spans="1:26">
      <c r="A7" s="21" t="s">
        <v>242</v>
      </c>
      <c r="B7" s="21" t="s">
        <v>1721</v>
      </c>
      <c r="C7" s="21" t="s">
        <v>38</v>
      </c>
      <c r="D7" s="802" t="str">
        <f>HYPERLINK("#'P-ProductoInterno'!A7", 'P-ProductoInterno'!A7)</f>
        <v>P-PI-003</v>
      </c>
      <c r="E7" s="27"/>
      <c r="F7" s="27"/>
      <c r="G7" s="27"/>
      <c r="H7" s="27"/>
      <c r="I7" s="27"/>
      <c r="J7" s="27"/>
      <c r="K7" s="27"/>
      <c r="L7" s="27"/>
      <c r="M7" s="27"/>
      <c r="N7" s="27"/>
      <c r="O7" s="27"/>
      <c r="P7" s="27"/>
      <c r="Q7" s="27"/>
      <c r="R7" s="27"/>
      <c r="S7" s="27"/>
      <c r="T7" s="27"/>
      <c r="U7" s="27"/>
      <c r="V7" s="27"/>
      <c r="W7" s="27"/>
      <c r="X7" s="27"/>
      <c r="Y7" s="27"/>
      <c r="Z7" s="27"/>
    </row>
    <row r="8" spans="1:26">
      <c r="A8" s="21" t="s">
        <v>243</v>
      </c>
      <c r="B8" s="21" t="s">
        <v>1722</v>
      </c>
      <c r="C8" s="21" t="s">
        <v>53</v>
      </c>
      <c r="D8" s="470"/>
      <c r="E8" s="27"/>
      <c r="F8" s="27"/>
      <c r="G8" s="27"/>
      <c r="H8" s="27"/>
      <c r="I8" s="27"/>
      <c r="J8" s="27"/>
      <c r="K8" s="27"/>
      <c r="L8" s="27"/>
      <c r="M8" s="27"/>
      <c r="N8" s="27"/>
      <c r="O8" s="27"/>
      <c r="P8" s="27"/>
      <c r="Q8" s="27"/>
      <c r="R8" s="27"/>
      <c r="S8" s="27"/>
      <c r="T8" s="27"/>
      <c r="U8" s="27"/>
      <c r="V8" s="27"/>
      <c r="W8" s="27"/>
      <c r="X8" s="27"/>
      <c r="Y8" s="27"/>
      <c r="Z8" s="27"/>
    </row>
    <row r="9" spans="1:26">
      <c r="A9" s="21" t="s">
        <v>244</v>
      </c>
      <c r="B9" s="21" t="s">
        <v>245</v>
      </c>
      <c r="C9" s="21" t="s">
        <v>28</v>
      </c>
      <c r="D9" s="802" t="str">
        <f>HYPERLINK("#'P-UnidadMedida'!A6", 'P-UnidadMedida'!A6)</f>
        <v>P-UM-002</v>
      </c>
      <c r="E9" s="27"/>
      <c r="F9" s="27"/>
      <c r="G9" s="27"/>
      <c r="H9" s="27"/>
      <c r="I9" s="27"/>
      <c r="J9" s="27"/>
      <c r="K9" s="27"/>
      <c r="L9" s="27"/>
      <c r="M9" s="27"/>
      <c r="N9" s="27"/>
      <c r="O9" s="27"/>
      <c r="P9" s="27"/>
      <c r="Q9" s="27"/>
      <c r="R9" s="27"/>
      <c r="S9" s="27"/>
      <c r="T9" s="27"/>
      <c r="U9" s="27"/>
      <c r="V9" s="27"/>
      <c r="W9" s="27"/>
      <c r="X9" s="27"/>
      <c r="Y9" s="27"/>
      <c r="Z9" s="27"/>
    </row>
    <row r="10" spans="1:26">
      <c r="A10" s="21" t="s">
        <v>246</v>
      </c>
      <c r="B10" s="21" t="s">
        <v>247</v>
      </c>
      <c r="C10" s="21" t="s">
        <v>53</v>
      </c>
      <c r="D10" s="470"/>
      <c r="E10" s="27"/>
      <c r="F10" s="27"/>
      <c r="G10" s="27"/>
      <c r="H10" s="27"/>
      <c r="I10" s="27"/>
      <c r="J10" s="27"/>
      <c r="K10" s="27"/>
      <c r="L10" s="27"/>
      <c r="M10" s="27"/>
      <c r="N10" s="27"/>
      <c r="O10" s="27"/>
      <c r="P10" s="27"/>
      <c r="Q10" s="27"/>
      <c r="R10" s="27"/>
      <c r="S10" s="27"/>
      <c r="T10" s="27"/>
      <c r="U10" s="27"/>
      <c r="V10" s="27"/>
      <c r="W10" s="27"/>
      <c r="X10" s="27"/>
      <c r="Y10" s="27"/>
      <c r="Z10" s="27"/>
    </row>
    <row r="11" spans="1:26">
      <c r="A11" s="21" t="s">
        <v>248</v>
      </c>
      <c r="B11" s="21" t="s">
        <v>249</v>
      </c>
      <c r="C11" s="21" t="s">
        <v>53</v>
      </c>
      <c r="D11" s="470"/>
      <c r="E11" s="27"/>
      <c r="F11" s="27"/>
      <c r="G11" s="27"/>
      <c r="H11" s="27"/>
      <c r="I11" s="27"/>
      <c r="J11" s="27"/>
      <c r="K11" s="27"/>
      <c r="L11" s="27"/>
      <c r="M11" s="27"/>
      <c r="N11" s="27"/>
      <c r="O11" s="27"/>
      <c r="P11" s="27"/>
      <c r="Q11" s="27"/>
      <c r="R11" s="27"/>
      <c r="S11" s="27"/>
      <c r="T11" s="27"/>
      <c r="U11" s="27"/>
      <c r="V11" s="27"/>
      <c r="W11" s="27"/>
      <c r="X11" s="27"/>
      <c r="Y11" s="27"/>
      <c r="Z11" s="27"/>
    </row>
    <row r="12" spans="1:26">
      <c r="A12" s="21" t="s">
        <v>250</v>
      </c>
      <c r="B12" s="21" t="s">
        <v>251</v>
      </c>
      <c r="C12" s="21" t="s">
        <v>53</v>
      </c>
      <c r="D12" s="470"/>
      <c r="E12" s="27"/>
      <c r="F12" s="27"/>
      <c r="G12" s="27"/>
      <c r="H12" s="27"/>
      <c r="I12" s="27"/>
      <c r="J12" s="27"/>
      <c r="K12" s="27"/>
      <c r="L12" s="27"/>
      <c r="M12" s="27"/>
      <c r="N12" s="27"/>
      <c r="O12" s="27"/>
      <c r="P12" s="27"/>
      <c r="Q12" s="27"/>
      <c r="R12" s="27"/>
      <c r="S12" s="27"/>
      <c r="T12" s="27"/>
      <c r="U12" s="27"/>
      <c r="V12" s="27"/>
      <c r="W12" s="27"/>
      <c r="X12" s="27"/>
      <c r="Y12" s="27"/>
      <c r="Z12" s="27"/>
    </row>
    <row r="13" spans="1:26">
      <c r="A13" s="21" t="s">
        <v>252</v>
      </c>
      <c r="B13" s="21" t="s">
        <v>253</v>
      </c>
      <c r="C13" s="21" t="s">
        <v>12</v>
      </c>
      <c r="D13" s="802" t="str">
        <f>HYPERLINK("#'P-Lote'!A15", 'P-Lote'!A15)</f>
        <v>P-LOT-011</v>
      </c>
      <c r="E13" s="27"/>
      <c r="F13" s="27"/>
      <c r="G13" s="27"/>
      <c r="H13" s="27"/>
      <c r="I13" s="27"/>
      <c r="J13" s="27"/>
      <c r="K13" s="27"/>
      <c r="L13" s="27"/>
      <c r="M13" s="27"/>
      <c r="N13" s="27"/>
      <c r="O13" s="27"/>
      <c r="P13" s="27"/>
      <c r="Q13" s="27"/>
      <c r="R13" s="27"/>
      <c r="S13" s="27"/>
      <c r="T13" s="27"/>
      <c r="U13" s="27"/>
      <c r="V13" s="27"/>
      <c r="W13" s="27"/>
      <c r="X13" s="27"/>
      <c r="Y13" s="27"/>
      <c r="Z13" s="27"/>
    </row>
    <row r="14" spans="1:26">
      <c r="A14" s="21" t="s">
        <v>1723</v>
      </c>
      <c r="B14" s="21" t="s">
        <v>1724</v>
      </c>
      <c r="C14" s="21" t="s">
        <v>10</v>
      </c>
      <c r="D14" s="802" t="str">
        <f>HYPERLINK("#'P-TipoMovimiento'!A5", 'P-TipoMovimiento'!A5)</f>
        <v>P-TMV-001</v>
      </c>
      <c r="E14" s="27"/>
      <c r="F14" s="27"/>
      <c r="G14" s="27"/>
      <c r="H14" s="27"/>
      <c r="I14" s="27"/>
      <c r="J14" s="27"/>
      <c r="K14" s="27"/>
      <c r="L14" s="27"/>
      <c r="M14" s="27"/>
      <c r="N14" s="27"/>
      <c r="O14" s="27"/>
      <c r="P14" s="27"/>
      <c r="Q14" s="27"/>
      <c r="R14" s="27"/>
      <c r="S14" s="27"/>
      <c r="T14" s="27"/>
      <c r="U14" s="27"/>
      <c r="V14" s="27"/>
      <c r="W14" s="27"/>
      <c r="X14" s="27"/>
      <c r="Y14" s="27"/>
      <c r="Z14" s="27"/>
    </row>
    <row r="15" spans="1:26">
      <c r="A15" s="21" t="s">
        <v>1725</v>
      </c>
      <c r="B15" s="21" t="s">
        <v>1726</v>
      </c>
      <c r="C15" s="21" t="s">
        <v>195</v>
      </c>
      <c r="D15" s="802" t="str">
        <f>HYPERLINK("#'P-MovimientoInventario'!A16", 'P-MovimientoInventario'!A16)</f>
        <v>P-MI-012</v>
      </c>
      <c r="E15" s="27"/>
      <c r="F15" s="27"/>
      <c r="G15" s="27"/>
      <c r="H15" s="27"/>
      <c r="I15" s="27"/>
      <c r="J15" s="27"/>
      <c r="K15" s="27"/>
      <c r="L15" s="27"/>
      <c r="M15" s="27"/>
      <c r="N15" s="27"/>
      <c r="O15" s="27"/>
      <c r="P15" s="27"/>
      <c r="Q15" s="27"/>
      <c r="R15" s="27"/>
      <c r="S15" s="27"/>
      <c r="T15" s="27"/>
      <c r="U15" s="27"/>
      <c r="V15" s="27"/>
      <c r="W15" s="27"/>
      <c r="X15" s="27"/>
      <c r="Y15" s="27"/>
      <c r="Z15" s="27"/>
    </row>
    <row r="16" spans="1:26">
      <c r="A16" s="27"/>
      <c r="B16" s="27"/>
      <c r="C16" s="27"/>
      <c r="D16" s="73"/>
      <c r="E16" s="27"/>
      <c r="F16" s="27"/>
      <c r="G16" s="27"/>
      <c r="H16" s="27"/>
      <c r="I16" s="27"/>
      <c r="J16" s="27"/>
      <c r="K16" s="27"/>
      <c r="L16" s="27"/>
      <c r="M16" s="27"/>
      <c r="N16" s="27"/>
      <c r="O16" s="27"/>
      <c r="P16" s="27"/>
      <c r="Q16" s="27"/>
      <c r="R16" s="27"/>
      <c r="S16" s="27"/>
      <c r="T16" s="27"/>
      <c r="U16" s="27"/>
      <c r="V16" s="27"/>
      <c r="W16" s="27"/>
      <c r="X16" s="27"/>
      <c r="Y16" s="27"/>
      <c r="Z16" s="27"/>
    </row>
    <row r="17" spans="1:26">
      <c r="A17" s="27"/>
      <c r="B17" s="27"/>
      <c r="C17" s="27"/>
      <c r="D17" s="73"/>
      <c r="E17" s="27"/>
      <c r="F17" s="27"/>
      <c r="G17" s="27"/>
      <c r="H17" s="27"/>
      <c r="I17" s="27"/>
      <c r="J17" s="27"/>
      <c r="K17" s="27"/>
      <c r="L17" s="27"/>
      <c r="M17" s="27"/>
      <c r="N17" s="27"/>
      <c r="O17" s="27"/>
      <c r="P17" s="27"/>
      <c r="Q17" s="27"/>
      <c r="R17" s="27"/>
      <c r="S17" s="27"/>
      <c r="T17" s="27"/>
      <c r="U17" s="27"/>
      <c r="V17" s="27"/>
      <c r="W17" s="27"/>
      <c r="X17" s="27"/>
      <c r="Y17" s="27"/>
      <c r="Z17" s="27"/>
    </row>
    <row r="18" spans="1:26">
      <c r="A18" s="27"/>
      <c r="B18" s="27"/>
      <c r="C18" s="27"/>
      <c r="D18" s="73"/>
      <c r="E18" s="27"/>
      <c r="F18" s="27"/>
      <c r="G18" s="27"/>
      <c r="H18" s="27"/>
      <c r="I18" s="27"/>
      <c r="J18" s="27"/>
      <c r="K18" s="27"/>
      <c r="L18" s="27"/>
      <c r="M18" s="27"/>
      <c r="N18" s="27"/>
      <c r="O18" s="27"/>
      <c r="P18" s="27"/>
      <c r="Q18" s="27"/>
      <c r="R18" s="27"/>
      <c r="S18" s="27"/>
      <c r="T18" s="27"/>
      <c r="U18" s="27"/>
      <c r="V18" s="27"/>
      <c r="W18" s="27"/>
      <c r="X18" s="27"/>
      <c r="Y18" s="27"/>
      <c r="Z18" s="27"/>
    </row>
    <row r="19" spans="1:26">
      <c r="A19" s="27"/>
      <c r="B19" s="27"/>
      <c r="C19" s="27"/>
      <c r="D19" s="73"/>
      <c r="E19" s="27"/>
      <c r="F19" s="27"/>
      <c r="G19" s="27"/>
      <c r="H19" s="27"/>
      <c r="I19" s="27"/>
      <c r="J19" s="27"/>
      <c r="K19" s="27"/>
      <c r="L19" s="27"/>
      <c r="M19" s="27"/>
      <c r="N19" s="27"/>
      <c r="O19" s="27"/>
      <c r="P19" s="27"/>
      <c r="Q19" s="27"/>
      <c r="R19" s="27"/>
      <c r="S19" s="27"/>
      <c r="T19" s="27"/>
      <c r="U19" s="27"/>
      <c r="V19" s="27"/>
      <c r="W19" s="27"/>
      <c r="X19" s="27"/>
      <c r="Y19" s="27"/>
      <c r="Z19" s="27"/>
    </row>
    <row r="20" spans="1:26">
      <c r="A20" s="27"/>
      <c r="B20" s="27"/>
      <c r="C20" s="27"/>
      <c r="D20" s="73"/>
      <c r="E20" s="27"/>
      <c r="F20" s="27"/>
      <c r="G20" s="27"/>
      <c r="H20" s="27"/>
      <c r="I20" s="27"/>
      <c r="J20" s="27"/>
      <c r="K20" s="27"/>
      <c r="L20" s="27"/>
      <c r="M20" s="27"/>
      <c r="N20" s="27"/>
      <c r="O20" s="27"/>
      <c r="P20" s="27"/>
      <c r="Q20" s="27"/>
      <c r="R20" s="27"/>
      <c r="S20" s="27"/>
      <c r="T20" s="27"/>
      <c r="U20" s="27"/>
      <c r="V20" s="27"/>
      <c r="W20" s="27"/>
      <c r="X20" s="27"/>
      <c r="Y20" s="27"/>
      <c r="Z20" s="27"/>
    </row>
    <row r="21" spans="1:26">
      <c r="A21" s="27"/>
      <c r="B21" s="27"/>
      <c r="C21" s="27"/>
      <c r="D21" s="73"/>
      <c r="E21" s="27"/>
      <c r="F21" s="27"/>
      <c r="G21" s="27"/>
      <c r="H21" s="27"/>
      <c r="I21" s="27"/>
      <c r="J21" s="27"/>
      <c r="K21" s="27"/>
      <c r="L21" s="27"/>
      <c r="M21" s="27"/>
      <c r="N21" s="27"/>
      <c r="O21" s="27"/>
      <c r="P21" s="27"/>
      <c r="Q21" s="27"/>
      <c r="R21" s="27"/>
      <c r="S21" s="27"/>
      <c r="T21" s="27"/>
      <c r="U21" s="27"/>
      <c r="V21" s="27"/>
      <c r="W21" s="27"/>
      <c r="X21" s="27"/>
      <c r="Y21" s="27"/>
      <c r="Z21" s="27"/>
    </row>
    <row r="22" spans="1:26">
      <c r="A22" s="27"/>
      <c r="B22" s="27"/>
      <c r="C22" s="27"/>
      <c r="D22" s="73"/>
      <c r="E22" s="27"/>
      <c r="F22" s="27"/>
      <c r="G22" s="27"/>
      <c r="H22" s="27"/>
      <c r="I22" s="27"/>
      <c r="J22" s="27"/>
      <c r="K22" s="27"/>
      <c r="L22" s="27"/>
      <c r="M22" s="27"/>
      <c r="N22" s="27"/>
      <c r="O22" s="27"/>
      <c r="P22" s="27"/>
      <c r="Q22" s="27"/>
      <c r="R22" s="27"/>
      <c r="S22" s="27"/>
      <c r="T22" s="27"/>
      <c r="U22" s="27"/>
      <c r="V22" s="27"/>
      <c r="W22" s="27"/>
      <c r="X22" s="27"/>
      <c r="Y22" s="27"/>
      <c r="Z22" s="27"/>
    </row>
    <row r="23" spans="1:26">
      <c r="A23" s="27"/>
      <c r="B23" s="27"/>
      <c r="C23" s="27"/>
      <c r="D23" s="73"/>
      <c r="E23" s="27"/>
      <c r="F23" s="27"/>
      <c r="G23" s="27"/>
      <c r="H23" s="27"/>
      <c r="I23" s="27"/>
      <c r="J23" s="27"/>
      <c r="K23" s="27"/>
      <c r="L23" s="27"/>
      <c r="M23" s="27"/>
      <c r="N23" s="27"/>
      <c r="O23" s="27"/>
      <c r="P23" s="27"/>
      <c r="Q23" s="27"/>
      <c r="R23" s="27"/>
      <c r="S23" s="27"/>
      <c r="T23" s="27"/>
      <c r="U23" s="27"/>
      <c r="V23" s="27"/>
      <c r="W23" s="27"/>
      <c r="X23" s="27"/>
      <c r="Y23" s="27"/>
      <c r="Z23" s="27"/>
    </row>
    <row r="24" spans="1:26">
      <c r="A24" s="27"/>
      <c r="B24" s="27"/>
      <c r="C24" s="27"/>
      <c r="D24" s="73"/>
      <c r="E24" s="27"/>
      <c r="F24" s="27"/>
      <c r="G24" s="27"/>
      <c r="H24" s="27"/>
      <c r="I24" s="27"/>
      <c r="J24" s="27"/>
      <c r="K24" s="27"/>
      <c r="L24" s="27"/>
      <c r="M24" s="27"/>
      <c r="N24" s="27"/>
      <c r="O24" s="27"/>
      <c r="P24" s="27"/>
      <c r="Q24" s="27"/>
      <c r="R24" s="27"/>
      <c r="S24" s="27"/>
      <c r="T24" s="27"/>
      <c r="U24" s="27"/>
      <c r="V24" s="27"/>
      <c r="W24" s="27"/>
      <c r="X24" s="27"/>
      <c r="Y24" s="27"/>
      <c r="Z24" s="27"/>
    </row>
    <row r="25" spans="1:26">
      <c r="A25" s="27"/>
      <c r="B25" s="27"/>
      <c r="C25" s="27"/>
      <c r="D25" s="73"/>
      <c r="E25" s="27"/>
      <c r="F25" s="27"/>
      <c r="G25" s="27"/>
      <c r="H25" s="27"/>
      <c r="I25" s="27"/>
      <c r="J25" s="27"/>
      <c r="K25" s="27"/>
      <c r="L25" s="27"/>
      <c r="M25" s="27"/>
      <c r="N25" s="27"/>
      <c r="O25" s="27"/>
      <c r="P25" s="27"/>
      <c r="Q25" s="27"/>
      <c r="R25" s="27"/>
      <c r="S25" s="27"/>
      <c r="T25" s="27"/>
      <c r="U25" s="27"/>
      <c r="V25" s="27"/>
      <c r="W25" s="27"/>
      <c r="X25" s="27"/>
      <c r="Y25" s="27"/>
      <c r="Z25" s="27"/>
    </row>
    <row r="26" spans="1:26">
      <c r="A26" s="27"/>
      <c r="B26" s="27"/>
      <c r="C26" s="27"/>
      <c r="D26" s="73"/>
      <c r="E26" s="27"/>
      <c r="F26" s="27"/>
      <c r="G26" s="27"/>
      <c r="H26" s="27"/>
      <c r="I26" s="27"/>
      <c r="J26" s="27"/>
      <c r="K26" s="27"/>
      <c r="L26" s="27"/>
      <c r="M26" s="27"/>
      <c r="N26" s="27"/>
      <c r="O26" s="27"/>
      <c r="P26" s="27"/>
      <c r="Q26" s="27"/>
      <c r="R26" s="27"/>
      <c r="S26" s="27"/>
      <c r="T26" s="27"/>
      <c r="U26" s="27"/>
      <c r="V26" s="27"/>
      <c r="W26" s="27"/>
      <c r="X26" s="27"/>
      <c r="Y26" s="27"/>
      <c r="Z26" s="27"/>
    </row>
    <row r="27" spans="1:26">
      <c r="A27" s="27"/>
      <c r="B27" s="27"/>
      <c r="C27" s="27"/>
      <c r="D27" s="73"/>
      <c r="E27" s="27"/>
      <c r="F27" s="27"/>
      <c r="G27" s="27"/>
      <c r="H27" s="27"/>
      <c r="I27" s="27"/>
      <c r="J27" s="27"/>
      <c r="K27" s="27"/>
      <c r="L27" s="27"/>
      <c r="M27" s="27"/>
      <c r="N27" s="27"/>
      <c r="O27" s="27"/>
      <c r="P27" s="27"/>
      <c r="Q27" s="27"/>
      <c r="R27" s="27"/>
      <c r="S27" s="27"/>
      <c r="T27" s="27"/>
      <c r="U27" s="27"/>
      <c r="V27" s="27"/>
      <c r="W27" s="27"/>
      <c r="X27" s="27"/>
      <c r="Y27" s="27"/>
      <c r="Z27" s="27"/>
    </row>
    <row r="28" spans="1:26">
      <c r="A28" s="27"/>
      <c r="B28" s="27"/>
      <c r="C28" s="27"/>
      <c r="D28" s="73"/>
      <c r="E28" s="27"/>
      <c r="F28" s="27"/>
      <c r="G28" s="27"/>
      <c r="H28" s="27"/>
      <c r="I28" s="27"/>
      <c r="J28" s="27"/>
      <c r="K28" s="27"/>
      <c r="L28" s="27"/>
      <c r="M28" s="27"/>
      <c r="N28" s="27"/>
      <c r="O28" s="27"/>
      <c r="P28" s="27"/>
      <c r="Q28" s="27"/>
      <c r="R28" s="27"/>
      <c r="S28" s="27"/>
      <c r="T28" s="27"/>
      <c r="U28" s="27"/>
      <c r="V28" s="27"/>
      <c r="W28" s="27"/>
      <c r="X28" s="27"/>
      <c r="Y28" s="27"/>
      <c r="Z28" s="27"/>
    </row>
    <row r="29" spans="1:26">
      <c r="A29" s="27"/>
      <c r="B29" s="27"/>
      <c r="C29" s="27"/>
      <c r="D29" s="73"/>
      <c r="E29" s="27"/>
      <c r="F29" s="27"/>
      <c r="G29" s="27"/>
      <c r="H29" s="27"/>
      <c r="I29" s="27"/>
      <c r="J29" s="27"/>
      <c r="K29" s="27"/>
      <c r="L29" s="27"/>
      <c r="M29" s="27"/>
      <c r="N29" s="27"/>
      <c r="O29" s="27"/>
      <c r="P29" s="27"/>
      <c r="Q29" s="27"/>
      <c r="R29" s="27"/>
      <c r="S29" s="27"/>
      <c r="T29" s="27"/>
      <c r="U29" s="27"/>
      <c r="V29" s="27"/>
      <c r="W29" s="27"/>
      <c r="X29" s="27"/>
      <c r="Y29" s="27"/>
      <c r="Z29" s="27"/>
    </row>
    <row r="30" spans="1:26">
      <c r="A30" s="27"/>
      <c r="B30" s="27"/>
      <c r="C30" s="27"/>
      <c r="D30" s="73"/>
      <c r="E30" s="27"/>
      <c r="F30" s="27"/>
      <c r="G30" s="27"/>
      <c r="H30" s="27"/>
      <c r="I30" s="27"/>
      <c r="J30" s="27"/>
      <c r="K30" s="27"/>
      <c r="L30" s="27"/>
      <c r="M30" s="27"/>
      <c r="N30" s="27"/>
      <c r="O30" s="27"/>
      <c r="P30" s="27"/>
      <c r="Q30" s="27"/>
      <c r="R30" s="27"/>
      <c r="S30" s="27"/>
      <c r="T30" s="27"/>
      <c r="U30" s="27"/>
      <c r="V30" s="27"/>
      <c r="W30" s="27"/>
      <c r="X30" s="27"/>
      <c r="Y30" s="27"/>
      <c r="Z30" s="27"/>
    </row>
    <row r="31" spans="1:26">
      <c r="A31" s="27"/>
      <c r="B31" s="27"/>
      <c r="C31" s="27"/>
      <c r="D31" s="73"/>
      <c r="E31" s="27"/>
      <c r="F31" s="27"/>
      <c r="G31" s="27"/>
      <c r="H31" s="27"/>
      <c r="I31" s="27"/>
      <c r="J31" s="27"/>
      <c r="K31" s="27"/>
      <c r="L31" s="27"/>
      <c r="M31" s="27"/>
      <c r="N31" s="27"/>
      <c r="O31" s="27"/>
      <c r="P31" s="27"/>
      <c r="Q31" s="27"/>
      <c r="R31" s="27"/>
      <c r="S31" s="27"/>
      <c r="T31" s="27"/>
      <c r="U31" s="27"/>
      <c r="V31" s="27"/>
      <c r="W31" s="27"/>
      <c r="X31" s="27"/>
      <c r="Y31" s="27"/>
      <c r="Z31" s="27"/>
    </row>
    <row r="32" spans="1:26">
      <c r="A32" s="27"/>
      <c r="B32" s="27"/>
      <c r="C32" s="27"/>
      <c r="D32" s="73"/>
      <c r="E32" s="27"/>
      <c r="F32" s="27"/>
      <c r="G32" s="27"/>
      <c r="H32" s="27"/>
      <c r="I32" s="27"/>
      <c r="J32" s="27"/>
      <c r="K32" s="27"/>
      <c r="L32" s="27"/>
      <c r="M32" s="27"/>
      <c r="N32" s="27"/>
      <c r="O32" s="27"/>
      <c r="P32" s="27"/>
      <c r="Q32" s="27"/>
      <c r="R32" s="27"/>
      <c r="S32" s="27"/>
      <c r="T32" s="27"/>
      <c r="U32" s="27"/>
      <c r="V32" s="27"/>
      <c r="W32" s="27"/>
      <c r="X32" s="27"/>
      <c r="Y32" s="27"/>
      <c r="Z32" s="27"/>
    </row>
    <row r="33" spans="1:26">
      <c r="A33" s="27"/>
      <c r="B33" s="27"/>
      <c r="C33" s="27"/>
      <c r="D33" s="73"/>
      <c r="E33" s="27"/>
      <c r="F33" s="27"/>
      <c r="G33" s="27"/>
      <c r="H33" s="27"/>
      <c r="I33" s="27"/>
      <c r="J33" s="27"/>
      <c r="K33" s="27"/>
      <c r="L33" s="27"/>
      <c r="M33" s="27"/>
      <c r="N33" s="27"/>
      <c r="O33" s="27"/>
      <c r="P33" s="27"/>
      <c r="Q33" s="27"/>
      <c r="R33" s="27"/>
      <c r="S33" s="27"/>
      <c r="T33" s="27"/>
      <c r="U33" s="27"/>
      <c r="V33" s="27"/>
      <c r="W33" s="27"/>
      <c r="X33" s="27"/>
      <c r="Y33" s="27"/>
      <c r="Z33" s="27"/>
    </row>
    <row r="34" spans="1:26">
      <c r="A34" s="27"/>
      <c r="B34" s="27"/>
      <c r="C34" s="27"/>
      <c r="D34" s="73"/>
      <c r="E34" s="27"/>
      <c r="F34" s="27"/>
      <c r="G34" s="27"/>
      <c r="H34" s="27"/>
      <c r="I34" s="27"/>
      <c r="J34" s="27"/>
      <c r="K34" s="27"/>
      <c r="L34" s="27"/>
      <c r="M34" s="27"/>
      <c r="N34" s="27"/>
      <c r="O34" s="27"/>
      <c r="P34" s="27"/>
      <c r="Q34" s="27"/>
      <c r="R34" s="27"/>
      <c r="S34" s="27"/>
      <c r="T34" s="27"/>
      <c r="U34" s="27"/>
      <c r="V34" s="27"/>
      <c r="W34" s="27"/>
      <c r="X34" s="27"/>
      <c r="Y34" s="27"/>
      <c r="Z34" s="27"/>
    </row>
    <row r="35" spans="1:26">
      <c r="A35" s="27"/>
      <c r="B35" s="27"/>
      <c r="C35" s="27"/>
      <c r="D35" s="73"/>
      <c r="E35" s="27"/>
      <c r="F35" s="27"/>
      <c r="G35" s="27"/>
      <c r="H35" s="27"/>
      <c r="I35" s="27"/>
      <c r="J35" s="27"/>
      <c r="K35" s="27"/>
      <c r="L35" s="27"/>
      <c r="M35" s="27"/>
      <c r="N35" s="27"/>
      <c r="O35" s="27"/>
      <c r="P35" s="27"/>
      <c r="Q35" s="27"/>
      <c r="R35" s="27"/>
      <c r="S35" s="27"/>
      <c r="T35" s="27"/>
      <c r="U35" s="27"/>
      <c r="V35" s="27"/>
      <c r="W35" s="27"/>
      <c r="X35" s="27"/>
      <c r="Y35" s="27"/>
      <c r="Z35" s="27"/>
    </row>
    <row r="36" spans="1:26">
      <c r="A36" s="27"/>
      <c r="B36" s="27"/>
      <c r="C36" s="27"/>
      <c r="D36" s="73"/>
      <c r="E36" s="27"/>
      <c r="F36" s="27"/>
      <c r="G36" s="27"/>
      <c r="H36" s="27"/>
      <c r="I36" s="27"/>
      <c r="J36" s="27"/>
      <c r="K36" s="27"/>
      <c r="L36" s="27"/>
      <c r="M36" s="27"/>
      <c r="N36" s="27"/>
      <c r="O36" s="27"/>
      <c r="P36" s="27"/>
      <c r="Q36" s="27"/>
      <c r="R36" s="27"/>
      <c r="S36" s="27"/>
      <c r="T36" s="27"/>
      <c r="U36" s="27"/>
      <c r="V36" s="27"/>
      <c r="W36" s="27"/>
      <c r="X36" s="27"/>
      <c r="Y36" s="27"/>
      <c r="Z36" s="27"/>
    </row>
    <row r="37" spans="1:26">
      <c r="A37" s="27"/>
      <c r="B37" s="27"/>
      <c r="C37" s="27"/>
      <c r="D37" s="73"/>
      <c r="E37" s="27"/>
      <c r="F37" s="27"/>
      <c r="G37" s="27"/>
      <c r="H37" s="27"/>
      <c r="I37" s="27"/>
      <c r="J37" s="27"/>
      <c r="K37" s="27"/>
      <c r="L37" s="27"/>
      <c r="M37" s="27"/>
      <c r="N37" s="27"/>
      <c r="O37" s="27"/>
      <c r="P37" s="27"/>
      <c r="Q37" s="27"/>
      <c r="R37" s="27"/>
      <c r="S37" s="27"/>
      <c r="T37" s="27"/>
      <c r="U37" s="27"/>
      <c r="V37" s="27"/>
      <c r="W37" s="27"/>
      <c r="X37" s="27"/>
      <c r="Y37" s="27"/>
      <c r="Z37" s="27"/>
    </row>
    <row r="38" spans="1:26">
      <c r="A38" s="27"/>
      <c r="B38" s="27"/>
      <c r="C38" s="27"/>
      <c r="D38" s="73"/>
      <c r="E38" s="27"/>
      <c r="F38" s="27"/>
      <c r="G38" s="27"/>
      <c r="H38" s="27"/>
      <c r="I38" s="27"/>
      <c r="J38" s="27"/>
      <c r="K38" s="27"/>
      <c r="L38" s="27"/>
      <c r="M38" s="27"/>
      <c r="N38" s="27"/>
      <c r="O38" s="27"/>
      <c r="P38" s="27"/>
      <c r="Q38" s="27"/>
      <c r="R38" s="27"/>
      <c r="S38" s="27"/>
      <c r="T38" s="27"/>
      <c r="U38" s="27"/>
      <c r="V38" s="27"/>
      <c r="W38" s="27"/>
      <c r="X38" s="27"/>
      <c r="Y38" s="27"/>
      <c r="Z38" s="27"/>
    </row>
    <row r="39" spans="1:26">
      <c r="A39" s="27"/>
      <c r="B39" s="27"/>
      <c r="C39" s="27"/>
      <c r="D39" s="73"/>
      <c r="E39" s="27"/>
      <c r="F39" s="27"/>
      <c r="G39" s="27"/>
      <c r="H39" s="27"/>
      <c r="I39" s="27"/>
      <c r="J39" s="27"/>
      <c r="K39" s="27"/>
      <c r="L39" s="27"/>
      <c r="M39" s="27"/>
      <c r="N39" s="27"/>
      <c r="O39" s="27"/>
      <c r="P39" s="27"/>
      <c r="Q39" s="27"/>
      <c r="R39" s="27"/>
      <c r="S39" s="27"/>
      <c r="T39" s="27"/>
      <c r="U39" s="27"/>
      <c r="V39" s="27"/>
      <c r="W39" s="27"/>
      <c r="X39" s="27"/>
      <c r="Y39" s="27"/>
      <c r="Z39" s="27"/>
    </row>
    <row r="40" spans="1:26">
      <c r="A40" s="27"/>
      <c r="B40" s="27"/>
      <c r="C40" s="27"/>
      <c r="D40" s="73"/>
      <c r="E40" s="27"/>
      <c r="F40" s="27"/>
      <c r="G40" s="27"/>
      <c r="H40" s="27"/>
      <c r="I40" s="27"/>
      <c r="J40" s="27"/>
      <c r="K40" s="27"/>
      <c r="L40" s="27"/>
      <c r="M40" s="27"/>
      <c r="N40" s="27"/>
      <c r="O40" s="27"/>
      <c r="P40" s="27"/>
      <c r="Q40" s="27"/>
      <c r="R40" s="27"/>
      <c r="S40" s="27"/>
      <c r="T40" s="27"/>
      <c r="U40" s="27"/>
      <c r="V40" s="27"/>
      <c r="W40" s="27"/>
      <c r="X40" s="27"/>
      <c r="Y40" s="27"/>
      <c r="Z40" s="27"/>
    </row>
    <row r="41" spans="1:26">
      <c r="A41" s="27"/>
      <c r="B41" s="27"/>
      <c r="C41" s="27"/>
      <c r="D41" s="73"/>
      <c r="E41" s="27"/>
      <c r="F41" s="27"/>
      <c r="G41" s="27"/>
      <c r="H41" s="27"/>
      <c r="I41" s="27"/>
      <c r="J41" s="27"/>
      <c r="K41" s="27"/>
      <c r="L41" s="27"/>
      <c r="M41" s="27"/>
      <c r="N41" s="27"/>
      <c r="O41" s="27"/>
      <c r="P41" s="27"/>
      <c r="Q41" s="27"/>
      <c r="R41" s="27"/>
      <c r="S41" s="27"/>
      <c r="T41" s="27"/>
      <c r="U41" s="27"/>
      <c r="V41" s="27"/>
      <c r="W41" s="27"/>
      <c r="X41" s="27"/>
      <c r="Y41" s="27"/>
      <c r="Z41" s="27"/>
    </row>
    <row r="42" spans="1:26">
      <c r="A42" s="27"/>
      <c r="B42" s="27"/>
      <c r="C42" s="27"/>
      <c r="D42" s="73"/>
      <c r="E42" s="27"/>
      <c r="F42" s="27"/>
      <c r="G42" s="27"/>
      <c r="H42" s="27"/>
      <c r="I42" s="27"/>
      <c r="J42" s="27"/>
      <c r="K42" s="27"/>
      <c r="L42" s="27"/>
      <c r="M42" s="27"/>
      <c r="N42" s="27"/>
      <c r="O42" s="27"/>
      <c r="P42" s="27"/>
      <c r="Q42" s="27"/>
      <c r="R42" s="27"/>
      <c r="S42" s="27"/>
      <c r="T42" s="27"/>
      <c r="U42" s="27"/>
      <c r="V42" s="27"/>
      <c r="W42" s="27"/>
      <c r="X42" s="27"/>
      <c r="Y42" s="27"/>
      <c r="Z42" s="27"/>
    </row>
    <row r="43" spans="1:26">
      <c r="A43" s="27"/>
      <c r="B43" s="27"/>
      <c r="C43" s="27"/>
      <c r="D43" s="73"/>
      <c r="E43" s="27"/>
      <c r="F43" s="27"/>
      <c r="G43" s="27"/>
      <c r="H43" s="27"/>
      <c r="I43" s="27"/>
      <c r="J43" s="27"/>
      <c r="K43" s="27"/>
      <c r="L43" s="27"/>
      <c r="M43" s="27"/>
      <c r="N43" s="27"/>
      <c r="O43" s="27"/>
      <c r="P43" s="27"/>
      <c r="Q43" s="27"/>
      <c r="R43" s="27"/>
      <c r="S43" s="27"/>
      <c r="T43" s="27"/>
      <c r="U43" s="27"/>
      <c r="V43" s="27"/>
      <c r="W43" s="27"/>
      <c r="X43" s="27"/>
      <c r="Y43" s="27"/>
      <c r="Z43" s="27"/>
    </row>
    <row r="44" spans="1:26">
      <c r="A44" s="27"/>
      <c r="B44" s="27"/>
      <c r="C44" s="27"/>
      <c r="D44" s="73"/>
      <c r="E44" s="27"/>
      <c r="F44" s="27"/>
      <c r="G44" s="27"/>
      <c r="H44" s="27"/>
      <c r="I44" s="27"/>
      <c r="J44" s="27"/>
      <c r="K44" s="27"/>
      <c r="L44" s="27"/>
      <c r="M44" s="27"/>
      <c r="N44" s="27"/>
      <c r="O44" s="27"/>
      <c r="P44" s="27"/>
      <c r="Q44" s="27"/>
      <c r="R44" s="27"/>
      <c r="S44" s="27"/>
      <c r="T44" s="27"/>
      <c r="U44" s="27"/>
      <c r="V44" s="27"/>
      <c r="W44" s="27"/>
      <c r="X44" s="27"/>
      <c r="Y44" s="27"/>
      <c r="Z44" s="27"/>
    </row>
    <row r="45" spans="1:26">
      <c r="A45" s="27"/>
      <c r="B45" s="27"/>
      <c r="C45" s="27"/>
      <c r="D45" s="73"/>
      <c r="E45" s="27"/>
      <c r="F45" s="27"/>
      <c r="G45" s="27"/>
      <c r="H45" s="27"/>
      <c r="I45" s="27"/>
      <c r="J45" s="27"/>
      <c r="K45" s="27"/>
      <c r="L45" s="27"/>
      <c r="M45" s="27"/>
      <c r="N45" s="27"/>
      <c r="O45" s="27"/>
      <c r="P45" s="27"/>
      <c r="Q45" s="27"/>
      <c r="R45" s="27"/>
      <c r="S45" s="27"/>
      <c r="T45" s="27"/>
      <c r="U45" s="27"/>
      <c r="V45" s="27"/>
      <c r="W45" s="27"/>
      <c r="X45" s="27"/>
      <c r="Y45" s="27"/>
      <c r="Z45" s="27"/>
    </row>
    <row r="46" spans="1:26">
      <c r="A46" s="27"/>
      <c r="B46" s="27"/>
      <c r="C46" s="27"/>
      <c r="D46" s="73"/>
      <c r="E46" s="27"/>
      <c r="F46" s="27"/>
      <c r="G46" s="27"/>
      <c r="H46" s="27"/>
      <c r="I46" s="27"/>
      <c r="J46" s="27"/>
      <c r="K46" s="27"/>
      <c r="L46" s="27"/>
      <c r="M46" s="27"/>
      <c r="N46" s="27"/>
      <c r="O46" s="27"/>
      <c r="P46" s="27"/>
      <c r="Q46" s="27"/>
      <c r="R46" s="27"/>
      <c r="S46" s="27"/>
      <c r="T46" s="27"/>
      <c r="U46" s="27"/>
      <c r="V46" s="27"/>
      <c r="W46" s="27"/>
      <c r="X46" s="27"/>
      <c r="Y46" s="27"/>
      <c r="Z46" s="27"/>
    </row>
    <row r="47" spans="1:26">
      <c r="A47" s="27"/>
      <c r="B47" s="27"/>
      <c r="C47" s="27"/>
      <c r="D47" s="73"/>
      <c r="E47" s="27"/>
      <c r="F47" s="27"/>
      <c r="G47" s="27"/>
      <c r="H47" s="27"/>
      <c r="I47" s="27"/>
      <c r="J47" s="27"/>
      <c r="K47" s="27"/>
      <c r="L47" s="27"/>
      <c r="M47" s="27"/>
      <c r="N47" s="27"/>
      <c r="O47" s="27"/>
      <c r="P47" s="27"/>
      <c r="Q47" s="27"/>
      <c r="R47" s="27"/>
      <c r="S47" s="27"/>
      <c r="T47" s="27"/>
      <c r="U47" s="27"/>
      <c r="V47" s="27"/>
      <c r="W47" s="27"/>
      <c r="X47" s="27"/>
      <c r="Y47" s="27"/>
      <c r="Z47" s="27"/>
    </row>
    <row r="48" spans="1:26">
      <c r="A48" s="27"/>
      <c r="B48" s="27"/>
      <c r="C48" s="27"/>
      <c r="D48" s="73"/>
      <c r="E48" s="27"/>
      <c r="F48" s="27"/>
      <c r="G48" s="27"/>
      <c r="H48" s="27"/>
      <c r="I48" s="27"/>
      <c r="J48" s="27"/>
      <c r="K48" s="27"/>
      <c r="L48" s="27"/>
      <c r="M48" s="27"/>
      <c r="N48" s="27"/>
      <c r="O48" s="27"/>
      <c r="P48" s="27"/>
      <c r="Q48" s="27"/>
      <c r="R48" s="27"/>
      <c r="S48" s="27"/>
      <c r="T48" s="27"/>
      <c r="U48" s="27"/>
      <c r="V48" s="27"/>
      <c r="W48" s="27"/>
      <c r="X48" s="27"/>
      <c r="Y48" s="27"/>
      <c r="Z48" s="27"/>
    </row>
    <row r="49" spans="1:26">
      <c r="A49" s="27"/>
      <c r="B49" s="27"/>
      <c r="C49" s="27"/>
      <c r="D49" s="73"/>
      <c r="E49" s="27"/>
      <c r="F49" s="27"/>
      <c r="G49" s="27"/>
      <c r="H49" s="27"/>
      <c r="I49" s="27"/>
      <c r="J49" s="27"/>
      <c r="K49" s="27"/>
      <c r="L49" s="27"/>
      <c r="M49" s="27"/>
      <c r="N49" s="27"/>
      <c r="O49" s="27"/>
      <c r="P49" s="27"/>
      <c r="Q49" s="27"/>
      <c r="R49" s="27"/>
      <c r="S49" s="27"/>
      <c r="T49" s="27"/>
      <c r="U49" s="27"/>
      <c r="V49" s="27"/>
      <c r="W49" s="27"/>
      <c r="X49" s="27"/>
      <c r="Y49" s="27"/>
      <c r="Z49" s="27"/>
    </row>
    <row r="50" spans="1:26">
      <c r="A50" s="27"/>
      <c r="B50" s="27"/>
      <c r="C50" s="27"/>
      <c r="D50" s="73"/>
      <c r="E50" s="27"/>
      <c r="F50" s="27"/>
      <c r="G50" s="27"/>
      <c r="H50" s="27"/>
      <c r="I50" s="27"/>
      <c r="J50" s="27"/>
      <c r="K50" s="27"/>
      <c r="L50" s="27"/>
      <c r="M50" s="27"/>
      <c r="N50" s="27"/>
      <c r="O50" s="27"/>
      <c r="P50" s="27"/>
      <c r="Q50" s="27"/>
      <c r="R50" s="27"/>
      <c r="S50" s="27"/>
      <c r="T50" s="27"/>
      <c r="U50" s="27"/>
      <c r="V50" s="27"/>
      <c r="W50" s="27"/>
      <c r="X50" s="27"/>
      <c r="Y50" s="27"/>
      <c r="Z50" s="27"/>
    </row>
    <row r="51" spans="1:26">
      <c r="A51" s="27"/>
      <c r="B51" s="27"/>
      <c r="C51" s="27"/>
      <c r="D51" s="73"/>
      <c r="E51" s="27"/>
      <c r="F51" s="27"/>
      <c r="G51" s="27"/>
      <c r="H51" s="27"/>
      <c r="I51" s="27"/>
      <c r="J51" s="27"/>
      <c r="K51" s="27"/>
      <c r="L51" s="27"/>
      <c r="M51" s="27"/>
      <c r="N51" s="27"/>
      <c r="O51" s="27"/>
      <c r="P51" s="27"/>
      <c r="Q51" s="27"/>
      <c r="R51" s="27"/>
      <c r="S51" s="27"/>
      <c r="T51" s="27"/>
      <c r="U51" s="27"/>
      <c r="V51" s="27"/>
      <c r="W51" s="27"/>
      <c r="X51" s="27"/>
      <c r="Y51" s="27"/>
      <c r="Z51" s="27"/>
    </row>
    <row r="52" spans="1:26">
      <c r="A52" s="27"/>
      <c r="B52" s="27"/>
      <c r="C52" s="27"/>
      <c r="D52" s="73"/>
      <c r="E52" s="27"/>
      <c r="F52" s="27"/>
      <c r="G52" s="27"/>
      <c r="H52" s="27"/>
      <c r="I52" s="27"/>
      <c r="J52" s="27"/>
      <c r="K52" s="27"/>
      <c r="L52" s="27"/>
      <c r="M52" s="27"/>
      <c r="N52" s="27"/>
      <c r="O52" s="27"/>
      <c r="P52" s="27"/>
      <c r="Q52" s="27"/>
      <c r="R52" s="27"/>
      <c r="S52" s="27"/>
      <c r="T52" s="27"/>
      <c r="U52" s="27"/>
      <c r="V52" s="27"/>
      <c r="W52" s="27"/>
      <c r="X52" s="27"/>
      <c r="Y52" s="27"/>
      <c r="Z52" s="27"/>
    </row>
    <row r="53" spans="1:26">
      <c r="A53" s="27"/>
      <c r="B53" s="27"/>
      <c r="C53" s="27"/>
      <c r="D53" s="73"/>
      <c r="E53" s="27"/>
      <c r="F53" s="27"/>
      <c r="G53" s="27"/>
      <c r="H53" s="27"/>
      <c r="I53" s="27"/>
      <c r="J53" s="27"/>
      <c r="K53" s="27"/>
      <c r="L53" s="27"/>
      <c r="M53" s="27"/>
      <c r="N53" s="27"/>
      <c r="O53" s="27"/>
      <c r="P53" s="27"/>
      <c r="Q53" s="27"/>
      <c r="R53" s="27"/>
      <c r="S53" s="27"/>
      <c r="T53" s="27"/>
      <c r="U53" s="27"/>
      <c r="V53" s="27"/>
      <c r="W53" s="27"/>
      <c r="X53" s="27"/>
      <c r="Y53" s="27"/>
      <c r="Z53" s="27"/>
    </row>
    <row r="54" spans="1:26">
      <c r="A54" s="27"/>
      <c r="B54" s="27"/>
      <c r="C54" s="27"/>
      <c r="D54" s="73"/>
      <c r="E54" s="27"/>
      <c r="F54" s="27"/>
      <c r="G54" s="27"/>
      <c r="H54" s="27"/>
      <c r="I54" s="27"/>
      <c r="J54" s="27"/>
      <c r="K54" s="27"/>
      <c r="L54" s="27"/>
      <c r="M54" s="27"/>
      <c r="N54" s="27"/>
      <c r="O54" s="27"/>
      <c r="P54" s="27"/>
      <c r="Q54" s="27"/>
      <c r="R54" s="27"/>
      <c r="S54" s="27"/>
      <c r="T54" s="27"/>
      <c r="U54" s="27"/>
      <c r="V54" s="27"/>
      <c r="W54" s="27"/>
      <c r="X54" s="27"/>
      <c r="Y54" s="27"/>
      <c r="Z54" s="27"/>
    </row>
    <row r="55" spans="1:26">
      <c r="A55" s="27"/>
      <c r="B55" s="27"/>
      <c r="C55" s="27"/>
      <c r="D55" s="73"/>
      <c r="E55" s="27"/>
      <c r="F55" s="27"/>
      <c r="G55" s="27"/>
      <c r="H55" s="27"/>
      <c r="I55" s="27"/>
      <c r="J55" s="27"/>
      <c r="K55" s="27"/>
      <c r="L55" s="27"/>
      <c r="M55" s="27"/>
      <c r="N55" s="27"/>
      <c r="O55" s="27"/>
      <c r="P55" s="27"/>
      <c r="Q55" s="27"/>
      <c r="R55" s="27"/>
      <c r="S55" s="27"/>
      <c r="T55" s="27"/>
      <c r="U55" s="27"/>
      <c r="V55" s="27"/>
      <c r="W55" s="27"/>
      <c r="X55" s="27"/>
      <c r="Y55" s="27"/>
      <c r="Z55" s="27"/>
    </row>
    <row r="56" spans="1:26">
      <c r="A56" s="27"/>
      <c r="B56" s="27"/>
      <c r="C56" s="27"/>
      <c r="D56" s="73"/>
      <c r="E56" s="27"/>
      <c r="F56" s="27"/>
      <c r="G56" s="27"/>
      <c r="H56" s="27"/>
      <c r="I56" s="27"/>
      <c r="J56" s="27"/>
      <c r="K56" s="27"/>
      <c r="L56" s="27"/>
      <c r="M56" s="27"/>
      <c r="N56" s="27"/>
      <c r="O56" s="27"/>
      <c r="P56" s="27"/>
      <c r="Q56" s="27"/>
      <c r="R56" s="27"/>
      <c r="S56" s="27"/>
      <c r="T56" s="27"/>
      <c r="U56" s="27"/>
      <c r="V56" s="27"/>
      <c r="W56" s="27"/>
      <c r="X56" s="27"/>
      <c r="Y56" s="27"/>
      <c r="Z56" s="27"/>
    </row>
    <row r="57" spans="1:26">
      <c r="A57" s="27"/>
      <c r="B57" s="27"/>
      <c r="C57" s="27"/>
      <c r="D57" s="73"/>
      <c r="E57" s="27"/>
      <c r="F57" s="27"/>
      <c r="G57" s="27"/>
      <c r="H57" s="27"/>
      <c r="I57" s="27"/>
      <c r="J57" s="27"/>
      <c r="K57" s="27"/>
      <c r="L57" s="27"/>
      <c r="M57" s="27"/>
      <c r="N57" s="27"/>
      <c r="O57" s="27"/>
      <c r="P57" s="27"/>
      <c r="Q57" s="27"/>
      <c r="R57" s="27"/>
      <c r="S57" s="27"/>
      <c r="T57" s="27"/>
      <c r="U57" s="27"/>
      <c r="V57" s="27"/>
      <c r="W57" s="27"/>
      <c r="X57" s="27"/>
      <c r="Y57" s="27"/>
      <c r="Z57" s="27"/>
    </row>
    <row r="58" spans="1:26">
      <c r="A58" s="27"/>
      <c r="B58" s="27"/>
      <c r="C58" s="27"/>
      <c r="D58" s="73"/>
      <c r="E58" s="27"/>
      <c r="F58" s="27"/>
      <c r="G58" s="27"/>
      <c r="H58" s="27"/>
      <c r="I58" s="27"/>
      <c r="J58" s="27"/>
      <c r="K58" s="27"/>
      <c r="L58" s="27"/>
      <c r="M58" s="27"/>
      <c r="N58" s="27"/>
      <c r="O58" s="27"/>
      <c r="P58" s="27"/>
      <c r="Q58" s="27"/>
      <c r="R58" s="27"/>
      <c r="S58" s="27"/>
      <c r="T58" s="27"/>
      <c r="U58" s="27"/>
      <c r="V58" s="27"/>
      <c r="W58" s="27"/>
      <c r="X58" s="27"/>
      <c r="Y58" s="27"/>
      <c r="Z58" s="27"/>
    </row>
    <row r="59" spans="1:26">
      <c r="A59" s="27"/>
      <c r="B59" s="27"/>
      <c r="C59" s="27"/>
      <c r="D59" s="73"/>
      <c r="E59" s="27"/>
      <c r="F59" s="27"/>
      <c r="G59" s="27"/>
      <c r="H59" s="27"/>
      <c r="I59" s="27"/>
      <c r="J59" s="27"/>
      <c r="K59" s="27"/>
      <c r="L59" s="27"/>
      <c r="M59" s="27"/>
      <c r="N59" s="27"/>
      <c r="O59" s="27"/>
      <c r="P59" s="27"/>
      <c r="Q59" s="27"/>
      <c r="R59" s="27"/>
      <c r="S59" s="27"/>
      <c r="T59" s="27"/>
      <c r="U59" s="27"/>
      <c r="V59" s="27"/>
      <c r="W59" s="27"/>
      <c r="X59" s="27"/>
      <c r="Y59" s="27"/>
      <c r="Z59" s="27"/>
    </row>
    <row r="60" spans="1:26">
      <c r="A60" s="27"/>
      <c r="B60" s="27"/>
      <c r="C60" s="27"/>
      <c r="D60" s="73"/>
      <c r="E60" s="27"/>
      <c r="F60" s="27"/>
      <c r="G60" s="27"/>
      <c r="H60" s="27"/>
      <c r="I60" s="27"/>
      <c r="J60" s="27"/>
      <c r="K60" s="27"/>
      <c r="L60" s="27"/>
      <c r="M60" s="27"/>
      <c r="N60" s="27"/>
      <c r="O60" s="27"/>
      <c r="P60" s="27"/>
      <c r="Q60" s="27"/>
      <c r="R60" s="27"/>
      <c r="S60" s="27"/>
      <c r="T60" s="27"/>
      <c r="U60" s="27"/>
      <c r="V60" s="27"/>
      <c r="W60" s="27"/>
      <c r="X60" s="27"/>
      <c r="Y60" s="27"/>
      <c r="Z60" s="27"/>
    </row>
    <row r="61" spans="1:26">
      <c r="A61" s="27"/>
      <c r="B61" s="27"/>
      <c r="C61" s="27"/>
      <c r="D61" s="73"/>
      <c r="E61" s="27"/>
      <c r="F61" s="27"/>
      <c r="G61" s="27"/>
      <c r="H61" s="27"/>
      <c r="I61" s="27"/>
      <c r="J61" s="27"/>
      <c r="K61" s="27"/>
      <c r="L61" s="27"/>
      <c r="M61" s="27"/>
      <c r="N61" s="27"/>
      <c r="O61" s="27"/>
      <c r="P61" s="27"/>
      <c r="Q61" s="27"/>
      <c r="R61" s="27"/>
      <c r="S61" s="27"/>
      <c r="T61" s="27"/>
      <c r="U61" s="27"/>
      <c r="V61" s="27"/>
      <c r="W61" s="27"/>
      <c r="X61" s="27"/>
      <c r="Y61" s="27"/>
      <c r="Z61" s="27"/>
    </row>
    <row r="62" spans="1:26">
      <c r="A62" s="27"/>
      <c r="B62" s="27"/>
      <c r="C62" s="27"/>
      <c r="D62" s="73"/>
      <c r="E62" s="27"/>
      <c r="F62" s="27"/>
      <c r="G62" s="27"/>
      <c r="H62" s="27"/>
      <c r="I62" s="27"/>
      <c r="J62" s="27"/>
      <c r="K62" s="27"/>
      <c r="L62" s="27"/>
      <c r="M62" s="27"/>
      <c r="N62" s="27"/>
      <c r="O62" s="27"/>
      <c r="P62" s="27"/>
      <c r="Q62" s="27"/>
      <c r="R62" s="27"/>
      <c r="S62" s="27"/>
      <c r="T62" s="27"/>
      <c r="U62" s="27"/>
      <c r="V62" s="27"/>
      <c r="W62" s="27"/>
      <c r="X62" s="27"/>
      <c r="Y62" s="27"/>
      <c r="Z62" s="27"/>
    </row>
    <row r="63" spans="1:26">
      <c r="A63" s="27"/>
      <c r="B63" s="27"/>
      <c r="C63" s="27"/>
      <c r="D63" s="73"/>
      <c r="E63" s="27"/>
      <c r="F63" s="27"/>
      <c r="G63" s="27"/>
      <c r="H63" s="27"/>
      <c r="I63" s="27"/>
      <c r="J63" s="27"/>
      <c r="K63" s="27"/>
      <c r="L63" s="27"/>
      <c r="M63" s="27"/>
      <c r="N63" s="27"/>
      <c r="O63" s="27"/>
      <c r="P63" s="27"/>
      <c r="Q63" s="27"/>
      <c r="R63" s="27"/>
      <c r="S63" s="27"/>
      <c r="T63" s="27"/>
      <c r="U63" s="27"/>
      <c r="V63" s="27"/>
      <c r="W63" s="27"/>
      <c r="X63" s="27"/>
      <c r="Y63" s="27"/>
      <c r="Z63" s="27"/>
    </row>
    <row r="64" spans="1:26">
      <c r="A64" s="27"/>
      <c r="B64" s="27"/>
      <c r="C64" s="27"/>
      <c r="D64" s="73"/>
      <c r="E64" s="27"/>
      <c r="F64" s="27"/>
      <c r="G64" s="27"/>
      <c r="H64" s="27"/>
      <c r="I64" s="27"/>
      <c r="J64" s="27"/>
      <c r="K64" s="27"/>
      <c r="L64" s="27"/>
      <c r="M64" s="27"/>
      <c r="N64" s="27"/>
      <c r="O64" s="27"/>
      <c r="P64" s="27"/>
      <c r="Q64" s="27"/>
      <c r="R64" s="27"/>
      <c r="S64" s="27"/>
      <c r="T64" s="27"/>
      <c r="U64" s="27"/>
      <c r="V64" s="27"/>
      <c r="W64" s="27"/>
      <c r="X64" s="27"/>
      <c r="Y64" s="27"/>
      <c r="Z64" s="27"/>
    </row>
    <row r="65" spans="1:26">
      <c r="A65" s="27"/>
      <c r="B65" s="27"/>
      <c r="C65" s="27"/>
      <c r="D65" s="73"/>
      <c r="E65" s="27"/>
      <c r="F65" s="27"/>
      <c r="G65" s="27"/>
      <c r="H65" s="27"/>
      <c r="I65" s="27"/>
      <c r="J65" s="27"/>
      <c r="K65" s="27"/>
      <c r="L65" s="27"/>
      <c r="M65" s="27"/>
      <c r="N65" s="27"/>
      <c r="O65" s="27"/>
      <c r="P65" s="27"/>
      <c r="Q65" s="27"/>
      <c r="R65" s="27"/>
      <c r="S65" s="27"/>
      <c r="T65" s="27"/>
      <c r="U65" s="27"/>
      <c r="V65" s="27"/>
      <c r="W65" s="27"/>
      <c r="X65" s="27"/>
      <c r="Y65" s="27"/>
      <c r="Z65" s="27"/>
    </row>
    <row r="66" spans="1:26">
      <c r="A66" s="27"/>
      <c r="B66" s="27"/>
      <c r="C66" s="27"/>
      <c r="D66" s="73"/>
      <c r="E66" s="27"/>
      <c r="F66" s="27"/>
      <c r="G66" s="27"/>
      <c r="H66" s="27"/>
      <c r="I66" s="27"/>
      <c r="J66" s="27"/>
      <c r="K66" s="27"/>
      <c r="L66" s="27"/>
      <c r="M66" s="27"/>
      <c r="N66" s="27"/>
      <c r="O66" s="27"/>
      <c r="P66" s="27"/>
      <c r="Q66" s="27"/>
      <c r="R66" s="27"/>
      <c r="S66" s="27"/>
      <c r="T66" s="27"/>
      <c r="U66" s="27"/>
      <c r="V66" s="27"/>
      <c r="W66" s="27"/>
      <c r="X66" s="27"/>
      <c r="Y66" s="27"/>
      <c r="Z66" s="27"/>
    </row>
    <row r="67" spans="1:26">
      <c r="A67" s="27"/>
      <c r="B67" s="27"/>
      <c r="C67" s="27"/>
      <c r="D67" s="73"/>
      <c r="E67" s="27"/>
      <c r="F67" s="27"/>
      <c r="G67" s="27"/>
      <c r="H67" s="27"/>
      <c r="I67" s="27"/>
      <c r="J67" s="27"/>
      <c r="K67" s="27"/>
      <c r="L67" s="27"/>
      <c r="M67" s="27"/>
      <c r="N67" s="27"/>
      <c r="O67" s="27"/>
      <c r="P67" s="27"/>
      <c r="Q67" s="27"/>
      <c r="R67" s="27"/>
      <c r="S67" s="27"/>
      <c r="T67" s="27"/>
      <c r="U67" s="27"/>
      <c r="V67" s="27"/>
      <c r="W67" s="27"/>
      <c r="X67" s="27"/>
      <c r="Y67" s="27"/>
      <c r="Z67" s="27"/>
    </row>
    <row r="68" spans="1:26">
      <c r="A68" s="27"/>
      <c r="B68" s="27"/>
      <c r="C68" s="27"/>
      <c r="D68" s="73"/>
      <c r="E68" s="27"/>
      <c r="F68" s="27"/>
      <c r="G68" s="27"/>
      <c r="H68" s="27"/>
      <c r="I68" s="27"/>
      <c r="J68" s="27"/>
      <c r="K68" s="27"/>
      <c r="L68" s="27"/>
      <c r="M68" s="27"/>
      <c r="N68" s="27"/>
      <c r="O68" s="27"/>
      <c r="P68" s="27"/>
      <c r="Q68" s="27"/>
      <c r="R68" s="27"/>
      <c r="S68" s="27"/>
      <c r="T68" s="27"/>
      <c r="U68" s="27"/>
      <c r="V68" s="27"/>
      <c r="W68" s="27"/>
      <c r="X68" s="27"/>
      <c r="Y68" s="27"/>
      <c r="Z68" s="27"/>
    </row>
    <row r="69" spans="1:26">
      <c r="A69" s="27"/>
      <c r="B69" s="27"/>
      <c r="C69" s="27"/>
      <c r="D69" s="73"/>
      <c r="E69" s="27"/>
      <c r="F69" s="27"/>
      <c r="G69" s="27"/>
      <c r="H69" s="27"/>
      <c r="I69" s="27"/>
      <c r="J69" s="27"/>
      <c r="K69" s="27"/>
      <c r="L69" s="27"/>
      <c r="M69" s="27"/>
      <c r="N69" s="27"/>
      <c r="O69" s="27"/>
      <c r="P69" s="27"/>
      <c r="Q69" s="27"/>
      <c r="R69" s="27"/>
      <c r="S69" s="27"/>
      <c r="T69" s="27"/>
      <c r="U69" s="27"/>
      <c r="V69" s="27"/>
      <c r="W69" s="27"/>
      <c r="X69" s="27"/>
      <c r="Y69" s="27"/>
      <c r="Z69" s="27"/>
    </row>
    <row r="70" spans="1:26">
      <c r="A70" s="27"/>
      <c r="B70" s="27"/>
      <c r="C70" s="27"/>
      <c r="D70" s="73"/>
      <c r="E70" s="27"/>
      <c r="F70" s="27"/>
      <c r="G70" s="27"/>
      <c r="H70" s="27"/>
      <c r="I70" s="27"/>
      <c r="J70" s="27"/>
      <c r="K70" s="27"/>
      <c r="L70" s="27"/>
      <c r="M70" s="27"/>
      <c r="N70" s="27"/>
      <c r="O70" s="27"/>
      <c r="P70" s="27"/>
      <c r="Q70" s="27"/>
      <c r="R70" s="27"/>
      <c r="S70" s="27"/>
      <c r="T70" s="27"/>
      <c r="U70" s="27"/>
      <c r="V70" s="27"/>
      <c r="W70" s="27"/>
      <c r="X70" s="27"/>
      <c r="Y70" s="27"/>
      <c r="Z70" s="27"/>
    </row>
    <row r="71" spans="1:26">
      <c r="A71" s="27"/>
      <c r="B71" s="27"/>
      <c r="C71" s="27"/>
      <c r="D71" s="73"/>
      <c r="E71" s="27"/>
      <c r="F71" s="27"/>
      <c r="G71" s="27"/>
      <c r="H71" s="27"/>
      <c r="I71" s="27"/>
      <c r="J71" s="27"/>
      <c r="K71" s="27"/>
      <c r="L71" s="27"/>
      <c r="M71" s="27"/>
      <c r="N71" s="27"/>
      <c r="O71" s="27"/>
      <c r="P71" s="27"/>
      <c r="Q71" s="27"/>
      <c r="R71" s="27"/>
      <c r="S71" s="27"/>
      <c r="T71" s="27"/>
      <c r="U71" s="27"/>
      <c r="V71" s="27"/>
      <c r="W71" s="27"/>
      <c r="X71" s="27"/>
      <c r="Y71" s="27"/>
      <c r="Z71" s="27"/>
    </row>
    <row r="72" spans="1:26">
      <c r="A72" s="27"/>
      <c r="B72" s="27"/>
      <c r="C72" s="27"/>
      <c r="D72" s="73"/>
      <c r="E72" s="27"/>
      <c r="F72" s="27"/>
      <c r="G72" s="27"/>
      <c r="H72" s="27"/>
      <c r="I72" s="27"/>
      <c r="J72" s="27"/>
      <c r="K72" s="27"/>
      <c r="L72" s="27"/>
      <c r="M72" s="27"/>
      <c r="N72" s="27"/>
      <c r="O72" s="27"/>
      <c r="P72" s="27"/>
      <c r="Q72" s="27"/>
      <c r="R72" s="27"/>
      <c r="S72" s="27"/>
      <c r="T72" s="27"/>
      <c r="U72" s="27"/>
      <c r="V72" s="27"/>
      <c r="W72" s="27"/>
      <c r="X72" s="27"/>
      <c r="Y72" s="27"/>
      <c r="Z72" s="27"/>
    </row>
    <row r="73" spans="1:26">
      <c r="A73" s="27"/>
      <c r="B73" s="27"/>
      <c r="C73" s="27"/>
      <c r="D73" s="73"/>
      <c r="E73" s="27"/>
      <c r="F73" s="27"/>
      <c r="G73" s="27"/>
      <c r="H73" s="27"/>
      <c r="I73" s="27"/>
      <c r="J73" s="27"/>
      <c r="K73" s="27"/>
      <c r="L73" s="27"/>
      <c r="M73" s="27"/>
      <c r="N73" s="27"/>
      <c r="O73" s="27"/>
      <c r="P73" s="27"/>
      <c r="Q73" s="27"/>
      <c r="R73" s="27"/>
      <c r="S73" s="27"/>
      <c r="T73" s="27"/>
      <c r="U73" s="27"/>
      <c r="V73" s="27"/>
      <c r="W73" s="27"/>
      <c r="X73" s="27"/>
      <c r="Y73" s="27"/>
      <c r="Z73" s="27"/>
    </row>
    <row r="74" spans="1:26">
      <c r="A74" s="27"/>
      <c r="B74" s="27"/>
      <c r="C74" s="27"/>
      <c r="D74" s="73"/>
      <c r="E74" s="27"/>
      <c r="F74" s="27"/>
      <c r="G74" s="27"/>
      <c r="H74" s="27"/>
      <c r="I74" s="27"/>
      <c r="J74" s="27"/>
      <c r="K74" s="27"/>
      <c r="L74" s="27"/>
      <c r="M74" s="27"/>
      <c r="N74" s="27"/>
      <c r="O74" s="27"/>
      <c r="P74" s="27"/>
      <c r="Q74" s="27"/>
      <c r="R74" s="27"/>
      <c r="S74" s="27"/>
      <c r="T74" s="27"/>
      <c r="U74" s="27"/>
      <c r="V74" s="27"/>
      <c r="W74" s="27"/>
      <c r="X74" s="27"/>
      <c r="Y74" s="27"/>
      <c r="Z74" s="27"/>
    </row>
    <row r="75" spans="1:26">
      <c r="A75" s="27"/>
      <c r="B75" s="27"/>
      <c r="C75" s="27"/>
      <c r="D75" s="73"/>
      <c r="E75" s="27"/>
      <c r="F75" s="27"/>
      <c r="G75" s="27"/>
      <c r="H75" s="27"/>
      <c r="I75" s="27"/>
      <c r="J75" s="27"/>
      <c r="K75" s="27"/>
      <c r="L75" s="27"/>
      <c r="M75" s="27"/>
      <c r="N75" s="27"/>
      <c r="O75" s="27"/>
      <c r="P75" s="27"/>
      <c r="Q75" s="27"/>
      <c r="R75" s="27"/>
      <c r="S75" s="27"/>
      <c r="T75" s="27"/>
      <c r="U75" s="27"/>
      <c r="V75" s="27"/>
      <c r="W75" s="27"/>
      <c r="X75" s="27"/>
      <c r="Y75" s="27"/>
      <c r="Z75" s="27"/>
    </row>
    <row r="76" spans="1:26">
      <c r="A76" s="27"/>
      <c r="B76" s="27"/>
      <c r="C76" s="27"/>
      <c r="D76" s="73"/>
      <c r="E76" s="27"/>
      <c r="F76" s="27"/>
      <c r="G76" s="27"/>
      <c r="H76" s="27"/>
      <c r="I76" s="27"/>
      <c r="J76" s="27"/>
      <c r="K76" s="27"/>
      <c r="L76" s="27"/>
      <c r="M76" s="27"/>
      <c r="N76" s="27"/>
      <c r="O76" s="27"/>
      <c r="P76" s="27"/>
      <c r="Q76" s="27"/>
      <c r="R76" s="27"/>
      <c r="S76" s="27"/>
      <c r="T76" s="27"/>
      <c r="U76" s="27"/>
      <c r="V76" s="27"/>
      <c r="W76" s="27"/>
      <c r="X76" s="27"/>
      <c r="Y76" s="27"/>
      <c r="Z76" s="27"/>
    </row>
    <row r="77" spans="1:26">
      <c r="A77" s="27"/>
      <c r="B77" s="27"/>
      <c r="C77" s="27"/>
      <c r="D77" s="73"/>
      <c r="E77" s="27"/>
      <c r="F77" s="27"/>
      <c r="G77" s="27"/>
      <c r="H77" s="27"/>
      <c r="I77" s="27"/>
      <c r="J77" s="27"/>
      <c r="K77" s="27"/>
      <c r="L77" s="27"/>
      <c r="M77" s="27"/>
      <c r="N77" s="27"/>
      <c r="O77" s="27"/>
      <c r="P77" s="27"/>
      <c r="Q77" s="27"/>
      <c r="R77" s="27"/>
      <c r="S77" s="27"/>
      <c r="T77" s="27"/>
      <c r="U77" s="27"/>
      <c r="V77" s="27"/>
      <c r="W77" s="27"/>
      <c r="X77" s="27"/>
      <c r="Y77" s="27"/>
      <c r="Z77" s="27"/>
    </row>
    <row r="78" spans="1:26">
      <c r="A78" s="27"/>
      <c r="B78" s="27"/>
      <c r="C78" s="27"/>
      <c r="D78" s="73"/>
      <c r="E78" s="27"/>
      <c r="F78" s="27"/>
      <c r="G78" s="27"/>
      <c r="H78" s="27"/>
      <c r="I78" s="27"/>
      <c r="J78" s="27"/>
      <c r="K78" s="27"/>
      <c r="L78" s="27"/>
      <c r="M78" s="27"/>
      <c r="N78" s="27"/>
      <c r="O78" s="27"/>
      <c r="P78" s="27"/>
      <c r="Q78" s="27"/>
      <c r="R78" s="27"/>
      <c r="S78" s="27"/>
      <c r="T78" s="27"/>
      <c r="U78" s="27"/>
      <c r="V78" s="27"/>
      <c r="W78" s="27"/>
      <c r="X78" s="27"/>
      <c r="Y78" s="27"/>
      <c r="Z78" s="27"/>
    </row>
    <row r="79" spans="1:26">
      <c r="A79" s="27"/>
      <c r="B79" s="27"/>
      <c r="C79" s="27"/>
      <c r="D79" s="73"/>
      <c r="E79" s="27"/>
      <c r="F79" s="27"/>
      <c r="G79" s="27"/>
      <c r="H79" s="27"/>
      <c r="I79" s="27"/>
      <c r="J79" s="27"/>
      <c r="K79" s="27"/>
      <c r="L79" s="27"/>
      <c r="M79" s="27"/>
      <c r="N79" s="27"/>
      <c r="O79" s="27"/>
      <c r="P79" s="27"/>
      <c r="Q79" s="27"/>
      <c r="R79" s="27"/>
      <c r="S79" s="27"/>
      <c r="T79" s="27"/>
      <c r="U79" s="27"/>
      <c r="V79" s="27"/>
      <c r="W79" s="27"/>
      <c r="X79" s="27"/>
      <c r="Y79" s="27"/>
      <c r="Z79" s="27"/>
    </row>
    <row r="80" spans="1:26">
      <c r="A80" s="27"/>
      <c r="B80" s="27"/>
      <c r="C80" s="27"/>
      <c r="D80" s="73"/>
      <c r="E80" s="27"/>
      <c r="F80" s="27"/>
      <c r="G80" s="27"/>
      <c r="H80" s="27"/>
      <c r="I80" s="27"/>
      <c r="J80" s="27"/>
      <c r="K80" s="27"/>
      <c r="L80" s="27"/>
      <c r="M80" s="27"/>
      <c r="N80" s="27"/>
      <c r="O80" s="27"/>
      <c r="P80" s="27"/>
      <c r="Q80" s="27"/>
      <c r="R80" s="27"/>
      <c r="S80" s="27"/>
      <c r="T80" s="27"/>
      <c r="U80" s="27"/>
      <c r="V80" s="27"/>
      <c r="W80" s="27"/>
      <c r="X80" s="27"/>
      <c r="Y80" s="27"/>
      <c r="Z80" s="27"/>
    </row>
    <row r="81" spans="1:26">
      <c r="A81" s="27"/>
      <c r="B81" s="27"/>
      <c r="C81" s="27"/>
      <c r="D81" s="73"/>
      <c r="E81" s="27"/>
      <c r="F81" s="27"/>
      <c r="G81" s="27"/>
      <c r="H81" s="27"/>
      <c r="I81" s="27"/>
      <c r="J81" s="27"/>
      <c r="K81" s="27"/>
      <c r="L81" s="27"/>
      <c r="M81" s="27"/>
      <c r="N81" s="27"/>
      <c r="O81" s="27"/>
      <c r="P81" s="27"/>
      <c r="Q81" s="27"/>
      <c r="R81" s="27"/>
      <c r="S81" s="27"/>
      <c r="T81" s="27"/>
      <c r="U81" s="27"/>
      <c r="V81" s="27"/>
      <c r="W81" s="27"/>
      <c r="X81" s="27"/>
      <c r="Y81" s="27"/>
      <c r="Z81" s="27"/>
    </row>
    <row r="82" spans="1:26">
      <c r="A82" s="27"/>
      <c r="B82" s="27"/>
      <c r="C82" s="27"/>
      <c r="D82" s="73"/>
      <c r="E82" s="27"/>
      <c r="F82" s="27"/>
      <c r="G82" s="27"/>
      <c r="H82" s="27"/>
      <c r="I82" s="27"/>
      <c r="J82" s="27"/>
      <c r="K82" s="27"/>
      <c r="L82" s="27"/>
      <c r="M82" s="27"/>
      <c r="N82" s="27"/>
      <c r="O82" s="27"/>
      <c r="P82" s="27"/>
      <c r="Q82" s="27"/>
      <c r="R82" s="27"/>
      <c r="S82" s="27"/>
      <c r="T82" s="27"/>
      <c r="U82" s="27"/>
      <c r="V82" s="27"/>
      <c r="W82" s="27"/>
      <c r="X82" s="27"/>
      <c r="Y82" s="27"/>
      <c r="Z82" s="27"/>
    </row>
    <row r="83" spans="1:26">
      <c r="A83" s="27"/>
      <c r="B83" s="27"/>
      <c r="C83" s="27"/>
      <c r="D83" s="73"/>
      <c r="E83" s="27"/>
      <c r="F83" s="27"/>
      <c r="G83" s="27"/>
      <c r="H83" s="27"/>
      <c r="I83" s="27"/>
      <c r="J83" s="27"/>
      <c r="K83" s="27"/>
      <c r="L83" s="27"/>
      <c r="M83" s="27"/>
      <c r="N83" s="27"/>
      <c r="O83" s="27"/>
      <c r="P83" s="27"/>
      <c r="Q83" s="27"/>
      <c r="R83" s="27"/>
      <c r="S83" s="27"/>
      <c r="T83" s="27"/>
      <c r="U83" s="27"/>
      <c r="V83" s="27"/>
      <c r="W83" s="27"/>
      <c r="X83" s="27"/>
      <c r="Y83" s="27"/>
      <c r="Z83" s="27"/>
    </row>
    <row r="84" spans="1:26">
      <c r="A84" s="27"/>
      <c r="B84" s="27"/>
      <c r="C84" s="27"/>
      <c r="D84" s="73"/>
      <c r="E84" s="27"/>
      <c r="F84" s="27"/>
      <c r="G84" s="27"/>
      <c r="H84" s="27"/>
      <c r="I84" s="27"/>
      <c r="J84" s="27"/>
      <c r="K84" s="27"/>
      <c r="L84" s="27"/>
      <c r="M84" s="27"/>
      <c r="N84" s="27"/>
      <c r="O84" s="27"/>
      <c r="P84" s="27"/>
      <c r="Q84" s="27"/>
      <c r="R84" s="27"/>
      <c r="S84" s="27"/>
      <c r="T84" s="27"/>
      <c r="U84" s="27"/>
      <c r="V84" s="27"/>
      <c r="W84" s="27"/>
      <c r="X84" s="27"/>
      <c r="Y84" s="27"/>
      <c r="Z84" s="27"/>
    </row>
    <row r="85" spans="1:26">
      <c r="A85" s="27"/>
      <c r="B85" s="27"/>
      <c r="C85" s="27"/>
      <c r="D85" s="73"/>
      <c r="E85" s="27"/>
      <c r="F85" s="27"/>
      <c r="G85" s="27"/>
      <c r="H85" s="27"/>
      <c r="I85" s="27"/>
      <c r="J85" s="27"/>
      <c r="K85" s="27"/>
      <c r="L85" s="27"/>
      <c r="M85" s="27"/>
      <c r="N85" s="27"/>
      <c r="O85" s="27"/>
      <c r="P85" s="27"/>
      <c r="Q85" s="27"/>
      <c r="R85" s="27"/>
      <c r="S85" s="27"/>
      <c r="T85" s="27"/>
      <c r="U85" s="27"/>
      <c r="V85" s="27"/>
      <c r="W85" s="27"/>
      <c r="X85" s="27"/>
      <c r="Y85" s="27"/>
      <c r="Z85" s="27"/>
    </row>
    <row r="86" spans="1:26">
      <c r="A86" s="27"/>
      <c r="B86" s="27"/>
      <c r="C86" s="27"/>
      <c r="D86" s="73"/>
      <c r="E86" s="27"/>
      <c r="F86" s="27"/>
      <c r="G86" s="27"/>
      <c r="H86" s="27"/>
      <c r="I86" s="27"/>
      <c r="J86" s="27"/>
      <c r="K86" s="27"/>
      <c r="L86" s="27"/>
      <c r="M86" s="27"/>
      <c r="N86" s="27"/>
      <c r="O86" s="27"/>
      <c r="P86" s="27"/>
      <c r="Q86" s="27"/>
      <c r="R86" s="27"/>
      <c r="S86" s="27"/>
      <c r="T86" s="27"/>
      <c r="U86" s="27"/>
      <c r="V86" s="27"/>
      <c r="W86" s="27"/>
      <c r="X86" s="27"/>
      <c r="Y86" s="27"/>
      <c r="Z86" s="27"/>
    </row>
    <row r="87" spans="1:26">
      <c r="A87" s="27"/>
      <c r="B87" s="27"/>
      <c r="C87" s="27"/>
      <c r="D87" s="73"/>
      <c r="E87" s="27"/>
      <c r="F87" s="27"/>
      <c r="G87" s="27"/>
      <c r="H87" s="27"/>
      <c r="I87" s="27"/>
      <c r="J87" s="27"/>
      <c r="K87" s="27"/>
      <c r="L87" s="27"/>
      <c r="M87" s="27"/>
      <c r="N87" s="27"/>
      <c r="O87" s="27"/>
      <c r="P87" s="27"/>
      <c r="Q87" s="27"/>
      <c r="R87" s="27"/>
      <c r="S87" s="27"/>
      <c r="T87" s="27"/>
      <c r="U87" s="27"/>
      <c r="V87" s="27"/>
      <c r="W87" s="27"/>
      <c r="X87" s="27"/>
      <c r="Y87" s="27"/>
      <c r="Z87" s="27"/>
    </row>
    <row r="88" spans="1:26">
      <c r="A88" s="27"/>
      <c r="B88" s="27"/>
      <c r="C88" s="27"/>
      <c r="D88" s="73"/>
      <c r="E88" s="27"/>
      <c r="F88" s="27"/>
      <c r="G88" s="27"/>
      <c r="H88" s="27"/>
      <c r="I88" s="27"/>
      <c r="J88" s="27"/>
      <c r="K88" s="27"/>
      <c r="L88" s="27"/>
      <c r="M88" s="27"/>
      <c r="N88" s="27"/>
      <c r="O88" s="27"/>
      <c r="P88" s="27"/>
      <c r="Q88" s="27"/>
      <c r="R88" s="27"/>
      <c r="S88" s="27"/>
      <c r="T88" s="27"/>
      <c r="U88" s="27"/>
      <c r="V88" s="27"/>
      <c r="W88" s="27"/>
      <c r="X88" s="27"/>
      <c r="Y88" s="27"/>
      <c r="Z88" s="27"/>
    </row>
    <row r="89" spans="1:26">
      <c r="A89" s="27"/>
      <c r="B89" s="27"/>
      <c r="C89" s="27"/>
      <c r="D89" s="73"/>
      <c r="E89" s="27"/>
      <c r="F89" s="27"/>
      <c r="G89" s="27"/>
      <c r="H89" s="27"/>
      <c r="I89" s="27"/>
      <c r="J89" s="27"/>
      <c r="K89" s="27"/>
      <c r="L89" s="27"/>
      <c r="M89" s="27"/>
      <c r="N89" s="27"/>
      <c r="O89" s="27"/>
      <c r="P89" s="27"/>
      <c r="Q89" s="27"/>
      <c r="R89" s="27"/>
      <c r="S89" s="27"/>
      <c r="T89" s="27"/>
      <c r="U89" s="27"/>
      <c r="V89" s="27"/>
      <c r="W89" s="27"/>
      <c r="X89" s="27"/>
      <c r="Y89" s="27"/>
      <c r="Z89" s="27"/>
    </row>
    <row r="90" spans="1:26">
      <c r="A90" s="27"/>
      <c r="B90" s="27"/>
      <c r="C90" s="27"/>
      <c r="D90" s="73"/>
      <c r="E90" s="27"/>
      <c r="F90" s="27"/>
      <c r="G90" s="27"/>
      <c r="H90" s="27"/>
      <c r="I90" s="27"/>
      <c r="J90" s="27"/>
      <c r="K90" s="27"/>
      <c r="L90" s="27"/>
      <c r="M90" s="27"/>
      <c r="N90" s="27"/>
      <c r="O90" s="27"/>
      <c r="P90" s="27"/>
      <c r="Q90" s="27"/>
      <c r="R90" s="27"/>
      <c r="S90" s="27"/>
      <c r="T90" s="27"/>
      <c r="U90" s="27"/>
      <c r="V90" s="27"/>
      <c r="W90" s="27"/>
      <c r="X90" s="27"/>
      <c r="Y90" s="27"/>
      <c r="Z90" s="27"/>
    </row>
    <row r="91" spans="1:26">
      <c r="A91" s="27"/>
      <c r="B91" s="27"/>
      <c r="C91" s="27"/>
      <c r="D91" s="73"/>
      <c r="E91" s="27"/>
      <c r="F91" s="27"/>
      <c r="G91" s="27"/>
      <c r="H91" s="27"/>
      <c r="I91" s="27"/>
      <c r="J91" s="27"/>
      <c r="K91" s="27"/>
      <c r="L91" s="27"/>
      <c r="M91" s="27"/>
      <c r="N91" s="27"/>
      <c r="O91" s="27"/>
      <c r="P91" s="27"/>
      <c r="Q91" s="27"/>
      <c r="R91" s="27"/>
      <c r="S91" s="27"/>
      <c r="T91" s="27"/>
      <c r="U91" s="27"/>
      <c r="V91" s="27"/>
      <c r="W91" s="27"/>
      <c r="X91" s="27"/>
      <c r="Y91" s="27"/>
      <c r="Z91" s="27"/>
    </row>
    <row r="92" spans="1:26">
      <c r="A92" s="27"/>
      <c r="B92" s="27"/>
      <c r="C92" s="27"/>
      <c r="D92" s="73"/>
      <c r="E92" s="27"/>
      <c r="F92" s="27"/>
      <c r="G92" s="27"/>
      <c r="H92" s="27"/>
      <c r="I92" s="27"/>
      <c r="J92" s="27"/>
      <c r="K92" s="27"/>
      <c r="L92" s="27"/>
      <c r="M92" s="27"/>
      <c r="N92" s="27"/>
      <c r="O92" s="27"/>
      <c r="P92" s="27"/>
      <c r="Q92" s="27"/>
      <c r="R92" s="27"/>
      <c r="S92" s="27"/>
      <c r="T92" s="27"/>
      <c r="U92" s="27"/>
      <c r="V92" s="27"/>
      <c r="W92" s="27"/>
      <c r="X92" s="27"/>
      <c r="Y92" s="27"/>
      <c r="Z92" s="27"/>
    </row>
    <row r="93" spans="1:26">
      <c r="A93" s="27"/>
      <c r="B93" s="27"/>
      <c r="C93" s="27"/>
      <c r="D93" s="73"/>
      <c r="E93" s="27"/>
      <c r="F93" s="27"/>
      <c r="G93" s="27"/>
      <c r="H93" s="27"/>
      <c r="I93" s="27"/>
      <c r="J93" s="27"/>
      <c r="K93" s="27"/>
      <c r="L93" s="27"/>
      <c r="M93" s="27"/>
      <c r="N93" s="27"/>
      <c r="O93" s="27"/>
      <c r="P93" s="27"/>
      <c r="Q93" s="27"/>
      <c r="R93" s="27"/>
      <c r="S93" s="27"/>
      <c r="T93" s="27"/>
      <c r="U93" s="27"/>
      <c r="V93" s="27"/>
      <c r="W93" s="27"/>
      <c r="X93" s="27"/>
      <c r="Y93" s="27"/>
      <c r="Z93" s="27"/>
    </row>
    <row r="94" spans="1:26">
      <c r="A94" s="27"/>
      <c r="B94" s="27"/>
      <c r="C94" s="27"/>
      <c r="D94" s="73"/>
      <c r="E94" s="27"/>
      <c r="F94" s="27"/>
      <c r="G94" s="27"/>
      <c r="H94" s="27"/>
      <c r="I94" s="27"/>
      <c r="J94" s="27"/>
      <c r="K94" s="27"/>
      <c r="L94" s="27"/>
      <c r="M94" s="27"/>
      <c r="N94" s="27"/>
      <c r="O94" s="27"/>
      <c r="P94" s="27"/>
      <c r="Q94" s="27"/>
      <c r="R94" s="27"/>
      <c r="S94" s="27"/>
      <c r="T94" s="27"/>
      <c r="U94" s="27"/>
      <c r="V94" s="27"/>
      <c r="W94" s="27"/>
      <c r="X94" s="27"/>
      <c r="Y94" s="27"/>
      <c r="Z94" s="27"/>
    </row>
    <row r="95" spans="1:26">
      <c r="A95" s="27"/>
      <c r="B95" s="27"/>
      <c r="C95" s="27"/>
      <c r="D95" s="73"/>
      <c r="E95" s="27"/>
      <c r="F95" s="27"/>
      <c r="G95" s="27"/>
      <c r="H95" s="27"/>
      <c r="I95" s="27"/>
      <c r="J95" s="27"/>
      <c r="K95" s="27"/>
      <c r="L95" s="27"/>
      <c r="M95" s="27"/>
      <c r="N95" s="27"/>
      <c r="O95" s="27"/>
      <c r="P95" s="27"/>
      <c r="Q95" s="27"/>
      <c r="R95" s="27"/>
      <c r="S95" s="27"/>
      <c r="T95" s="27"/>
      <c r="U95" s="27"/>
      <c r="V95" s="27"/>
      <c r="W95" s="27"/>
      <c r="X95" s="27"/>
      <c r="Y95" s="27"/>
      <c r="Z95" s="27"/>
    </row>
    <row r="96" spans="1:26">
      <c r="A96" s="27"/>
      <c r="B96" s="27"/>
      <c r="C96" s="27"/>
      <c r="D96" s="73"/>
      <c r="E96" s="27"/>
      <c r="F96" s="27"/>
      <c r="G96" s="27"/>
      <c r="H96" s="27"/>
      <c r="I96" s="27"/>
      <c r="J96" s="27"/>
      <c r="K96" s="27"/>
      <c r="L96" s="27"/>
      <c r="M96" s="27"/>
      <c r="N96" s="27"/>
      <c r="O96" s="27"/>
      <c r="P96" s="27"/>
      <c r="Q96" s="27"/>
      <c r="R96" s="27"/>
      <c r="S96" s="27"/>
      <c r="T96" s="27"/>
      <c r="U96" s="27"/>
      <c r="V96" s="27"/>
      <c r="W96" s="27"/>
      <c r="X96" s="27"/>
      <c r="Y96" s="27"/>
      <c r="Z96" s="27"/>
    </row>
    <row r="97" spans="1:26">
      <c r="A97" s="27"/>
      <c r="B97" s="27"/>
      <c r="C97" s="27"/>
      <c r="D97" s="73"/>
      <c r="E97" s="27"/>
      <c r="F97" s="27"/>
      <c r="G97" s="27"/>
      <c r="H97" s="27"/>
      <c r="I97" s="27"/>
      <c r="J97" s="27"/>
      <c r="K97" s="27"/>
      <c r="L97" s="27"/>
      <c r="M97" s="27"/>
      <c r="N97" s="27"/>
      <c r="O97" s="27"/>
      <c r="P97" s="27"/>
      <c r="Q97" s="27"/>
      <c r="R97" s="27"/>
      <c r="S97" s="27"/>
      <c r="T97" s="27"/>
      <c r="U97" s="27"/>
      <c r="V97" s="27"/>
      <c r="W97" s="27"/>
      <c r="X97" s="27"/>
      <c r="Y97" s="27"/>
      <c r="Z97" s="27"/>
    </row>
    <row r="98" spans="1:26">
      <c r="A98" s="27"/>
      <c r="B98" s="27"/>
      <c r="C98" s="27"/>
      <c r="D98" s="73"/>
      <c r="E98" s="27"/>
      <c r="F98" s="27"/>
      <c r="G98" s="27"/>
      <c r="H98" s="27"/>
      <c r="I98" s="27"/>
      <c r="J98" s="27"/>
      <c r="K98" s="27"/>
      <c r="L98" s="27"/>
      <c r="M98" s="27"/>
      <c r="N98" s="27"/>
      <c r="O98" s="27"/>
      <c r="P98" s="27"/>
      <c r="Q98" s="27"/>
      <c r="R98" s="27"/>
      <c r="S98" s="27"/>
      <c r="T98" s="27"/>
      <c r="U98" s="27"/>
      <c r="V98" s="27"/>
      <c r="W98" s="27"/>
      <c r="X98" s="27"/>
      <c r="Y98" s="27"/>
      <c r="Z98" s="27"/>
    </row>
    <row r="99" spans="1:26">
      <c r="A99" s="27"/>
      <c r="B99" s="27"/>
      <c r="C99" s="27"/>
      <c r="D99" s="73"/>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27"/>
      <c r="C100" s="27"/>
      <c r="D100" s="73"/>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27"/>
      <c r="C101" s="27"/>
      <c r="D101" s="73"/>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27"/>
      <c r="C102" s="27"/>
      <c r="D102" s="73"/>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27"/>
      <c r="C103" s="27"/>
      <c r="D103" s="73"/>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27"/>
      <c r="C104" s="27"/>
      <c r="D104" s="73"/>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27"/>
      <c r="C105" s="27"/>
      <c r="D105" s="73"/>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27"/>
      <c r="C106" s="27"/>
      <c r="D106" s="73"/>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27"/>
      <c r="C107" s="27"/>
      <c r="D107" s="73"/>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27"/>
      <c r="C108" s="27"/>
      <c r="D108" s="73"/>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27"/>
      <c r="C109" s="27"/>
      <c r="D109" s="73"/>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27"/>
      <c r="C110" s="27"/>
      <c r="D110" s="73"/>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27"/>
      <c r="C111" s="27"/>
      <c r="D111" s="73"/>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27"/>
      <c r="C112" s="27"/>
      <c r="D112" s="73"/>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27"/>
      <c r="C113" s="27"/>
      <c r="D113" s="73"/>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27"/>
      <c r="C114" s="27"/>
      <c r="D114" s="73"/>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27"/>
      <c r="C115" s="27"/>
      <c r="D115" s="73"/>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27"/>
      <c r="C116" s="27"/>
      <c r="D116" s="73"/>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27"/>
      <c r="C117" s="27"/>
      <c r="D117" s="73"/>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27"/>
      <c r="C118" s="27"/>
      <c r="D118" s="73"/>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27"/>
      <c r="C119" s="27"/>
      <c r="D119" s="73"/>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27"/>
      <c r="C120" s="27"/>
      <c r="D120" s="73"/>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27"/>
      <c r="C121" s="27"/>
      <c r="D121" s="73"/>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27"/>
      <c r="C122" s="27"/>
      <c r="D122" s="73"/>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27"/>
      <c r="C123" s="27"/>
      <c r="D123" s="73"/>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27"/>
      <c r="C124" s="27"/>
      <c r="D124" s="73"/>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27"/>
      <c r="C125" s="27"/>
      <c r="D125" s="73"/>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27"/>
      <c r="C126" s="27"/>
      <c r="D126" s="73"/>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27"/>
      <c r="C127" s="27"/>
      <c r="D127" s="73"/>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27"/>
      <c r="C128" s="27"/>
      <c r="D128" s="73"/>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27"/>
      <c r="C129" s="27"/>
      <c r="D129" s="73"/>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27"/>
      <c r="C130" s="27"/>
      <c r="D130" s="73"/>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27"/>
      <c r="C131" s="27"/>
      <c r="D131" s="73"/>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27"/>
      <c r="C132" s="27"/>
      <c r="D132" s="73"/>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27"/>
      <c r="C133" s="27"/>
      <c r="D133" s="73"/>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27"/>
      <c r="C134" s="27"/>
      <c r="D134" s="73"/>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27"/>
      <c r="C135" s="27"/>
      <c r="D135" s="73"/>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27"/>
      <c r="C136" s="27"/>
      <c r="D136" s="73"/>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27"/>
      <c r="C137" s="27"/>
      <c r="D137" s="73"/>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27"/>
      <c r="C138" s="27"/>
      <c r="D138" s="73"/>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27"/>
      <c r="C139" s="27"/>
      <c r="D139" s="73"/>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27"/>
      <c r="C140" s="27"/>
      <c r="D140" s="73"/>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27"/>
      <c r="C141" s="27"/>
      <c r="D141" s="73"/>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27"/>
      <c r="C142" s="27"/>
      <c r="D142" s="73"/>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27"/>
      <c r="C143" s="27"/>
      <c r="D143" s="73"/>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27"/>
      <c r="C144" s="27"/>
      <c r="D144" s="73"/>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27"/>
      <c r="C145" s="27"/>
      <c r="D145" s="73"/>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27"/>
      <c r="C146" s="27"/>
      <c r="D146" s="73"/>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27"/>
      <c r="C147" s="27"/>
      <c r="D147" s="73"/>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27"/>
      <c r="C148" s="27"/>
      <c r="D148" s="73"/>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27"/>
      <c r="C149" s="27"/>
      <c r="D149" s="73"/>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27"/>
      <c r="C150" s="27"/>
      <c r="D150" s="73"/>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27"/>
      <c r="C151" s="27"/>
      <c r="D151" s="73"/>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27"/>
      <c r="C152" s="27"/>
      <c r="D152" s="73"/>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27"/>
      <c r="C153" s="27"/>
      <c r="D153" s="73"/>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27"/>
      <c r="C154" s="27"/>
      <c r="D154" s="73"/>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27"/>
      <c r="C155" s="27"/>
      <c r="D155" s="73"/>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27"/>
      <c r="C156" s="27"/>
      <c r="D156" s="73"/>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27"/>
      <c r="C157" s="27"/>
      <c r="D157" s="73"/>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27"/>
      <c r="C158" s="27"/>
      <c r="D158" s="73"/>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27"/>
      <c r="C159" s="27"/>
      <c r="D159" s="73"/>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27"/>
      <c r="C160" s="27"/>
      <c r="D160" s="73"/>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27"/>
      <c r="C161" s="27"/>
      <c r="D161" s="73"/>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27"/>
      <c r="C162" s="27"/>
      <c r="D162" s="73"/>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27"/>
      <c r="C163" s="27"/>
      <c r="D163" s="73"/>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27"/>
      <c r="C164" s="27"/>
      <c r="D164" s="73"/>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27"/>
      <c r="C165" s="27"/>
      <c r="D165" s="73"/>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27"/>
      <c r="C166" s="27"/>
      <c r="D166" s="73"/>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27"/>
      <c r="C167" s="27"/>
      <c r="D167" s="73"/>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27"/>
      <c r="C168" s="27"/>
      <c r="D168" s="73"/>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27"/>
      <c r="C169" s="27"/>
      <c r="D169" s="73"/>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27"/>
      <c r="C170" s="27"/>
      <c r="D170" s="73"/>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27"/>
      <c r="C171" s="27"/>
      <c r="D171" s="73"/>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27"/>
      <c r="C172" s="27"/>
      <c r="D172" s="73"/>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27"/>
      <c r="C173" s="27"/>
      <c r="D173" s="73"/>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27"/>
      <c r="C174" s="27"/>
      <c r="D174" s="73"/>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27"/>
      <c r="C175" s="27"/>
      <c r="D175" s="73"/>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27"/>
      <c r="C176" s="27"/>
      <c r="D176" s="73"/>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27"/>
      <c r="C177" s="27"/>
      <c r="D177" s="73"/>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27"/>
      <c r="C178" s="27"/>
      <c r="D178" s="73"/>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27"/>
      <c r="C179" s="27"/>
      <c r="D179" s="73"/>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27"/>
      <c r="C180" s="27"/>
      <c r="D180" s="73"/>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27"/>
      <c r="C181" s="27"/>
      <c r="D181" s="73"/>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27"/>
      <c r="C182" s="27"/>
      <c r="D182" s="73"/>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27"/>
      <c r="C183" s="27"/>
      <c r="D183" s="73"/>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27"/>
      <c r="C184" s="27"/>
      <c r="D184" s="73"/>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27"/>
      <c r="C185" s="27"/>
      <c r="D185" s="73"/>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27"/>
      <c r="C186" s="27"/>
      <c r="D186" s="73"/>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27"/>
      <c r="C187" s="27"/>
      <c r="D187" s="73"/>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27"/>
      <c r="C188" s="27"/>
      <c r="D188" s="73"/>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27"/>
      <c r="C189" s="27"/>
      <c r="D189" s="73"/>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27"/>
      <c r="C190" s="27"/>
      <c r="D190" s="73"/>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27"/>
      <c r="C191" s="27"/>
      <c r="D191" s="73"/>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27"/>
      <c r="C192" s="27"/>
      <c r="D192" s="73"/>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27"/>
      <c r="C193" s="27"/>
      <c r="D193" s="73"/>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27"/>
      <c r="C194" s="27"/>
      <c r="D194" s="73"/>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27"/>
      <c r="C195" s="27"/>
      <c r="D195" s="73"/>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27"/>
      <c r="C196" s="27"/>
      <c r="D196" s="73"/>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27"/>
      <c r="C197" s="27"/>
      <c r="D197" s="73"/>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27"/>
      <c r="C198" s="27"/>
      <c r="D198" s="73"/>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27"/>
      <c r="C199" s="27"/>
      <c r="D199" s="73"/>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27"/>
      <c r="C200" s="27"/>
      <c r="D200" s="73"/>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27"/>
      <c r="C201" s="27"/>
      <c r="D201" s="73"/>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27"/>
      <c r="C202" s="27"/>
      <c r="D202" s="73"/>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27"/>
      <c r="C203" s="27"/>
      <c r="D203" s="73"/>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27"/>
      <c r="C204" s="27"/>
      <c r="D204" s="73"/>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27"/>
      <c r="C205" s="27"/>
      <c r="D205" s="73"/>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27"/>
      <c r="C206" s="27"/>
      <c r="D206" s="73"/>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27"/>
      <c r="C207" s="27"/>
      <c r="D207" s="73"/>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27"/>
      <c r="C208" s="27"/>
      <c r="D208" s="73"/>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27"/>
      <c r="C209" s="27"/>
      <c r="D209" s="73"/>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27"/>
      <c r="C210" s="27"/>
      <c r="D210" s="73"/>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27"/>
      <c r="C211" s="27"/>
      <c r="D211" s="73"/>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27"/>
      <c r="C212" s="27"/>
      <c r="D212" s="73"/>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27"/>
      <c r="C213" s="27"/>
      <c r="D213" s="73"/>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27"/>
      <c r="C214" s="27"/>
      <c r="D214" s="73"/>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27"/>
      <c r="C215" s="27"/>
      <c r="D215" s="73"/>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27"/>
      <c r="C216" s="27"/>
      <c r="D216" s="73"/>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27"/>
      <c r="C217" s="27"/>
      <c r="D217" s="73"/>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27"/>
      <c r="C218" s="27"/>
      <c r="D218" s="73"/>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27"/>
      <c r="C219" s="27"/>
      <c r="D219" s="73"/>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27"/>
      <c r="C220" s="27"/>
      <c r="D220" s="73"/>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27"/>
      <c r="C221" s="27"/>
      <c r="D221" s="73"/>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27"/>
      <c r="C222" s="27"/>
      <c r="D222" s="73"/>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27"/>
      <c r="C223" s="27"/>
      <c r="D223" s="73"/>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27"/>
      <c r="C224" s="27"/>
      <c r="D224" s="73"/>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27"/>
      <c r="C225" s="27"/>
      <c r="D225" s="73"/>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27"/>
      <c r="C226" s="27"/>
      <c r="D226" s="73"/>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27"/>
      <c r="C227" s="27"/>
      <c r="D227" s="73"/>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27"/>
      <c r="C228" s="27"/>
      <c r="D228" s="73"/>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27"/>
      <c r="C229" s="27"/>
      <c r="D229" s="73"/>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27"/>
      <c r="C230" s="27"/>
      <c r="D230" s="73"/>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27"/>
      <c r="C231" s="27"/>
      <c r="D231" s="73"/>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27"/>
      <c r="C232" s="27"/>
      <c r="D232" s="73"/>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27"/>
      <c r="C233" s="27"/>
      <c r="D233" s="73"/>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27"/>
      <c r="C234" s="27"/>
      <c r="D234" s="73"/>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27"/>
      <c r="C235" s="27"/>
      <c r="D235" s="73"/>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27"/>
      <c r="C236" s="27"/>
      <c r="D236" s="73"/>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27"/>
      <c r="C237" s="27"/>
      <c r="D237" s="73"/>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27"/>
      <c r="C238" s="27"/>
      <c r="D238" s="73"/>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27"/>
      <c r="C239" s="27"/>
      <c r="D239" s="73"/>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27"/>
      <c r="C240" s="27"/>
      <c r="D240" s="73"/>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27"/>
      <c r="C241" s="27"/>
      <c r="D241" s="73"/>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27"/>
      <c r="C242" s="27"/>
      <c r="D242" s="73"/>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27"/>
      <c r="C243" s="27"/>
      <c r="D243" s="73"/>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27"/>
      <c r="C244" s="27"/>
      <c r="D244" s="73"/>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27"/>
      <c r="C245" s="27"/>
      <c r="D245" s="73"/>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27"/>
      <c r="C246" s="27"/>
      <c r="D246" s="73"/>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27"/>
      <c r="C247" s="27"/>
      <c r="D247" s="73"/>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27"/>
      <c r="C248" s="27"/>
      <c r="D248" s="73"/>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27"/>
      <c r="C249" s="27"/>
      <c r="D249" s="73"/>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27"/>
      <c r="C250" s="27"/>
      <c r="D250" s="73"/>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27"/>
      <c r="C251" s="27"/>
      <c r="D251" s="73"/>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27"/>
      <c r="C252" s="27"/>
      <c r="D252" s="73"/>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27"/>
      <c r="C253" s="27"/>
      <c r="D253" s="73"/>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27"/>
      <c r="C254" s="27"/>
      <c r="D254" s="73"/>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27"/>
      <c r="C255" s="27"/>
      <c r="D255" s="73"/>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27"/>
      <c r="C256" s="27"/>
      <c r="D256" s="73"/>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27"/>
      <c r="C257" s="27"/>
      <c r="D257" s="73"/>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27"/>
      <c r="C258" s="27"/>
      <c r="D258" s="73"/>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27"/>
      <c r="C259" s="27"/>
      <c r="D259" s="73"/>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27"/>
      <c r="C260" s="27"/>
      <c r="D260" s="73"/>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27"/>
      <c r="C261" s="27"/>
      <c r="D261" s="73"/>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27"/>
      <c r="C262" s="27"/>
      <c r="D262" s="73"/>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27"/>
      <c r="C263" s="27"/>
      <c r="D263" s="73"/>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27"/>
      <c r="C264" s="27"/>
      <c r="D264" s="73"/>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27"/>
      <c r="C265" s="27"/>
      <c r="D265" s="73"/>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27"/>
      <c r="C266" s="27"/>
      <c r="D266" s="73"/>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27"/>
      <c r="C267" s="27"/>
      <c r="D267" s="73"/>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27"/>
      <c r="C268" s="27"/>
      <c r="D268" s="73"/>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27"/>
      <c r="C269" s="27"/>
      <c r="D269" s="73"/>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27"/>
      <c r="C270" s="27"/>
      <c r="D270" s="73"/>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27"/>
      <c r="C271" s="27"/>
      <c r="D271" s="73"/>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27"/>
      <c r="C272" s="27"/>
      <c r="D272" s="73"/>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27"/>
      <c r="C273" s="27"/>
      <c r="D273" s="73"/>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27"/>
      <c r="C274" s="27"/>
      <c r="D274" s="73"/>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27"/>
      <c r="C275" s="27"/>
      <c r="D275" s="73"/>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27"/>
      <c r="C276" s="27"/>
      <c r="D276" s="73"/>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27"/>
      <c r="C277" s="27"/>
      <c r="D277" s="73"/>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27"/>
      <c r="C278" s="27"/>
      <c r="D278" s="73"/>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27"/>
      <c r="C279" s="27"/>
      <c r="D279" s="73"/>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27"/>
      <c r="C280" s="27"/>
      <c r="D280" s="73"/>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27"/>
      <c r="C281" s="27"/>
      <c r="D281" s="73"/>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27"/>
      <c r="C282" s="27"/>
      <c r="D282" s="73"/>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27"/>
      <c r="C283" s="27"/>
      <c r="D283" s="73"/>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27"/>
      <c r="C284" s="27"/>
      <c r="D284" s="73"/>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27"/>
      <c r="C285" s="27"/>
      <c r="D285" s="73"/>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27"/>
      <c r="C286" s="27"/>
      <c r="D286" s="73"/>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27"/>
      <c r="C287" s="27"/>
      <c r="D287" s="73"/>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27"/>
      <c r="C288" s="27"/>
      <c r="D288" s="73"/>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27"/>
      <c r="C289" s="27"/>
      <c r="D289" s="73"/>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27"/>
      <c r="C290" s="27"/>
      <c r="D290" s="73"/>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27"/>
      <c r="C291" s="27"/>
      <c r="D291" s="73"/>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27"/>
      <c r="C292" s="27"/>
      <c r="D292" s="73"/>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27"/>
      <c r="C293" s="27"/>
      <c r="D293" s="73"/>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27"/>
      <c r="C294" s="27"/>
      <c r="D294" s="73"/>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27"/>
      <c r="C295" s="27"/>
      <c r="D295" s="73"/>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27"/>
      <c r="C296" s="27"/>
      <c r="D296" s="73"/>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27"/>
      <c r="C297" s="27"/>
      <c r="D297" s="73"/>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27"/>
      <c r="C298" s="27"/>
      <c r="D298" s="73"/>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27"/>
      <c r="C299" s="27"/>
      <c r="D299" s="73"/>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27"/>
      <c r="C300" s="27"/>
      <c r="D300" s="73"/>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27"/>
      <c r="C301" s="27"/>
      <c r="D301" s="73"/>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27"/>
      <c r="C302" s="27"/>
      <c r="D302" s="73"/>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27"/>
      <c r="C303" s="27"/>
      <c r="D303" s="73"/>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27"/>
      <c r="C304" s="27"/>
      <c r="D304" s="73"/>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27"/>
      <c r="C305" s="27"/>
      <c r="D305" s="73"/>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27"/>
      <c r="C306" s="27"/>
      <c r="D306" s="73"/>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27"/>
      <c r="C307" s="27"/>
      <c r="D307" s="73"/>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27"/>
      <c r="C308" s="27"/>
      <c r="D308" s="73"/>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27"/>
      <c r="C309" s="27"/>
      <c r="D309" s="73"/>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27"/>
      <c r="C310" s="27"/>
      <c r="D310" s="73"/>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27"/>
      <c r="C311" s="27"/>
      <c r="D311" s="73"/>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27"/>
      <c r="C312" s="27"/>
      <c r="D312" s="73"/>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27"/>
      <c r="C313" s="27"/>
      <c r="D313" s="73"/>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27"/>
      <c r="C314" s="27"/>
      <c r="D314" s="73"/>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27"/>
      <c r="C315" s="27"/>
      <c r="D315" s="73"/>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27"/>
      <c r="C316" s="27"/>
      <c r="D316" s="73"/>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27"/>
      <c r="C317" s="27"/>
      <c r="D317" s="73"/>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27"/>
      <c r="C318" s="27"/>
      <c r="D318" s="73"/>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27"/>
      <c r="C319" s="27"/>
      <c r="D319" s="73"/>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27"/>
      <c r="C320" s="27"/>
      <c r="D320" s="73"/>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27"/>
      <c r="C321" s="27"/>
      <c r="D321" s="73"/>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27"/>
      <c r="C322" s="27"/>
      <c r="D322" s="73"/>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27"/>
      <c r="C323" s="27"/>
      <c r="D323" s="73"/>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27"/>
      <c r="C324" s="27"/>
      <c r="D324" s="73"/>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27"/>
      <c r="C325" s="27"/>
      <c r="D325" s="73"/>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27"/>
      <c r="C326" s="27"/>
      <c r="D326" s="73"/>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27"/>
      <c r="C327" s="27"/>
      <c r="D327" s="73"/>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27"/>
      <c r="C328" s="27"/>
      <c r="D328" s="73"/>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27"/>
      <c r="C329" s="27"/>
      <c r="D329" s="73"/>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27"/>
      <c r="C330" s="27"/>
      <c r="D330" s="73"/>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27"/>
      <c r="C331" s="27"/>
      <c r="D331" s="73"/>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27"/>
      <c r="C332" s="27"/>
      <c r="D332" s="73"/>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27"/>
      <c r="C333" s="27"/>
      <c r="D333" s="73"/>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27"/>
      <c r="C334" s="27"/>
      <c r="D334" s="73"/>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27"/>
      <c r="C335" s="27"/>
      <c r="D335" s="73"/>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27"/>
      <c r="C336" s="27"/>
      <c r="D336" s="73"/>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27"/>
      <c r="C337" s="27"/>
      <c r="D337" s="73"/>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27"/>
      <c r="C338" s="27"/>
      <c r="D338" s="73"/>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27"/>
      <c r="C339" s="27"/>
      <c r="D339" s="73"/>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27"/>
      <c r="C340" s="27"/>
      <c r="D340" s="73"/>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27"/>
      <c r="C341" s="27"/>
      <c r="D341" s="73"/>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27"/>
      <c r="C342" s="27"/>
      <c r="D342" s="73"/>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27"/>
      <c r="C343" s="27"/>
      <c r="D343" s="73"/>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27"/>
      <c r="C344" s="27"/>
      <c r="D344" s="73"/>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27"/>
      <c r="C345" s="27"/>
      <c r="D345" s="73"/>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27"/>
      <c r="C346" s="27"/>
      <c r="D346" s="73"/>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27"/>
      <c r="C347" s="27"/>
      <c r="D347" s="73"/>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27"/>
      <c r="C348" s="27"/>
      <c r="D348" s="73"/>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27"/>
      <c r="C349" s="27"/>
      <c r="D349" s="73"/>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27"/>
      <c r="C350" s="27"/>
      <c r="D350" s="73"/>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27"/>
      <c r="C351" s="27"/>
      <c r="D351" s="73"/>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27"/>
      <c r="C352" s="27"/>
      <c r="D352" s="73"/>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27"/>
      <c r="C353" s="27"/>
      <c r="D353" s="73"/>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27"/>
      <c r="C354" s="27"/>
      <c r="D354" s="73"/>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27"/>
      <c r="C355" s="27"/>
      <c r="D355" s="73"/>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27"/>
      <c r="C356" s="27"/>
      <c r="D356" s="73"/>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27"/>
      <c r="C357" s="27"/>
      <c r="D357" s="73"/>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27"/>
      <c r="C358" s="27"/>
      <c r="D358" s="73"/>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27"/>
      <c r="C359" s="27"/>
      <c r="D359" s="73"/>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27"/>
      <c r="C360" s="27"/>
      <c r="D360" s="73"/>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27"/>
      <c r="C361" s="27"/>
      <c r="D361" s="73"/>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27"/>
      <c r="C362" s="27"/>
      <c r="D362" s="73"/>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27"/>
      <c r="C363" s="27"/>
      <c r="D363" s="73"/>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27"/>
      <c r="C364" s="27"/>
      <c r="D364" s="73"/>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27"/>
      <c r="C365" s="27"/>
      <c r="D365" s="73"/>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27"/>
      <c r="C366" s="27"/>
      <c r="D366" s="73"/>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27"/>
      <c r="C367" s="27"/>
      <c r="D367" s="73"/>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27"/>
      <c r="C368" s="27"/>
      <c r="D368" s="73"/>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27"/>
      <c r="C369" s="27"/>
      <c r="D369" s="73"/>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27"/>
      <c r="C370" s="27"/>
      <c r="D370" s="73"/>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27"/>
      <c r="C371" s="27"/>
      <c r="D371" s="73"/>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27"/>
      <c r="C372" s="27"/>
      <c r="D372" s="73"/>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27"/>
      <c r="C373" s="27"/>
      <c r="D373" s="73"/>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27"/>
      <c r="C374" s="27"/>
      <c r="D374" s="73"/>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27"/>
      <c r="C375" s="27"/>
      <c r="D375" s="73"/>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27"/>
      <c r="C376" s="27"/>
      <c r="D376" s="73"/>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27"/>
      <c r="C377" s="27"/>
      <c r="D377" s="73"/>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27"/>
      <c r="C378" s="27"/>
      <c r="D378" s="73"/>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27"/>
      <c r="C379" s="27"/>
      <c r="D379" s="73"/>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27"/>
      <c r="C380" s="27"/>
      <c r="D380" s="73"/>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27"/>
      <c r="C381" s="27"/>
      <c r="D381" s="73"/>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27"/>
      <c r="C382" s="27"/>
      <c r="D382" s="73"/>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27"/>
      <c r="C383" s="27"/>
      <c r="D383" s="73"/>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27"/>
      <c r="C384" s="27"/>
      <c r="D384" s="73"/>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27"/>
      <c r="C385" s="27"/>
      <c r="D385" s="73"/>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27"/>
      <c r="C386" s="27"/>
      <c r="D386" s="73"/>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27"/>
      <c r="C387" s="27"/>
      <c r="D387" s="73"/>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27"/>
      <c r="C388" s="27"/>
      <c r="D388" s="73"/>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27"/>
      <c r="C389" s="27"/>
      <c r="D389" s="73"/>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27"/>
      <c r="C390" s="27"/>
      <c r="D390" s="73"/>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27"/>
      <c r="C391" s="27"/>
      <c r="D391" s="73"/>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27"/>
      <c r="C392" s="27"/>
      <c r="D392" s="73"/>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27"/>
      <c r="C393" s="27"/>
      <c r="D393" s="73"/>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27"/>
      <c r="C394" s="27"/>
      <c r="D394" s="73"/>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27"/>
      <c r="C395" s="27"/>
      <c r="D395" s="73"/>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27"/>
      <c r="C396" s="27"/>
      <c r="D396" s="73"/>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27"/>
      <c r="C397" s="27"/>
      <c r="D397" s="73"/>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27"/>
      <c r="C398" s="27"/>
      <c r="D398" s="73"/>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27"/>
      <c r="C399" s="27"/>
      <c r="D399" s="73"/>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27"/>
      <c r="C400" s="27"/>
      <c r="D400" s="73"/>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27"/>
      <c r="C401" s="27"/>
      <c r="D401" s="73"/>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27"/>
      <c r="C402" s="27"/>
      <c r="D402" s="73"/>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27"/>
      <c r="C403" s="27"/>
      <c r="D403" s="73"/>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27"/>
      <c r="C404" s="27"/>
      <c r="D404" s="73"/>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27"/>
      <c r="C405" s="27"/>
      <c r="D405" s="73"/>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27"/>
      <c r="C406" s="27"/>
      <c r="D406" s="73"/>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27"/>
      <c r="C407" s="27"/>
      <c r="D407" s="73"/>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27"/>
      <c r="C408" s="27"/>
      <c r="D408" s="73"/>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27"/>
      <c r="C409" s="27"/>
      <c r="D409" s="73"/>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27"/>
      <c r="C410" s="27"/>
      <c r="D410" s="73"/>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27"/>
      <c r="C411" s="27"/>
      <c r="D411" s="73"/>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27"/>
      <c r="C412" s="27"/>
      <c r="D412" s="73"/>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27"/>
      <c r="C413" s="27"/>
      <c r="D413" s="73"/>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27"/>
      <c r="C414" s="27"/>
      <c r="D414" s="73"/>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27"/>
      <c r="C415" s="27"/>
      <c r="D415" s="73"/>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27"/>
      <c r="C416" s="27"/>
      <c r="D416" s="73"/>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27"/>
      <c r="C417" s="27"/>
      <c r="D417" s="73"/>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27"/>
      <c r="C418" s="27"/>
      <c r="D418" s="73"/>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27"/>
      <c r="C419" s="27"/>
      <c r="D419" s="73"/>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27"/>
      <c r="C420" s="27"/>
      <c r="D420" s="73"/>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27"/>
      <c r="C421" s="27"/>
      <c r="D421" s="73"/>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27"/>
      <c r="C422" s="27"/>
      <c r="D422" s="73"/>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27"/>
      <c r="C423" s="27"/>
      <c r="D423" s="73"/>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27"/>
      <c r="C424" s="27"/>
      <c r="D424" s="73"/>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27"/>
      <c r="C425" s="27"/>
      <c r="D425" s="73"/>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27"/>
      <c r="C426" s="27"/>
      <c r="D426" s="73"/>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27"/>
      <c r="C427" s="27"/>
      <c r="D427" s="73"/>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27"/>
      <c r="C428" s="27"/>
      <c r="D428" s="73"/>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27"/>
      <c r="C429" s="27"/>
      <c r="D429" s="73"/>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27"/>
      <c r="C430" s="27"/>
      <c r="D430" s="73"/>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27"/>
      <c r="C431" s="27"/>
      <c r="D431" s="73"/>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27"/>
      <c r="C432" s="27"/>
      <c r="D432" s="73"/>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27"/>
      <c r="C433" s="27"/>
      <c r="D433" s="73"/>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27"/>
      <c r="C434" s="27"/>
      <c r="D434" s="73"/>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27"/>
      <c r="C435" s="27"/>
      <c r="D435" s="73"/>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27"/>
      <c r="C436" s="27"/>
      <c r="D436" s="73"/>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27"/>
      <c r="C437" s="27"/>
      <c r="D437" s="73"/>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27"/>
      <c r="C438" s="27"/>
      <c r="D438" s="73"/>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27"/>
      <c r="C439" s="27"/>
      <c r="D439" s="73"/>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27"/>
      <c r="C440" s="27"/>
      <c r="D440" s="73"/>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27"/>
      <c r="C441" s="27"/>
      <c r="D441" s="73"/>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27"/>
      <c r="C442" s="27"/>
      <c r="D442" s="73"/>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27"/>
      <c r="C443" s="27"/>
      <c r="D443" s="73"/>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27"/>
      <c r="C444" s="27"/>
      <c r="D444" s="73"/>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27"/>
      <c r="C445" s="27"/>
      <c r="D445" s="73"/>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27"/>
      <c r="C446" s="27"/>
      <c r="D446" s="73"/>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27"/>
      <c r="C447" s="27"/>
      <c r="D447" s="73"/>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27"/>
      <c r="C448" s="27"/>
      <c r="D448" s="73"/>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27"/>
      <c r="C449" s="27"/>
      <c r="D449" s="73"/>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27"/>
      <c r="C450" s="27"/>
      <c r="D450" s="73"/>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27"/>
      <c r="C451" s="27"/>
      <c r="D451" s="73"/>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27"/>
      <c r="C452" s="27"/>
      <c r="D452" s="73"/>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27"/>
      <c r="C453" s="27"/>
      <c r="D453" s="73"/>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27"/>
      <c r="C454" s="27"/>
      <c r="D454" s="73"/>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27"/>
      <c r="C455" s="27"/>
      <c r="D455" s="73"/>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27"/>
      <c r="C456" s="27"/>
      <c r="D456" s="73"/>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27"/>
      <c r="C457" s="27"/>
      <c r="D457" s="73"/>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27"/>
      <c r="C458" s="27"/>
      <c r="D458" s="73"/>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27"/>
      <c r="C459" s="27"/>
      <c r="D459" s="73"/>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27"/>
      <c r="C460" s="27"/>
      <c r="D460" s="73"/>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27"/>
      <c r="C461" s="27"/>
      <c r="D461" s="73"/>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27"/>
      <c r="C462" s="27"/>
      <c r="D462" s="73"/>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27"/>
      <c r="C463" s="27"/>
      <c r="D463" s="73"/>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27"/>
      <c r="C464" s="27"/>
      <c r="D464" s="73"/>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27"/>
      <c r="C465" s="27"/>
      <c r="D465" s="73"/>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27"/>
      <c r="C466" s="27"/>
      <c r="D466" s="73"/>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27"/>
      <c r="C467" s="27"/>
      <c r="D467" s="73"/>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27"/>
      <c r="C468" s="27"/>
      <c r="D468" s="73"/>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27"/>
      <c r="C469" s="27"/>
      <c r="D469" s="73"/>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27"/>
      <c r="C470" s="27"/>
      <c r="D470" s="73"/>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27"/>
      <c r="C471" s="27"/>
      <c r="D471" s="73"/>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27"/>
      <c r="C472" s="27"/>
      <c r="D472" s="73"/>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27"/>
      <c r="C473" s="27"/>
      <c r="D473" s="73"/>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27"/>
      <c r="C474" s="27"/>
      <c r="D474" s="73"/>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27"/>
      <c r="C475" s="27"/>
      <c r="D475" s="73"/>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27"/>
      <c r="C476" s="27"/>
      <c r="D476" s="73"/>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27"/>
      <c r="C477" s="27"/>
      <c r="D477" s="73"/>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27"/>
      <c r="C478" s="27"/>
      <c r="D478" s="73"/>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27"/>
      <c r="C479" s="27"/>
      <c r="D479" s="73"/>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27"/>
      <c r="C480" s="27"/>
      <c r="D480" s="73"/>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27"/>
      <c r="C481" s="27"/>
      <c r="D481" s="73"/>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27"/>
      <c r="C482" s="27"/>
      <c r="D482" s="73"/>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27"/>
      <c r="C483" s="27"/>
      <c r="D483" s="73"/>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27"/>
      <c r="C484" s="27"/>
      <c r="D484" s="73"/>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27"/>
      <c r="C485" s="27"/>
      <c r="D485" s="73"/>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27"/>
      <c r="C486" s="27"/>
      <c r="D486" s="73"/>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27"/>
      <c r="C487" s="27"/>
      <c r="D487" s="73"/>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27"/>
      <c r="C488" s="27"/>
      <c r="D488" s="73"/>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27"/>
      <c r="C489" s="27"/>
      <c r="D489" s="73"/>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27"/>
      <c r="C490" s="27"/>
      <c r="D490" s="73"/>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27"/>
      <c r="C491" s="27"/>
      <c r="D491" s="73"/>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27"/>
      <c r="C492" s="27"/>
      <c r="D492" s="73"/>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27"/>
      <c r="C493" s="27"/>
      <c r="D493" s="73"/>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27"/>
      <c r="C494" s="27"/>
      <c r="D494" s="73"/>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27"/>
      <c r="C495" s="27"/>
      <c r="D495" s="73"/>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27"/>
      <c r="C496" s="27"/>
      <c r="D496" s="73"/>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27"/>
      <c r="C497" s="27"/>
      <c r="D497" s="73"/>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27"/>
      <c r="C498" s="27"/>
      <c r="D498" s="73"/>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27"/>
      <c r="C499" s="27"/>
      <c r="D499" s="73"/>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27"/>
      <c r="C500" s="27"/>
      <c r="D500" s="73"/>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27"/>
      <c r="C501" s="27"/>
      <c r="D501" s="73"/>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27"/>
      <c r="C502" s="27"/>
      <c r="D502" s="73"/>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27"/>
      <c r="C503" s="27"/>
      <c r="D503" s="73"/>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27"/>
      <c r="C504" s="27"/>
      <c r="D504" s="73"/>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27"/>
      <c r="C505" s="27"/>
      <c r="D505" s="73"/>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27"/>
      <c r="C506" s="27"/>
      <c r="D506" s="73"/>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27"/>
      <c r="C507" s="27"/>
      <c r="D507" s="73"/>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27"/>
      <c r="C508" s="27"/>
      <c r="D508" s="73"/>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27"/>
      <c r="C509" s="27"/>
      <c r="D509" s="73"/>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27"/>
      <c r="C510" s="27"/>
      <c r="D510" s="73"/>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27"/>
      <c r="C511" s="27"/>
      <c r="D511" s="73"/>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27"/>
      <c r="C512" s="27"/>
      <c r="D512" s="73"/>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27"/>
      <c r="C513" s="27"/>
      <c r="D513" s="73"/>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27"/>
      <c r="C514" s="27"/>
      <c r="D514" s="73"/>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27"/>
      <c r="C515" s="27"/>
      <c r="D515" s="73"/>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27"/>
      <c r="C516" s="27"/>
      <c r="D516" s="73"/>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27"/>
      <c r="C517" s="27"/>
      <c r="D517" s="73"/>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27"/>
      <c r="C518" s="27"/>
      <c r="D518" s="73"/>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27"/>
      <c r="C519" s="27"/>
      <c r="D519" s="73"/>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27"/>
      <c r="C520" s="27"/>
      <c r="D520" s="73"/>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27"/>
      <c r="C521" s="27"/>
      <c r="D521" s="73"/>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27"/>
      <c r="C522" s="27"/>
      <c r="D522" s="73"/>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27"/>
      <c r="C523" s="27"/>
      <c r="D523" s="73"/>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27"/>
      <c r="C524" s="27"/>
      <c r="D524" s="73"/>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27"/>
      <c r="C525" s="27"/>
      <c r="D525" s="73"/>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27"/>
      <c r="C526" s="27"/>
      <c r="D526" s="73"/>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27"/>
      <c r="C527" s="27"/>
      <c r="D527" s="73"/>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27"/>
      <c r="C528" s="27"/>
      <c r="D528" s="73"/>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27"/>
      <c r="C529" s="27"/>
      <c r="D529" s="73"/>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27"/>
      <c r="C530" s="27"/>
      <c r="D530" s="73"/>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27"/>
      <c r="C531" s="27"/>
      <c r="D531" s="73"/>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27"/>
      <c r="C532" s="27"/>
      <c r="D532" s="73"/>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27"/>
      <c r="C533" s="27"/>
      <c r="D533" s="73"/>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27"/>
      <c r="C534" s="27"/>
      <c r="D534" s="73"/>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27"/>
      <c r="C535" s="27"/>
      <c r="D535" s="73"/>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27"/>
      <c r="C536" s="27"/>
      <c r="D536" s="73"/>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27"/>
      <c r="C537" s="27"/>
      <c r="D537" s="73"/>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27"/>
      <c r="C538" s="27"/>
      <c r="D538" s="73"/>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27"/>
      <c r="C539" s="27"/>
      <c r="D539" s="73"/>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27"/>
      <c r="C540" s="27"/>
      <c r="D540" s="73"/>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27"/>
      <c r="C541" s="27"/>
      <c r="D541" s="73"/>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27"/>
      <c r="C542" s="27"/>
      <c r="D542" s="73"/>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27"/>
      <c r="C543" s="27"/>
      <c r="D543" s="73"/>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27"/>
      <c r="C544" s="27"/>
      <c r="D544" s="73"/>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27"/>
      <c r="C545" s="27"/>
      <c r="D545" s="73"/>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27"/>
      <c r="C546" s="27"/>
      <c r="D546" s="73"/>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27"/>
      <c r="C547" s="27"/>
      <c r="D547" s="73"/>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27"/>
      <c r="C548" s="27"/>
      <c r="D548" s="73"/>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27"/>
      <c r="C549" s="27"/>
      <c r="D549" s="73"/>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27"/>
      <c r="C550" s="27"/>
      <c r="D550" s="73"/>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27"/>
      <c r="C551" s="27"/>
      <c r="D551" s="73"/>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27"/>
      <c r="C552" s="27"/>
      <c r="D552" s="73"/>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27"/>
      <c r="C553" s="27"/>
      <c r="D553" s="73"/>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27"/>
      <c r="C554" s="27"/>
      <c r="D554" s="73"/>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27"/>
      <c r="C555" s="27"/>
      <c r="D555" s="73"/>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27"/>
      <c r="C556" s="27"/>
      <c r="D556" s="73"/>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27"/>
      <c r="C557" s="27"/>
      <c r="D557" s="73"/>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27"/>
      <c r="C558" s="27"/>
      <c r="D558" s="73"/>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27"/>
      <c r="C559" s="27"/>
      <c r="D559" s="73"/>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27"/>
      <c r="C560" s="27"/>
      <c r="D560" s="73"/>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27"/>
      <c r="C561" s="27"/>
      <c r="D561" s="73"/>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27"/>
      <c r="C562" s="27"/>
      <c r="D562" s="73"/>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27"/>
      <c r="C563" s="27"/>
      <c r="D563" s="73"/>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27"/>
      <c r="C564" s="27"/>
      <c r="D564" s="73"/>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27"/>
      <c r="C565" s="27"/>
      <c r="D565" s="73"/>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27"/>
      <c r="C566" s="27"/>
      <c r="D566" s="73"/>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27"/>
      <c r="C567" s="27"/>
      <c r="D567" s="73"/>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27"/>
      <c r="C568" s="27"/>
      <c r="D568" s="73"/>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27"/>
      <c r="C569" s="27"/>
      <c r="D569" s="73"/>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27"/>
      <c r="C570" s="27"/>
      <c r="D570" s="73"/>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27"/>
      <c r="C571" s="27"/>
      <c r="D571" s="73"/>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27"/>
      <c r="C572" s="27"/>
      <c r="D572" s="73"/>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27"/>
      <c r="C573" s="27"/>
      <c r="D573" s="73"/>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27"/>
      <c r="C574" s="27"/>
      <c r="D574" s="73"/>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27"/>
      <c r="C575" s="27"/>
      <c r="D575" s="73"/>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27"/>
      <c r="C576" s="27"/>
      <c r="D576" s="73"/>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27"/>
      <c r="C577" s="27"/>
      <c r="D577" s="73"/>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27"/>
      <c r="C578" s="27"/>
      <c r="D578" s="73"/>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27"/>
      <c r="C579" s="27"/>
      <c r="D579" s="73"/>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27"/>
      <c r="C580" s="27"/>
      <c r="D580" s="73"/>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27"/>
      <c r="C581" s="27"/>
      <c r="D581" s="73"/>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27"/>
      <c r="C582" s="27"/>
      <c r="D582" s="73"/>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27"/>
      <c r="C583" s="27"/>
      <c r="D583" s="73"/>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27"/>
      <c r="C584" s="27"/>
      <c r="D584" s="73"/>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27"/>
      <c r="C585" s="27"/>
      <c r="D585" s="73"/>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27"/>
      <c r="C586" s="27"/>
      <c r="D586" s="73"/>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27"/>
      <c r="C587" s="27"/>
      <c r="D587" s="73"/>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27"/>
      <c r="C588" s="27"/>
      <c r="D588" s="73"/>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27"/>
      <c r="C589" s="27"/>
      <c r="D589" s="73"/>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27"/>
      <c r="C590" s="27"/>
      <c r="D590" s="73"/>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27"/>
      <c r="C591" s="27"/>
      <c r="D591" s="73"/>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27"/>
      <c r="C592" s="27"/>
      <c r="D592" s="73"/>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27"/>
      <c r="C593" s="27"/>
      <c r="D593" s="73"/>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27"/>
      <c r="C594" s="27"/>
      <c r="D594" s="73"/>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27"/>
      <c r="C595" s="27"/>
      <c r="D595" s="73"/>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27"/>
      <c r="C596" s="27"/>
      <c r="D596" s="73"/>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27"/>
      <c r="C597" s="27"/>
      <c r="D597" s="73"/>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27"/>
      <c r="C598" s="27"/>
      <c r="D598" s="73"/>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27"/>
      <c r="C599" s="27"/>
      <c r="D599" s="73"/>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27"/>
      <c r="C600" s="27"/>
      <c r="D600" s="73"/>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27"/>
      <c r="C601" s="27"/>
      <c r="D601" s="73"/>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27"/>
      <c r="C602" s="27"/>
      <c r="D602" s="73"/>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27"/>
      <c r="C603" s="27"/>
      <c r="D603" s="73"/>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27"/>
      <c r="C604" s="27"/>
      <c r="D604" s="73"/>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27"/>
      <c r="C605" s="27"/>
      <c r="D605" s="73"/>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27"/>
      <c r="C606" s="27"/>
      <c r="D606" s="73"/>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27"/>
      <c r="C607" s="27"/>
      <c r="D607" s="73"/>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27"/>
      <c r="C608" s="27"/>
      <c r="D608" s="73"/>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27"/>
      <c r="C609" s="27"/>
      <c r="D609" s="73"/>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27"/>
      <c r="C610" s="27"/>
      <c r="D610" s="73"/>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27"/>
      <c r="C611" s="27"/>
      <c r="D611" s="73"/>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27"/>
      <c r="C612" s="27"/>
      <c r="D612" s="73"/>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27"/>
      <c r="C613" s="27"/>
      <c r="D613" s="73"/>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27"/>
      <c r="C614" s="27"/>
      <c r="D614" s="73"/>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27"/>
      <c r="C615" s="27"/>
      <c r="D615" s="73"/>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27"/>
      <c r="C616" s="27"/>
      <c r="D616" s="73"/>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27"/>
      <c r="C617" s="27"/>
      <c r="D617" s="73"/>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27"/>
      <c r="C618" s="27"/>
      <c r="D618" s="73"/>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27"/>
      <c r="C619" s="27"/>
      <c r="D619" s="73"/>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27"/>
      <c r="C620" s="27"/>
      <c r="D620" s="73"/>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27"/>
      <c r="C621" s="27"/>
      <c r="D621" s="73"/>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27"/>
      <c r="C622" s="27"/>
      <c r="D622" s="73"/>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27"/>
      <c r="C623" s="27"/>
      <c r="D623" s="73"/>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27"/>
      <c r="C624" s="27"/>
      <c r="D624" s="73"/>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27"/>
      <c r="C625" s="27"/>
      <c r="D625" s="73"/>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27"/>
      <c r="C626" s="27"/>
      <c r="D626" s="73"/>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27"/>
      <c r="C627" s="27"/>
      <c r="D627" s="73"/>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27"/>
      <c r="C628" s="27"/>
      <c r="D628" s="73"/>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27"/>
      <c r="C629" s="27"/>
      <c r="D629" s="73"/>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27"/>
      <c r="C630" s="27"/>
      <c r="D630" s="73"/>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27"/>
      <c r="C631" s="27"/>
      <c r="D631" s="73"/>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27"/>
      <c r="C632" s="27"/>
      <c r="D632" s="73"/>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27"/>
      <c r="C633" s="27"/>
      <c r="D633" s="73"/>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27"/>
      <c r="C634" s="27"/>
      <c r="D634" s="73"/>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27"/>
      <c r="C635" s="27"/>
      <c r="D635" s="73"/>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27"/>
      <c r="C636" s="27"/>
      <c r="D636" s="73"/>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27"/>
      <c r="C637" s="27"/>
      <c r="D637" s="73"/>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27"/>
      <c r="C638" s="27"/>
      <c r="D638" s="73"/>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27"/>
      <c r="C639" s="27"/>
      <c r="D639" s="73"/>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27"/>
      <c r="C640" s="27"/>
      <c r="D640" s="73"/>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27"/>
      <c r="C641" s="27"/>
      <c r="D641" s="73"/>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27"/>
      <c r="C642" s="27"/>
      <c r="D642" s="73"/>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27"/>
      <c r="C643" s="27"/>
      <c r="D643" s="73"/>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27"/>
      <c r="C644" s="27"/>
      <c r="D644" s="73"/>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27"/>
      <c r="C645" s="27"/>
      <c r="D645" s="73"/>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27"/>
      <c r="C646" s="27"/>
      <c r="D646" s="73"/>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27"/>
      <c r="C647" s="27"/>
      <c r="D647" s="73"/>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27"/>
      <c r="C648" s="27"/>
      <c r="D648" s="73"/>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27"/>
      <c r="C649" s="27"/>
      <c r="D649" s="73"/>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27"/>
      <c r="C650" s="27"/>
      <c r="D650" s="73"/>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27"/>
      <c r="C651" s="27"/>
      <c r="D651" s="73"/>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27"/>
      <c r="C652" s="27"/>
      <c r="D652" s="73"/>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27"/>
      <c r="C653" s="27"/>
      <c r="D653" s="73"/>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27"/>
      <c r="C654" s="27"/>
      <c r="D654" s="73"/>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27"/>
      <c r="C655" s="27"/>
      <c r="D655" s="73"/>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27"/>
      <c r="C656" s="27"/>
      <c r="D656" s="73"/>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27"/>
      <c r="C657" s="27"/>
      <c r="D657" s="73"/>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27"/>
      <c r="C658" s="27"/>
      <c r="D658" s="73"/>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27"/>
      <c r="C659" s="27"/>
      <c r="D659" s="73"/>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27"/>
      <c r="C660" s="27"/>
      <c r="D660" s="73"/>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27"/>
      <c r="C661" s="27"/>
      <c r="D661" s="73"/>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27"/>
      <c r="C662" s="27"/>
      <c r="D662" s="73"/>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27"/>
      <c r="C663" s="27"/>
      <c r="D663" s="73"/>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27"/>
      <c r="C664" s="27"/>
      <c r="D664" s="73"/>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27"/>
      <c r="C665" s="27"/>
      <c r="D665" s="73"/>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27"/>
      <c r="C666" s="27"/>
      <c r="D666" s="73"/>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27"/>
      <c r="C667" s="27"/>
      <c r="D667" s="73"/>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27"/>
      <c r="C668" s="27"/>
      <c r="D668" s="73"/>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27"/>
      <c r="C669" s="27"/>
      <c r="D669" s="73"/>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27"/>
      <c r="C670" s="27"/>
      <c r="D670" s="73"/>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27"/>
      <c r="C671" s="27"/>
      <c r="D671" s="73"/>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27"/>
      <c r="C672" s="27"/>
      <c r="D672" s="73"/>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27"/>
      <c r="C673" s="27"/>
      <c r="D673" s="73"/>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27"/>
      <c r="C674" s="27"/>
      <c r="D674" s="73"/>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27"/>
      <c r="C675" s="27"/>
      <c r="D675" s="73"/>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27"/>
      <c r="C676" s="27"/>
      <c r="D676" s="73"/>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27"/>
      <c r="C677" s="27"/>
      <c r="D677" s="73"/>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27"/>
      <c r="C678" s="27"/>
      <c r="D678" s="73"/>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27"/>
      <c r="C679" s="27"/>
      <c r="D679" s="73"/>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27"/>
      <c r="C680" s="27"/>
      <c r="D680" s="73"/>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27"/>
      <c r="C681" s="27"/>
      <c r="D681" s="73"/>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27"/>
      <c r="C682" s="27"/>
      <c r="D682" s="73"/>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27"/>
      <c r="C683" s="27"/>
      <c r="D683" s="73"/>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27"/>
      <c r="C684" s="27"/>
      <c r="D684" s="73"/>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27"/>
      <c r="C685" s="27"/>
      <c r="D685" s="73"/>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27"/>
      <c r="C686" s="27"/>
      <c r="D686" s="73"/>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27"/>
      <c r="C687" s="27"/>
      <c r="D687" s="73"/>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27"/>
      <c r="C688" s="27"/>
      <c r="D688" s="73"/>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27"/>
      <c r="C689" s="27"/>
      <c r="D689" s="73"/>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27"/>
      <c r="C690" s="27"/>
      <c r="D690" s="73"/>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27"/>
      <c r="C691" s="27"/>
      <c r="D691" s="73"/>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27"/>
      <c r="C692" s="27"/>
      <c r="D692" s="73"/>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27"/>
      <c r="C693" s="27"/>
      <c r="D693" s="73"/>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27"/>
      <c r="C694" s="27"/>
      <c r="D694" s="73"/>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27"/>
      <c r="C695" s="27"/>
      <c r="D695" s="73"/>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27"/>
      <c r="C696" s="27"/>
      <c r="D696" s="73"/>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27"/>
      <c r="C697" s="27"/>
      <c r="D697" s="73"/>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27"/>
      <c r="C698" s="27"/>
      <c r="D698" s="73"/>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27"/>
      <c r="C699" s="27"/>
      <c r="D699" s="73"/>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27"/>
      <c r="C700" s="27"/>
      <c r="D700" s="73"/>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27"/>
      <c r="C701" s="27"/>
      <c r="D701" s="73"/>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27"/>
      <c r="C702" s="27"/>
      <c r="D702" s="73"/>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27"/>
      <c r="C703" s="27"/>
      <c r="D703" s="73"/>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27"/>
      <c r="C704" s="27"/>
      <c r="D704" s="73"/>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27"/>
      <c r="C705" s="27"/>
      <c r="D705" s="73"/>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27"/>
      <c r="C706" s="27"/>
      <c r="D706" s="73"/>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27"/>
      <c r="C707" s="27"/>
      <c r="D707" s="73"/>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27"/>
      <c r="C708" s="27"/>
      <c r="D708" s="73"/>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27"/>
      <c r="C709" s="27"/>
      <c r="D709" s="73"/>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27"/>
      <c r="C710" s="27"/>
      <c r="D710" s="73"/>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27"/>
      <c r="C711" s="27"/>
      <c r="D711" s="73"/>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27"/>
      <c r="C712" s="27"/>
      <c r="D712" s="73"/>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27"/>
      <c r="C713" s="27"/>
      <c r="D713" s="73"/>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27"/>
      <c r="C714" s="27"/>
      <c r="D714" s="73"/>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27"/>
      <c r="C715" s="27"/>
      <c r="D715" s="73"/>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27"/>
      <c r="C716" s="27"/>
      <c r="D716" s="73"/>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27"/>
      <c r="C717" s="27"/>
      <c r="D717" s="73"/>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27"/>
      <c r="C718" s="27"/>
      <c r="D718" s="73"/>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27"/>
      <c r="C719" s="27"/>
      <c r="D719" s="73"/>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27"/>
      <c r="C720" s="27"/>
      <c r="D720" s="73"/>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27"/>
      <c r="C721" s="27"/>
      <c r="D721" s="73"/>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27"/>
      <c r="C722" s="27"/>
      <c r="D722" s="73"/>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27"/>
      <c r="C723" s="27"/>
      <c r="D723" s="73"/>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27"/>
      <c r="C724" s="27"/>
      <c r="D724" s="73"/>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27"/>
      <c r="C725" s="27"/>
      <c r="D725" s="73"/>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27"/>
      <c r="C726" s="27"/>
      <c r="D726" s="73"/>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27"/>
      <c r="C727" s="27"/>
      <c r="D727" s="73"/>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27"/>
      <c r="C728" s="27"/>
      <c r="D728" s="73"/>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27"/>
      <c r="C729" s="27"/>
      <c r="D729" s="73"/>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27"/>
      <c r="C730" s="27"/>
      <c r="D730" s="73"/>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27"/>
      <c r="C731" s="27"/>
      <c r="D731" s="73"/>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27"/>
      <c r="C732" s="27"/>
      <c r="D732" s="73"/>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27"/>
      <c r="C733" s="27"/>
      <c r="D733" s="73"/>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27"/>
      <c r="C734" s="27"/>
      <c r="D734" s="73"/>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27"/>
      <c r="C735" s="27"/>
      <c r="D735" s="73"/>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27"/>
      <c r="C736" s="27"/>
      <c r="D736" s="73"/>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27"/>
      <c r="C737" s="27"/>
      <c r="D737" s="73"/>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27"/>
      <c r="C738" s="27"/>
      <c r="D738" s="73"/>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27"/>
      <c r="C739" s="27"/>
      <c r="D739" s="73"/>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27"/>
      <c r="C740" s="27"/>
      <c r="D740" s="73"/>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27"/>
      <c r="C741" s="27"/>
      <c r="D741" s="73"/>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27"/>
      <c r="C742" s="27"/>
      <c r="D742" s="73"/>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27"/>
      <c r="C743" s="27"/>
      <c r="D743" s="73"/>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27"/>
      <c r="C744" s="27"/>
      <c r="D744" s="73"/>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27"/>
      <c r="C745" s="27"/>
      <c r="D745" s="73"/>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27"/>
      <c r="C746" s="27"/>
      <c r="D746" s="73"/>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27"/>
      <c r="C747" s="27"/>
      <c r="D747" s="73"/>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27"/>
      <c r="C748" s="27"/>
      <c r="D748" s="73"/>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27"/>
      <c r="C749" s="27"/>
      <c r="D749" s="73"/>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27"/>
      <c r="C750" s="27"/>
      <c r="D750" s="73"/>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27"/>
      <c r="C751" s="27"/>
      <c r="D751" s="73"/>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27"/>
      <c r="C752" s="27"/>
      <c r="D752" s="73"/>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27"/>
      <c r="C753" s="27"/>
      <c r="D753" s="73"/>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27"/>
      <c r="C754" s="27"/>
      <c r="D754" s="73"/>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27"/>
      <c r="C755" s="27"/>
      <c r="D755" s="73"/>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27"/>
      <c r="C756" s="27"/>
      <c r="D756" s="73"/>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27"/>
      <c r="C757" s="27"/>
      <c r="D757" s="73"/>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27"/>
      <c r="C758" s="27"/>
      <c r="D758" s="73"/>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27"/>
      <c r="C759" s="27"/>
      <c r="D759" s="73"/>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27"/>
      <c r="C760" s="27"/>
      <c r="D760" s="73"/>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27"/>
      <c r="C761" s="27"/>
      <c r="D761" s="73"/>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27"/>
      <c r="C762" s="27"/>
      <c r="D762" s="73"/>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27"/>
      <c r="C763" s="27"/>
      <c r="D763" s="73"/>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27"/>
      <c r="C764" s="27"/>
      <c r="D764" s="73"/>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27"/>
      <c r="C765" s="27"/>
      <c r="D765" s="73"/>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27"/>
      <c r="C766" s="27"/>
      <c r="D766" s="73"/>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27"/>
      <c r="C767" s="27"/>
      <c r="D767" s="73"/>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27"/>
      <c r="C768" s="27"/>
      <c r="D768" s="73"/>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27"/>
      <c r="C769" s="27"/>
      <c r="D769" s="73"/>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27"/>
      <c r="C770" s="27"/>
      <c r="D770" s="73"/>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27"/>
      <c r="C771" s="27"/>
      <c r="D771" s="73"/>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27"/>
      <c r="C772" s="27"/>
      <c r="D772" s="73"/>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27"/>
      <c r="C773" s="27"/>
      <c r="D773" s="73"/>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27"/>
      <c r="C774" s="27"/>
      <c r="D774" s="73"/>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27"/>
      <c r="C775" s="27"/>
      <c r="D775" s="73"/>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27"/>
      <c r="C776" s="27"/>
      <c r="D776" s="73"/>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27"/>
      <c r="C777" s="27"/>
      <c r="D777" s="73"/>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27"/>
      <c r="C778" s="27"/>
      <c r="D778" s="73"/>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27"/>
      <c r="C779" s="27"/>
      <c r="D779" s="73"/>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27"/>
      <c r="C780" s="27"/>
      <c r="D780" s="73"/>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27"/>
      <c r="C781" s="27"/>
      <c r="D781" s="73"/>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27"/>
      <c r="C782" s="27"/>
      <c r="D782" s="73"/>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27"/>
      <c r="C783" s="27"/>
      <c r="D783" s="73"/>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27"/>
      <c r="C784" s="27"/>
      <c r="D784" s="73"/>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27"/>
      <c r="C785" s="27"/>
      <c r="D785" s="73"/>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27"/>
      <c r="C786" s="27"/>
      <c r="D786" s="73"/>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27"/>
      <c r="C787" s="27"/>
      <c r="D787" s="73"/>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27"/>
      <c r="C788" s="27"/>
      <c r="D788" s="73"/>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27"/>
      <c r="C789" s="27"/>
      <c r="D789" s="73"/>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27"/>
      <c r="C790" s="27"/>
      <c r="D790" s="73"/>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27"/>
      <c r="C791" s="27"/>
      <c r="D791" s="73"/>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27"/>
      <c r="C792" s="27"/>
      <c r="D792" s="73"/>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27"/>
      <c r="C793" s="27"/>
      <c r="D793" s="73"/>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27"/>
      <c r="C794" s="27"/>
      <c r="D794" s="73"/>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27"/>
      <c r="C795" s="27"/>
      <c r="D795" s="73"/>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27"/>
      <c r="C796" s="27"/>
      <c r="D796" s="73"/>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27"/>
      <c r="C797" s="27"/>
      <c r="D797" s="73"/>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27"/>
      <c r="C798" s="27"/>
      <c r="D798" s="73"/>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27"/>
      <c r="C799" s="27"/>
      <c r="D799" s="73"/>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27"/>
      <c r="C800" s="27"/>
      <c r="D800" s="73"/>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27"/>
      <c r="C801" s="27"/>
      <c r="D801" s="73"/>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27"/>
      <c r="C802" s="27"/>
      <c r="D802" s="73"/>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27"/>
      <c r="C803" s="27"/>
      <c r="D803" s="73"/>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27"/>
      <c r="C804" s="27"/>
      <c r="D804" s="73"/>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27"/>
      <c r="C805" s="27"/>
      <c r="D805" s="73"/>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27"/>
      <c r="C806" s="27"/>
      <c r="D806" s="73"/>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27"/>
      <c r="C807" s="27"/>
      <c r="D807" s="73"/>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27"/>
      <c r="C808" s="27"/>
      <c r="D808" s="73"/>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27"/>
      <c r="C809" s="27"/>
      <c r="D809" s="73"/>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27"/>
      <c r="C810" s="27"/>
      <c r="D810" s="73"/>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27"/>
      <c r="C811" s="27"/>
      <c r="D811" s="73"/>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27"/>
      <c r="C812" s="27"/>
      <c r="D812" s="73"/>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27"/>
      <c r="C813" s="27"/>
      <c r="D813" s="73"/>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27"/>
      <c r="C814" s="27"/>
      <c r="D814" s="73"/>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27"/>
      <c r="C815" s="27"/>
      <c r="D815" s="73"/>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27"/>
      <c r="C816" s="27"/>
      <c r="D816" s="73"/>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27"/>
      <c r="C817" s="27"/>
      <c r="D817" s="73"/>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27"/>
      <c r="C818" s="27"/>
      <c r="D818" s="73"/>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27"/>
      <c r="C819" s="27"/>
      <c r="D819" s="73"/>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27"/>
      <c r="C820" s="27"/>
      <c r="D820" s="73"/>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27"/>
      <c r="C821" s="27"/>
      <c r="D821" s="73"/>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27"/>
      <c r="C822" s="27"/>
      <c r="D822" s="73"/>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27"/>
      <c r="C823" s="27"/>
      <c r="D823" s="73"/>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27"/>
      <c r="C824" s="27"/>
      <c r="D824" s="73"/>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27"/>
      <c r="C825" s="27"/>
      <c r="D825" s="73"/>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27"/>
      <c r="C826" s="27"/>
      <c r="D826" s="73"/>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27"/>
      <c r="C827" s="27"/>
      <c r="D827" s="73"/>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27"/>
      <c r="C828" s="27"/>
      <c r="D828" s="73"/>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27"/>
      <c r="C829" s="27"/>
      <c r="D829" s="73"/>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27"/>
      <c r="C830" s="27"/>
      <c r="D830" s="73"/>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27"/>
      <c r="C831" s="27"/>
      <c r="D831" s="73"/>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27"/>
      <c r="C832" s="27"/>
      <c r="D832" s="73"/>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27"/>
      <c r="C833" s="27"/>
      <c r="D833" s="73"/>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27"/>
      <c r="C834" s="27"/>
      <c r="D834" s="73"/>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27"/>
      <c r="C835" s="27"/>
      <c r="D835" s="73"/>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27"/>
      <c r="C836" s="27"/>
      <c r="D836" s="73"/>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27"/>
      <c r="C837" s="27"/>
      <c r="D837" s="73"/>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27"/>
      <c r="C838" s="27"/>
      <c r="D838" s="73"/>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27"/>
      <c r="C839" s="27"/>
      <c r="D839" s="73"/>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27"/>
      <c r="C840" s="27"/>
      <c r="D840" s="73"/>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27"/>
      <c r="C841" s="27"/>
      <c r="D841" s="73"/>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27"/>
      <c r="C842" s="27"/>
      <c r="D842" s="73"/>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27"/>
      <c r="C843" s="27"/>
      <c r="D843" s="73"/>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27"/>
      <c r="C844" s="27"/>
      <c r="D844" s="73"/>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27"/>
      <c r="C845" s="27"/>
      <c r="D845" s="73"/>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27"/>
      <c r="C846" s="27"/>
      <c r="D846" s="73"/>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27"/>
      <c r="C847" s="27"/>
      <c r="D847" s="73"/>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27"/>
      <c r="C848" s="27"/>
      <c r="D848" s="73"/>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27"/>
      <c r="C849" s="27"/>
      <c r="D849" s="73"/>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27"/>
      <c r="C850" s="27"/>
      <c r="D850" s="73"/>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27"/>
      <c r="C851" s="27"/>
      <c r="D851" s="73"/>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27"/>
      <c r="C852" s="27"/>
      <c r="D852" s="73"/>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27"/>
      <c r="C853" s="27"/>
      <c r="D853" s="73"/>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27"/>
      <c r="C854" s="27"/>
      <c r="D854" s="73"/>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27"/>
      <c r="C855" s="27"/>
      <c r="D855" s="73"/>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27"/>
      <c r="C856" s="27"/>
      <c r="D856" s="73"/>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27"/>
      <c r="C857" s="27"/>
      <c r="D857" s="73"/>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27"/>
      <c r="C858" s="27"/>
      <c r="D858" s="73"/>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27"/>
      <c r="C859" s="27"/>
      <c r="D859" s="73"/>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27"/>
      <c r="C860" s="27"/>
      <c r="D860" s="73"/>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27"/>
      <c r="C861" s="27"/>
      <c r="D861" s="73"/>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27"/>
      <c r="C862" s="27"/>
      <c r="D862" s="73"/>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27"/>
      <c r="C863" s="27"/>
      <c r="D863" s="73"/>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27"/>
      <c r="C864" s="27"/>
      <c r="D864" s="73"/>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27"/>
      <c r="C865" s="27"/>
      <c r="D865" s="73"/>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27"/>
      <c r="C866" s="27"/>
      <c r="D866" s="73"/>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27"/>
      <c r="C867" s="27"/>
      <c r="D867" s="73"/>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27"/>
      <c r="C868" s="27"/>
      <c r="D868" s="73"/>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27"/>
      <c r="C869" s="27"/>
      <c r="D869" s="73"/>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27"/>
      <c r="C870" s="27"/>
      <c r="D870" s="73"/>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27"/>
      <c r="C871" s="27"/>
      <c r="D871" s="73"/>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27"/>
      <c r="C872" s="27"/>
      <c r="D872" s="73"/>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27"/>
      <c r="C873" s="27"/>
      <c r="D873" s="73"/>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27"/>
      <c r="C874" s="27"/>
      <c r="D874" s="73"/>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27"/>
      <c r="C875" s="27"/>
      <c r="D875" s="73"/>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27"/>
      <c r="C876" s="27"/>
      <c r="D876" s="73"/>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27"/>
      <c r="C877" s="27"/>
      <c r="D877" s="73"/>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27"/>
      <c r="C878" s="27"/>
      <c r="D878" s="73"/>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27"/>
      <c r="C879" s="27"/>
      <c r="D879" s="73"/>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27"/>
      <c r="C880" s="27"/>
      <c r="D880" s="73"/>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27"/>
      <c r="C881" s="27"/>
      <c r="D881" s="73"/>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27"/>
      <c r="C882" s="27"/>
      <c r="D882" s="73"/>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27"/>
      <c r="C883" s="27"/>
      <c r="D883" s="73"/>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27"/>
      <c r="C884" s="27"/>
      <c r="D884" s="73"/>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27"/>
      <c r="C885" s="27"/>
      <c r="D885" s="73"/>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27"/>
      <c r="C886" s="27"/>
      <c r="D886" s="73"/>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27"/>
      <c r="C887" s="27"/>
      <c r="D887" s="73"/>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27"/>
      <c r="C888" s="27"/>
      <c r="D888" s="73"/>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27"/>
      <c r="C889" s="27"/>
      <c r="D889" s="73"/>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27"/>
      <c r="C890" s="27"/>
      <c r="D890" s="73"/>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27"/>
      <c r="C891" s="27"/>
      <c r="D891" s="73"/>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27"/>
      <c r="C892" s="27"/>
      <c r="D892" s="73"/>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27"/>
      <c r="C893" s="27"/>
      <c r="D893" s="73"/>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27"/>
      <c r="C894" s="27"/>
      <c r="D894" s="73"/>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27"/>
      <c r="C895" s="27"/>
      <c r="D895" s="73"/>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27"/>
      <c r="C896" s="27"/>
      <c r="D896" s="73"/>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27"/>
      <c r="C897" s="27"/>
      <c r="D897" s="73"/>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27"/>
      <c r="C898" s="27"/>
      <c r="D898" s="73"/>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27"/>
      <c r="C899" s="27"/>
      <c r="D899" s="73"/>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27"/>
      <c r="C900" s="27"/>
      <c r="D900" s="73"/>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27"/>
      <c r="C901" s="27"/>
      <c r="D901" s="73"/>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27"/>
      <c r="C902" s="27"/>
      <c r="D902" s="73"/>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27"/>
      <c r="C903" s="27"/>
      <c r="D903" s="73"/>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27"/>
      <c r="C904" s="27"/>
      <c r="D904" s="73"/>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27"/>
      <c r="C905" s="27"/>
      <c r="D905" s="73"/>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27"/>
      <c r="C906" s="27"/>
      <c r="D906" s="73"/>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27"/>
      <c r="C907" s="27"/>
      <c r="D907" s="73"/>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27"/>
      <c r="C908" s="27"/>
      <c r="D908" s="73"/>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27"/>
      <c r="C909" s="27"/>
      <c r="D909" s="73"/>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27"/>
      <c r="C910" s="27"/>
      <c r="D910" s="73"/>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27"/>
      <c r="C911" s="27"/>
      <c r="D911" s="73"/>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27"/>
      <c r="C912" s="27"/>
      <c r="D912" s="73"/>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27"/>
      <c r="C913" s="27"/>
      <c r="D913" s="73"/>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27"/>
      <c r="C914" s="27"/>
      <c r="D914" s="73"/>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27"/>
      <c r="C915" s="27"/>
      <c r="D915" s="73"/>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27"/>
      <c r="C916" s="27"/>
      <c r="D916" s="73"/>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27"/>
      <c r="C917" s="27"/>
      <c r="D917" s="73"/>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27"/>
      <c r="C918" s="27"/>
      <c r="D918" s="73"/>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27"/>
      <c r="C919" s="27"/>
      <c r="D919" s="73"/>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27"/>
      <c r="C920" s="27"/>
      <c r="D920" s="73"/>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27"/>
      <c r="C921" s="27"/>
      <c r="D921" s="73"/>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27"/>
      <c r="C922" s="27"/>
      <c r="D922" s="73"/>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27"/>
      <c r="C923" s="27"/>
      <c r="D923" s="73"/>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27"/>
      <c r="C924" s="27"/>
      <c r="D924" s="73"/>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27"/>
      <c r="C925" s="27"/>
      <c r="D925" s="73"/>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27"/>
      <c r="C926" s="27"/>
      <c r="D926" s="73"/>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27"/>
      <c r="C927" s="27"/>
      <c r="D927" s="73"/>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27"/>
      <c r="C928" s="27"/>
      <c r="D928" s="73"/>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27"/>
      <c r="C929" s="27"/>
      <c r="D929" s="73"/>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27"/>
      <c r="C930" s="27"/>
      <c r="D930" s="73"/>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27"/>
      <c r="C931" s="27"/>
      <c r="D931" s="73"/>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27"/>
      <c r="C932" s="27"/>
      <c r="D932" s="73"/>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27"/>
      <c r="C933" s="27"/>
      <c r="D933" s="73"/>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27"/>
      <c r="C934" s="27"/>
      <c r="D934" s="73"/>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27"/>
      <c r="C935" s="27"/>
      <c r="D935" s="73"/>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27"/>
      <c r="C936" s="27"/>
      <c r="D936" s="73"/>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27"/>
      <c r="C937" s="27"/>
      <c r="D937" s="73"/>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27"/>
      <c r="C938" s="27"/>
      <c r="D938" s="73"/>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27"/>
      <c r="C939" s="27"/>
      <c r="D939" s="73"/>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27"/>
      <c r="C940" s="27"/>
      <c r="D940" s="73"/>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27"/>
      <c r="C941" s="27"/>
      <c r="D941" s="73"/>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27"/>
      <c r="C942" s="27"/>
      <c r="D942" s="73"/>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27"/>
      <c r="C943" s="27"/>
      <c r="D943" s="73"/>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27"/>
      <c r="C944" s="27"/>
      <c r="D944" s="73"/>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27"/>
      <c r="C945" s="27"/>
      <c r="D945" s="73"/>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27"/>
      <c r="C946" s="27"/>
      <c r="D946" s="73"/>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27"/>
      <c r="C947" s="27"/>
      <c r="D947" s="73"/>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27"/>
      <c r="C948" s="27"/>
      <c r="D948" s="73"/>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27"/>
      <c r="C949" s="27"/>
      <c r="D949" s="73"/>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27"/>
      <c r="C950" s="27"/>
      <c r="D950" s="73"/>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27"/>
      <c r="C951" s="27"/>
      <c r="D951" s="73"/>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27"/>
      <c r="C952" s="27"/>
      <c r="D952" s="73"/>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27"/>
      <c r="C953" s="27"/>
      <c r="D953" s="73"/>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27"/>
      <c r="C954" s="27"/>
      <c r="D954" s="73"/>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27"/>
      <c r="C955" s="27"/>
      <c r="D955" s="73"/>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27"/>
      <c r="C956" s="27"/>
      <c r="D956" s="73"/>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27"/>
      <c r="C957" s="27"/>
      <c r="D957" s="73"/>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27"/>
      <c r="C958" s="27"/>
      <c r="D958" s="73"/>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27"/>
      <c r="C959" s="27"/>
      <c r="D959" s="73"/>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27"/>
      <c r="C960" s="27"/>
      <c r="D960" s="73"/>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27"/>
      <c r="C961" s="27"/>
      <c r="D961" s="73"/>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27"/>
      <c r="C962" s="27"/>
      <c r="D962" s="73"/>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27"/>
      <c r="C963" s="27"/>
      <c r="D963" s="73"/>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27"/>
      <c r="C964" s="27"/>
      <c r="D964" s="73"/>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27"/>
      <c r="C965" s="27"/>
      <c r="D965" s="73"/>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27"/>
      <c r="C966" s="27"/>
      <c r="D966" s="73"/>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27"/>
      <c r="C967" s="27"/>
      <c r="D967" s="73"/>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27"/>
      <c r="C968" s="27"/>
      <c r="D968" s="73"/>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27"/>
      <c r="C969" s="27"/>
      <c r="D969" s="73"/>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27"/>
      <c r="C970" s="27"/>
      <c r="D970" s="73"/>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27"/>
      <c r="C971" s="27"/>
      <c r="D971" s="73"/>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27"/>
      <c r="C972" s="27"/>
      <c r="D972" s="73"/>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c r="A973" s="27"/>
      <c r="B973" s="27"/>
      <c r="C973" s="27"/>
      <c r="D973" s="73"/>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c r="A974" s="27"/>
      <c r="B974" s="27"/>
      <c r="C974" s="27"/>
      <c r="D974" s="73"/>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c r="A975" s="27"/>
      <c r="B975" s="27"/>
      <c r="C975" s="27"/>
      <c r="D975" s="73"/>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c r="A976" s="27"/>
      <c r="B976" s="27"/>
      <c r="C976" s="27"/>
      <c r="D976" s="73"/>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c r="A977" s="27"/>
      <c r="B977" s="27"/>
      <c r="C977" s="27"/>
      <c r="D977" s="73"/>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c r="A978" s="27"/>
      <c r="B978" s="27"/>
      <c r="C978" s="27"/>
      <c r="D978" s="73"/>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c r="A979" s="27"/>
      <c r="B979" s="27"/>
      <c r="C979" s="27"/>
      <c r="D979" s="73"/>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c r="A980" s="27"/>
      <c r="B980" s="27"/>
      <c r="C980" s="27"/>
      <c r="D980" s="73"/>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c r="A981" s="27"/>
      <c r="B981" s="27"/>
      <c r="C981" s="27"/>
      <c r="D981" s="73"/>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c r="A982" s="27"/>
      <c r="B982" s="27"/>
      <c r="C982" s="27"/>
      <c r="D982" s="73"/>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c r="A983" s="27"/>
      <c r="B983" s="27"/>
      <c r="C983" s="27"/>
      <c r="D983" s="73"/>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c r="A984" s="27"/>
      <c r="B984" s="27"/>
      <c r="C984" s="27"/>
      <c r="D984" s="73"/>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c r="A985" s="27"/>
      <c r="B985" s="27"/>
      <c r="C985" s="27"/>
      <c r="D985" s="73"/>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c r="A986" s="27"/>
      <c r="B986" s="27"/>
      <c r="C986" s="27"/>
      <c r="D986" s="73"/>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c r="A987" s="27"/>
      <c r="B987" s="27"/>
      <c r="C987" s="27"/>
      <c r="D987" s="73"/>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c r="A988" s="27"/>
      <c r="B988" s="27"/>
      <c r="C988" s="27"/>
      <c r="D988" s="73"/>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c r="A989" s="27"/>
      <c r="B989" s="27"/>
      <c r="C989" s="27"/>
      <c r="D989" s="73"/>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c r="A990" s="27"/>
      <c r="B990" s="27"/>
      <c r="C990" s="27"/>
      <c r="D990" s="73"/>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c r="A991" s="27"/>
      <c r="B991" s="27"/>
      <c r="C991" s="27"/>
      <c r="D991" s="73"/>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c r="A992" s="27"/>
      <c r="B992" s="27"/>
      <c r="C992" s="27"/>
      <c r="D992" s="73"/>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c r="A993" s="27"/>
      <c r="B993" s="27"/>
      <c r="C993" s="27"/>
      <c r="D993" s="73"/>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c r="A994" s="27"/>
      <c r="B994" s="27"/>
      <c r="C994" s="27"/>
      <c r="D994" s="73"/>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c r="A995" s="27"/>
      <c r="B995" s="27"/>
      <c r="C995" s="27"/>
      <c r="D995" s="73"/>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c r="A996" s="27"/>
      <c r="B996" s="27"/>
      <c r="C996" s="27"/>
      <c r="D996" s="73"/>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c r="A997" s="27"/>
      <c r="B997" s="27"/>
      <c r="C997" s="27"/>
      <c r="D997" s="73"/>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c r="A998" s="27"/>
      <c r="B998" s="27"/>
      <c r="C998" s="27"/>
      <c r="D998" s="73"/>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sheetData>
  <mergeCells count="2">
    <mergeCell ref="B3:C3"/>
    <mergeCell ref="B2:C2"/>
  </mergeCells>
  <hyperlinks>
    <hyperlink ref="A1" location="'Modelo de dominio'!A1" display="&lt;&lt;&lt;Modelo de Dominio" xr:uid="{00000000-0004-0000-0700-000000000000}"/>
    <hyperlink ref="B1" location="'Objetos de dominio'!A1" display="&lt;&lt;&lt;Objetos de Dominio" xr:uid="{00000000-0004-0000-0700-000001000000}"/>
    <hyperlink ref="B3" location="'Objetos de dominio'!B26" display="Objeto de dominio que representa el reemplazo de un producto proximo a vencer por uno nuevo, generando la salida del lote saliente y la entrada del nuevo lote en el inventario." xr:uid="{00000000-0004-0000-0700-000002000000}"/>
  </hyperlink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60">
    <tabColor theme="2"/>
    <outlinePr summaryBelow="0" summaryRight="0"/>
  </sheetPr>
  <dimension ref="A1:I21"/>
  <sheetViews>
    <sheetView topLeftCell="E1" zoomScaleNormal="100" workbookViewId="0">
      <selection activeCell="B1" sqref="B1"/>
    </sheetView>
  </sheetViews>
  <sheetFormatPr baseColWidth="10" defaultColWidth="12.625" defaultRowHeight="15.8" customHeight="1"/>
  <cols>
    <col min="2" max="2" width="21.25" customWidth="1"/>
    <col min="3" max="3" width="35.75" customWidth="1"/>
    <col min="4" max="4" width="14.125" customWidth="1"/>
    <col min="5" max="5" width="48.75" customWidth="1"/>
    <col min="6" max="6" width="29.625" customWidth="1"/>
    <col min="7" max="7" width="38.875" customWidth="1"/>
    <col min="8" max="8" width="15.875" customWidth="1"/>
    <col min="9" max="9" width="20.625" customWidth="1"/>
  </cols>
  <sheetData>
    <row r="1" spans="1:9" ht="12.75" customHeight="1">
      <c r="A1" s="76" t="s">
        <v>0</v>
      </c>
      <c r="B1" s="201"/>
      <c r="C1" s="201"/>
      <c r="D1" s="201"/>
      <c r="E1" s="201"/>
      <c r="F1" s="4"/>
      <c r="G1" s="4"/>
      <c r="H1" s="201"/>
      <c r="I1" s="201"/>
    </row>
    <row r="2" spans="1:9" ht="97.5" customHeight="1">
      <c r="A2" s="103" t="s">
        <v>635</v>
      </c>
      <c r="B2" s="103" t="s">
        <v>636</v>
      </c>
      <c r="C2" s="103" t="s">
        <v>637</v>
      </c>
      <c r="D2" s="103" t="s">
        <v>638</v>
      </c>
      <c r="E2" s="104" t="s">
        <v>639</v>
      </c>
      <c r="F2" s="104" t="s">
        <v>640</v>
      </c>
      <c r="G2" s="104" t="s">
        <v>641</v>
      </c>
      <c r="H2" s="104" t="s">
        <v>642</v>
      </c>
      <c r="I2" s="104"/>
    </row>
    <row r="3" spans="1:9" ht="12.75" customHeight="1">
      <c r="A3" s="100" t="s">
        <v>8</v>
      </c>
      <c r="B3" s="100" t="s">
        <v>9</v>
      </c>
      <c r="C3" s="100" t="s">
        <v>643</v>
      </c>
      <c r="D3" s="100" t="s">
        <v>38</v>
      </c>
      <c r="E3" s="101" t="s">
        <v>1156</v>
      </c>
      <c r="F3" s="101" t="s">
        <v>1156</v>
      </c>
      <c r="G3" s="101" t="s">
        <v>28</v>
      </c>
      <c r="H3" s="101" t="s">
        <v>483</v>
      </c>
      <c r="I3" s="101"/>
    </row>
    <row r="4" spans="1:9" ht="12.75" customHeight="1">
      <c r="A4" s="102" t="s">
        <v>14</v>
      </c>
      <c r="B4" s="102" t="s">
        <v>15</v>
      </c>
      <c r="C4" s="102" t="s">
        <v>15</v>
      </c>
      <c r="D4" s="102" t="s">
        <v>15</v>
      </c>
      <c r="E4" s="200" t="s">
        <v>15</v>
      </c>
      <c r="F4" s="105" t="s">
        <v>15</v>
      </c>
      <c r="G4" s="105" t="s">
        <v>15</v>
      </c>
      <c r="H4" s="105" t="s">
        <v>15</v>
      </c>
      <c r="I4" s="105"/>
    </row>
    <row r="5" spans="1:9" ht="12.75" customHeight="1">
      <c r="A5" s="106" t="s">
        <v>16</v>
      </c>
      <c r="B5" s="442" t="s">
        <v>77</v>
      </c>
      <c r="C5" s="107" t="s">
        <v>644</v>
      </c>
      <c r="D5" s="445" t="s">
        <v>38</v>
      </c>
      <c r="E5" s="446" t="s">
        <v>76</v>
      </c>
      <c r="F5" s="450" t="s">
        <v>645</v>
      </c>
      <c r="G5" s="452" t="s">
        <v>646</v>
      </c>
      <c r="H5" s="77" t="s">
        <v>647</v>
      </c>
      <c r="I5" s="108" t="s">
        <v>18</v>
      </c>
    </row>
    <row r="6" spans="1:9" ht="12.75" customHeight="1">
      <c r="A6" s="547">
        <v>1</v>
      </c>
      <c r="B6" s="443">
        <f>'M-Compra'!C6+VLOOKUP(D6,'M-ProductoInterno'!$B:$D,3,FALSE)</f>
        <v>46273</v>
      </c>
      <c r="C6" s="401" t="str">
        <f t="shared" ref="C6:C21" si="0">IF(F6&gt;0,"Si","No")</f>
        <v>Si</v>
      </c>
      <c r="D6" s="547" t="str">
        <f>'M-DetalleCompra'!B7</f>
        <v>Queso</v>
      </c>
      <c r="E6" s="447">
        <f>'M-MovimientoInventario'!F6</f>
        <v>10.199999999999999</v>
      </c>
      <c r="F6" s="547">
        <f>MAX(0,E6-SUMIFS('M-MovimientoInventario'!$F$6:$F$195,'M-MovimientoInventario'!$E$6:$E$195,I6,'M-MovimientoInventario'!$D$6:$D$195,"Salida")-SUMIF('M-SalidaLote'!$B$6:$B$200,I6,'M-SalidaLote'!$C$6:$C$200))</f>
        <v>10.1</v>
      </c>
      <c r="G6" s="451" t="str">
        <f>IF(VLOOKUP(VLOOKUP(D6,'M-ProductoInterno'!$B:$E,4,FALSE),'M-UnidadMedida'!$B:$C,2,FALSE)="Peso","kg",IF(VLOOKUP(VLOOKUP(D6,'M-ProductoInterno'!$B:$E,4,FALSE),'M-UnidadMedida'!$B:$C,2,FALSE)="Volumen","l","und"))</f>
        <v>kg</v>
      </c>
      <c r="H6" s="547">
        <f>COUNTIF($D$6:D6,D6)</f>
        <v>1</v>
      </c>
      <c r="I6" s="547" t="str">
        <f t="shared" ref="I6:I21" si="1">H6&amp;" "&amp;D6</f>
        <v>1 Queso</v>
      </c>
    </row>
    <row r="7" spans="1:9" ht="12.75" customHeight="1">
      <c r="A7" s="547">
        <v>2</v>
      </c>
      <c r="B7" s="443">
        <f>'M-Compra'!C6+VLOOKUP(D7,'M-ProductoInterno'!$B:$D,3,FALSE)</f>
        <v>46274</v>
      </c>
      <c r="C7" s="401" t="str">
        <f t="shared" si="0"/>
        <v>Si</v>
      </c>
      <c r="D7" s="547" t="str">
        <f>'M-DetalleCompra'!B8</f>
        <v>Albahaca</v>
      </c>
      <c r="E7" s="447">
        <f>'M-MovimientoInventario'!F7</f>
        <v>10.3</v>
      </c>
      <c r="F7" s="547">
        <f>MAX(0,E7-SUMIFS('M-MovimientoInventario'!$F$6:$F$195,'M-MovimientoInventario'!$E$6:$E$195,I7,'M-MovimientoInventario'!$D$6:$D$195,"Salida")-SUMIF('M-SalidaLote'!$B$6:$B$200,I7,'M-SalidaLote'!$C$6:$C$200))</f>
        <v>10.25</v>
      </c>
      <c r="G7" s="451" t="str">
        <f>IF(VLOOKUP(VLOOKUP(D7,'M-ProductoInterno'!$B:$E,4,FALSE),'M-UnidadMedida'!$B:$C,2,FALSE)="Peso","kg",IF(VLOOKUP(VLOOKUP(D7,'M-ProductoInterno'!$B:$E,4,FALSE),'M-UnidadMedida'!$B:$C,2,FALSE)="Volumen","l","und"))</f>
        <v>kg</v>
      </c>
      <c r="H7" s="547">
        <f>COUNTIF($D$6:D7,D7)</f>
        <v>1</v>
      </c>
      <c r="I7" s="547" t="str">
        <f t="shared" si="1"/>
        <v>1 Albahaca</v>
      </c>
    </row>
    <row r="8" spans="1:9" ht="12.75" customHeight="1">
      <c r="A8" s="547">
        <v>3</v>
      </c>
      <c r="B8" s="443">
        <f>'M-Compra'!C6+VLOOKUP(D8,'M-ProductoInterno'!$B:$D,3,FALSE)</f>
        <v>46275</v>
      </c>
      <c r="C8" s="402" t="str">
        <f t="shared" si="0"/>
        <v>Si</v>
      </c>
      <c r="D8" s="547" t="str">
        <f>'M-DetalleCompra'!B9</f>
        <v>Peperoni</v>
      </c>
      <c r="E8" s="447">
        <f>'M-MovimientoInventario'!F8</f>
        <v>12.5</v>
      </c>
      <c r="F8" s="559">
        <f>MAX(0,E8-SUMIFS('M-MovimientoInventario'!$F$6:$F$195,'M-MovimientoInventario'!$E$6:$E$195,I8,'M-MovimientoInventario'!$D$6:$D$195,"Salida")-SUMIF('M-SalidaLote'!$B$6:$B$200,I8,'M-SalidaLote'!$C$6:$C$200))</f>
        <v>12.34</v>
      </c>
      <c r="G8" s="451" t="str">
        <f>IF(VLOOKUP(VLOOKUP(D8,'M-ProductoInterno'!$B:$E,4,FALSE),'M-UnidadMedida'!$B:$C,2,FALSE)="Peso","kg",IF(VLOOKUP(VLOOKUP(D8,'M-ProductoInterno'!$B:$E,4,FALSE),'M-UnidadMedida'!$B:$C,2,FALSE)="Volumen","l","und"))</f>
        <v>kg</v>
      </c>
      <c r="H8" s="547">
        <f>COUNTIF($D$6:D8,D8)</f>
        <v>1</v>
      </c>
      <c r="I8" s="547" t="str">
        <f t="shared" si="1"/>
        <v>1 Peperoni</v>
      </c>
    </row>
    <row r="9" spans="1:9" ht="12.75" customHeight="1">
      <c r="A9" s="547">
        <v>4</v>
      </c>
      <c r="B9" s="443">
        <f>'M-DetalleCompra'!F10</f>
        <v>46422</v>
      </c>
      <c r="C9" s="402" t="str">
        <f t="shared" si="0"/>
        <v>Si</v>
      </c>
      <c r="D9" s="547" t="str">
        <f>'M-DetalleCompra'!B10</f>
        <v>Aceite de oliva</v>
      </c>
      <c r="E9" s="447">
        <f>'M-MovimientoInventario'!F9</f>
        <v>15.2</v>
      </c>
      <c r="F9" s="547">
        <f>MAX(0,E9-SUMIFS('M-MovimientoInventario'!$F$6:$F$195,'M-MovimientoInventario'!$E$6:$E$195,I9,'M-MovimientoInventario'!$D$6:$D$195,"Salida")-SUMIF('M-SalidaLote'!$B$6:$B$200,I9,'M-SalidaLote'!$C$6:$C$200))</f>
        <v>15.197999999999999</v>
      </c>
      <c r="G9" s="451" t="str">
        <f>IF(VLOOKUP(VLOOKUP(D9,'M-ProductoInterno'!$B:$E,4,FALSE),'M-UnidadMedida'!$B:$C,2,FALSE)="Peso","kg",IF(VLOOKUP(VLOOKUP(D9,'M-ProductoInterno'!$B:$E,4,FALSE),'M-UnidadMedida'!$B:$C,2,FALSE)="Volumen","l","und"))</f>
        <v>l</v>
      </c>
      <c r="H9" s="547">
        <f>COUNTIF($D$6:D9,D9)</f>
        <v>1</v>
      </c>
      <c r="I9" s="547" t="str">
        <f t="shared" si="1"/>
        <v>1 Aceite de oliva</v>
      </c>
    </row>
    <row r="10" spans="1:9" ht="12.75" customHeight="1">
      <c r="A10" s="547">
        <v>5</v>
      </c>
      <c r="B10" s="443">
        <f>'M-DetalleCompra'!F11</f>
        <v>46423</v>
      </c>
      <c r="C10" s="402" t="str">
        <f t="shared" si="0"/>
        <v>Si</v>
      </c>
      <c r="D10" s="547" t="str">
        <f>'M-DetalleCompra'!B11</f>
        <v>Aceite de oliva</v>
      </c>
      <c r="E10" s="447">
        <f>'M-MovimientoInventario'!F10</f>
        <v>3</v>
      </c>
      <c r="F10" s="547">
        <f>MAX(0,E10-SUMIFS('M-MovimientoInventario'!$F$6:$F$195,'M-MovimientoInventario'!$E$6:$E$195,I10,'M-MovimientoInventario'!$D$6:$D$195,"Salida")-SUMIF('M-SalidaLote'!$B$6:$B$200,I10,'M-SalidaLote'!$C$6:$C$200))</f>
        <v>3</v>
      </c>
      <c r="G10" s="451" t="str">
        <f>IF(VLOOKUP(VLOOKUP(D10,'M-ProductoInterno'!$B:$E,4,FALSE),'M-UnidadMedida'!$B:$C,2,FALSE)="Peso","kg",IF(VLOOKUP(VLOOKUP(D10,'M-ProductoInterno'!$B:$E,4,FALSE),'M-UnidadMedida'!$B:$C,2,FALSE)="Volumen","l","und"))</f>
        <v>l</v>
      </c>
      <c r="H10" s="547">
        <f>COUNTIF($D$6:D10,D10)</f>
        <v>2</v>
      </c>
      <c r="I10" s="547" t="str">
        <f t="shared" si="1"/>
        <v>2 Aceite de oliva</v>
      </c>
    </row>
    <row r="11" spans="1:9" ht="12.75" customHeight="1">
      <c r="A11" s="547">
        <v>6</v>
      </c>
      <c r="B11" s="443">
        <f>'M-DetalleCompra'!F12</f>
        <v>46540</v>
      </c>
      <c r="C11" s="402" t="str">
        <f t="shared" si="0"/>
        <v>No</v>
      </c>
      <c r="D11" s="547" t="str">
        <f>'M-DetalleCompra'!B12</f>
        <v>Masa de Pizza</v>
      </c>
      <c r="E11" s="447">
        <f>'M-MovimientoInventario'!F11</f>
        <v>0.2</v>
      </c>
      <c r="F11" s="547">
        <f>MAX(0,E11-SUMIFS('M-MovimientoInventario'!$F$6:$F$195,'M-MovimientoInventario'!$E$6:$E$195,I11,'M-MovimientoInventario'!$D$6:$D$195,"Salida")-SUMIF('M-SalidaLote'!$B$6:$B$200,I11,'M-SalidaLote'!$C$6:$C$200))</f>
        <v>0</v>
      </c>
      <c r="G11" s="451" t="str">
        <f>IF(VLOOKUP(VLOOKUP(D11,'M-ProductoInterno'!$B:$E,4,FALSE),'M-UnidadMedida'!$B:$C,2,FALSE)="Peso","kg",IF(VLOOKUP(VLOOKUP(D11,'M-ProductoInterno'!$B:$E,4,FALSE),'M-UnidadMedida'!$B:$C,2,FALSE)="Volumen","l","und"))</f>
        <v>kg</v>
      </c>
      <c r="H11" s="547">
        <f>COUNTIF($D$6:D11,D11)</f>
        <v>1</v>
      </c>
      <c r="I11" s="547" t="str">
        <f t="shared" si="1"/>
        <v>1 Masa de Pizza</v>
      </c>
    </row>
    <row r="12" spans="1:9" ht="12.75" customHeight="1">
      <c r="A12" s="547">
        <v>7</v>
      </c>
      <c r="B12" s="443">
        <f>'M-DetalleCompra'!F13</f>
        <v>46285</v>
      </c>
      <c r="C12" s="402" t="str">
        <f t="shared" si="0"/>
        <v>Si</v>
      </c>
      <c r="D12" s="547" t="str">
        <f>'M-DetalleCompra'!B13</f>
        <v>Pepsi 400 ml</v>
      </c>
      <c r="E12" s="447">
        <f>'M-MovimientoInventario'!F12</f>
        <v>24</v>
      </c>
      <c r="F12" s="547">
        <f>MAX(0,E12-SUMIFS('M-MovimientoInventario'!$F$6:$F$195,'M-MovimientoInventario'!$E$6:$E$195,I12,'M-MovimientoInventario'!$D$6:$D$195,"Salida")-SUMIF('M-SalidaLote'!$B$6:$B$200,I12,'M-SalidaLote'!$C$6:$C$200))</f>
        <v>24</v>
      </c>
      <c r="G12" s="451" t="str">
        <f>IF(VLOOKUP(VLOOKUP(D12,'M-ProductoInterno'!$B:$E,4,FALSE),'M-UnidadMedida'!$B:$C,2,FALSE)="Peso","kg",IF(VLOOKUP(VLOOKUP(D12,'M-ProductoInterno'!$B:$E,4,FALSE),'M-UnidadMedida'!$B:$C,2,FALSE)="Volumen","l","und"))</f>
        <v>und</v>
      </c>
      <c r="H12" s="547">
        <f>COUNTIF($D$6:D12,D12)</f>
        <v>1</v>
      </c>
      <c r="I12" s="547" t="str">
        <f t="shared" si="1"/>
        <v>1 Pepsi 400 ml</v>
      </c>
    </row>
    <row r="13" spans="1:9" ht="12.75" customHeight="1">
      <c r="A13" s="547">
        <v>8</v>
      </c>
      <c r="B13" s="443">
        <f>'M-DetalleCompra'!F14</f>
        <v>46645</v>
      </c>
      <c r="C13" s="403" t="str">
        <f t="shared" si="0"/>
        <v>Si</v>
      </c>
      <c r="D13" s="341" t="str">
        <f>'M-DetalleCompra'!B14</f>
        <v>Masa de Pizza</v>
      </c>
      <c r="E13" s="448">
        <f>'M-MovimientoInventario'!F13</f>
        <v>12</v>
      </c>
      <c r="F13" s="341">
        <f>MAX(0,E13-SUMIFS('M-MovimientoInventario'!$F$6:$F$195,'M-MovimientoInventario'!$E$6:$E$195,I13,'M-MovimientoInventario'!$D$6:$D$195,"Salida")-SUMIF('M-SalidaLote'!$B$6:$B$200,I13,'M-SalidaLote'!$C$6:$C$200))</f>
        <v>11.85</v>
      </c>
      <c r="G13" s="448" t="str">
        <f>IF(VLOOKUP(VLOOKUP(D13,'M-ProductoInterno'!$B:$E,4,FALSE),'M-UnidadMedida'!$B:$C,2,FALSE)="Peso","kg",IF(VLOOKUP(VLOOKUP(D13,'M-ProductoInterno'!$B:$E,4,FALSE),'M-UnidadMedida'!$B:$C,2,FALSE)="Volumen","l","und"))</f>
        <v>kg</v>
      </c>
      <c r="H13" s="341">
        <f>COUNTIF($D$6:D13,D13)</f>
        <v>2</v>
      </c>
      <c r="I13" s="341" t="str">
        <f t="shared" si="1"/>
        <v>2 Masa de Pizza</v>
      </c>
    </row>
    <row r="14" spans="1:9" ht="12.75" customHeight="1">
      <c r="A14" s="547">
        <v>9</v>
      </c>
      <c r="B14" s="443">
        <f>'M-Compra'!C10+VLOOKUP(D14,'M-ProductoInterno'!$B:$D,3,FALSE)</f>
        <v>46211</v>
      </c>
      <c r="C14" s="403" t="str">
        <f t="shared" si="0"/>
        <v>Si</v>
      </c>
      <c r="D14" s="341" t="str">
        <f>'M-DetalleCompra'!B15</f>
        <v>Queso</v>
      </c>
      <c r="E14" s="448">
        <f>'M-MovimientoInventario'!F14</f>
        <v>0.15</v>
      </c>
      <c r="F14" s="341">
        <f>MAX(0,E14-SUMIFS('M-MovimientoInventario'!$F$6:$F$195,'M-MovimientoInventario'!$E$6:$E$195,I14,'M-MovimientoInventario'!$D$6:$D$195,"Salida")-SUMIF('M-SalidaLote'!$B$6:$B$200,I14,'M-SalidaLote'!$C$6:$C$200))</f>
        <v>0.15</v>
      </c>
      <c r="G14" s="448" t="str">
        <f>IF(VLOOKUP(VLOOKUP(D14,'M-ProductoInterno'!$B:$E,4,FALSE),'M-UnidadMedida'!$B:$C,2,FALSE)="Peso","kg",IF(VLOOKUP(VLOOKUP(D14,'M-ProductoInterno'!$B:$E,4,FALSE),'M-UnidadMedida'!$B:$C,2,FALSE)="Volumen","l","und"))</f>
        <v>kg</v>
      </c>
      <c r="H14" s="341">
        <f>COUNTIF($D$6:D14,D14)</f>
        <v>2</v>
      </c>
      <c r="I14" s="341" t="str">
        <f t="shared" si="1"/>
        <v>2 Queso</v>
      </c>
    </row>
    <row r="15" spans="1:9" ht="32.950000000000003" customHeight="1">
      <c r="A15" s="559">
        <v>10</v>
      </c>
      <c r="B15" s="444">
        <f>'M-DetalleCompra'!F16</f>
        <v>46553</v>
      </c>
      <c r="C15" s="223" t="str">
        <f t="shared" si="0"/>
        <v>Si</v>
      </c>
      <c r="D15" s="559" t="str">
        <f>'M-DetalleCompra'!B16</f>
        <v>Salsa de Tomate</v>
      </c>
      <c r="E15" s="449">
        <f>'M-MovimientoInventario'!F15</f>
        <v>10.5</v>
      </c>
      <c r="F15" s="342">
        <f>MAX(0,E15-SUMIFS('M-MovimientoInventario'!$F$6:$F$195,'M-MovimientoInventario'!$E$6:$E$195,I15,'M-MovimientoInventario'!$D$6:$D$195,"Salida")-SUMIF('M-SalidaLote'!$B$6:$B$200,I15,'M-SalidaLote'!$C$6:$C$200))</f>
        <v>10.199999999999999</v>
      </c>
      <c r="G15" s="449" t="str">
        <f>IF(VLOOKUP(VLOOKUP(D15,'M-ProductoInterno'!$B:$E,4,FALSE),'M-UnidadMedida'!$B:$C,2,FALSE)="Peso","kg",IF(VLOOKUP(VLOOKUP(D15,'M-ProductoInterno'!$B:$E,4,FALSE),'M-UnidadMedida'!$B:$C,2,FALSE)="Volumen","l","und"))</f>
        <v>kg</v>
      </c>
      <c r="H15" s="559">
        <f>COUNTIF($D$6:D15,D15)</f>
        <v>1</v>
      </c>
      <c r="I15" s="559" t="str">
        <f t="shared" si="1"/>
        <v>1 Salsa de Tomate</v>
      </c>
    </row>
    <row r="16" spans="1:9" ht="12.75" customHeight="1">
      <c r="A16" s="559">
        <v>11</v>
      </c>
      <c r="B16" s="444">
        <f>'M-Cambio'!E7</f>
        <v>46357</v>
      </c>
      <c r="C16" s="223" t="str">
        <f t="shared" si="0"/>
        <v>Si</v>
      </c>
      <c r="D16" s="559" t="str">
        <f>'M-Cambio'!B7</f>
        <v>Pepsi 400 ml</v>
      </c>
      <c r="E16" s="449">
        <f>'M-MovimientoInventario'!F23</f>
        <v>24</v>
      </c>
      <c r="F16" s="223">
        <f>MAX(0,E16-SUMIFS('M-MovimientoInventario'!$F$6:$F$195,'M-MovimientoInventario'!$E$6:$E$195,I16,'M-MovimientoInventario'!$D$6:$D$195,"Salida")-SUMIF('M-SalidaLote'!$B$6:$B$200,I16,'M-SalidaLote'!$C$6:$C$200))</f>
        <v>24</v>
      </c>
      <c r="G16" s="449" t="str">
        <f>IF(VLOOKUP(VLOOKUP(D16,'M-ProductoInterno'!$B:$E,4,FALSE),'M-UnidadMedida'!$B:$C,2,FALSE)="Peso","kg",IF(VLOOKUP(VLOOKUP(D16,'M-ProductoInterno'!$B:$E,4,FALSE),'M-UnidadMedida'!$B:$C,2,FALSE)="Volumen","l","und"))</f>
        <v>und</v>
      </c>
      <c r="H16" s="559">
        <f>COUNTIF($D$6:D16,D16)</f>
        <v>2</v>
      </c>
      <c r="I16" s="559" t="str">
        <f t="shared" si="1"/>
        <v>2 Pepsi 400 ml</v>
      </c>
    </row>
    <row r="17" spans="1:9" ht="15.8" customHeight="1">
      <c r="A17" s="559">
        <v>12</v>
      </c>
      <c r="B17" s="444">
        <f>'M-Cambio'!E8</f>
        <v>46310</v>
      </c>
      <c r="C17" s="223" t="str">
        <f t="shared" si="0"/>
        <v>Si</v>
      </c>
      <c r="D17" s="559" t="str">
        <f>'M-Cambio'!B8</f>
        <v>Aceite de oliva</v>
      </c>
      <c r="E17" s="449">
        <f>'M-MovimientoInventario'!F24</f>
        <v>5</v>
      </c>
      <c r="F17" s="223">
        <f>MAX(0,E17-SUMIFS('M-MovimientoInventario'!$F$6:$F$195,'M-MovimientoInventario'!$E$6:$E$195,I17,'M-MovimientoInventario'!$D$6:$D$195,"Salida")-SUMIF('M-SalidaLote'!$B$6:$B$200,I17,'M-SalidaLote'!$C$6:$C$200))</f>
        <v>2</v>
      </c>
      <c r="G17" s="449" t="str">
        <f>IF(VLOOKUP(VLOOKUP(D17,'M-ProductoInterno'!$B:$E,4,FALSE),'M-UnidadMedida'!$B:$C,2,FALSE)="Peso","kg",IF(VLOOKUP(VLOOKUP(D17,'M-ProductoInterno'!$B:$E,4,FALSE),'M-UnidadMedida'!$B:$C,2,FALSE)="Volumen","l","und"))</f>
        <v>l</v>
      </c>
      <c r="H17" s="559">
        <f>COUNTIF($D$6:D17,D17)</f>
        <v>3</v>
      </c>
      <c r="I17" s="559" t="str">
        <f t="shared" si="1"/>
        <v>3 Aceite de oliva</v>
      </c>
    </row>
    <row r="18" spans="1:9" ht="15.8" customHeight="1">
      <c r="A18" s="559">
        <v>13</v>
      </c>
      <c r="B18" s="444">
        <f>'M-Compra'!C12+VLOOKUP(D18,'M-ProductoInterno'!$B:$D,3,FALSE)</f>
        <v>46298</v>
      </c>
      <c r="C18" s="223" t="str">
        <f t="shared" si="0"/>
        <v>No</v>
      </c>
      <c r="D18" s="559" t="str">
        <f>'M-DetalleCompra'!B17</f>
        <v>Queso</v>
      </c>
      <c r="E18" s="449">
        <f>'M-MovimientoInventario'!F25</f>
        <v>0.3</v>
      </c>
      <c r="F18" s="223">
        <f>MAX(0,E18-SUMIFS('M-MovimientoInventario'!$F$6:$F$195,'M-MovimientoInventario'!$E$6:$E$195,I18,'M-MovimientoInventario'!$D$6:$D$195,"Salida")-SUMIF('M-SalidaLote'!$B$6:$B$200,I18,'M-SalidaLote'!$C$6:$C$200))</f>
        <v>0</v>
      </c>
      <c r="G18" s="449" t="str">
        <f>IF(VLOOKUP(VLOOKUP(D18,'M-ProductoInterno'!$B:$E,4,FALSE),'M-UnidadMedida'!$B:$C,2,FALSE)="Peso","kg",IF(VLOOKUP(VLOOKUP(D18,'M-ProductoInterno'!$B:$E,4,FALSE),'M-UnidadMedida'!$B:$C,2,FALSE)="Volumen","l","und"))</f>
        <v>kg</v>
      </c>
      <c r="H18" s="559">
        <f>COUNTIF($D$6:D18,D18)</f>
        <v>3</v>
      </c>
      <c r="I18" s="559" t="str">
        <f t="shared" si="1"/>
        <v>3 Queso</v>
      </c>
    </row>
    <row r="19" spans="1:9" ht="15.8" customHeight="1">
      <c r="A19" s="559">
        <v>14</v>
      </c>
      <c r="B19" s="444">
        <f>'M-Compra'!C13+VLOOKUP(D19,'M-ProductoInterno'!$B:$D,3,FALSE)</f>
        <v>46303</v>
      </c>
      <c r="C19" s="223" t="str">
        <f t="shared" si="0"/>
        <v>Si</v>
      </c>
      <c r="D19" s="559" t="str">
        <f>'M-DetalleCompra'!B18</f>
        <v>Jamón</v>
      </c>
      <c r="E19" s="449">
        <f>'M-MovimientoInventario'!F26</f>
        <v>1</v>
      </c>
      <c r="F19" s="223">
        <f>MAX(0,E19-SUMIFS('M-MovimientoInventario'!$F$6:$F$195,'M-MovimientoInventario'!$E$6:$E$195,I19,'M-MovimientoInventario'!$D$6:$D$195,"Salida")-SUMIF('M-SalidaLote'!$B$6:$B$200,I19,'M-SalidaLote'!$C$6:$C$200))</f>
        <v>0.5</v>
      </c>
      <c r="G19" s="449" t="str">
        <f>IF(VLOOKUP(VLOOKUP(D19,'M-ProductoInterno'!$B:$E,4,FALSE),'M-UnidadMedida'!$B:$C,2,FALSE)="Peso","kg",IF(VLOOKUP(VLOOKUP(D19,'M-ProductoInterno'!$B:$E,4,FALSE),'M-UnidadMedida'!$B:$C,2,FALSE)="Volumen","l","und"))</f>
        <v>kg</v>
      </c>
      <c r="H19" s="559">
        <f>COUNTIF($D$6:D19,D19)</f>
        <v>1</v>
      </c>
      <c r="I19" s="559" t="str">
        <f t="shared" si="1"/>
        <v>1 Jamón</v>
      </c>
    </row>
    <row r="20" spans="1:9" ht="15.8" customHeight="1">
      <c r="A20" s="559">
        <v>15</v>
      </c>
      <c r="B20" s="444">
        <f>'M-Compra'!C13+VLOOKUP(D20,'M-ProductoInterno'!$B:$D,3,FALSE)</f>
        <v>46299</v>
      </c>
      <c r="C20" s="223" t="str">
        <f t="shared" si="0"/>
        <v>Si</v>
      </c>
      <c r="D20" s="559" t="str">
        <f>'M-DetalleCompra'!B19</f>
        <v>Piña</v>
      </c>
      <c r="E20" s="449">
        <f>'M-MovimientoInventario'!F27</f>
        <v>1</v>
      </c>
      <c r="F20" s="223">
        <f>MAX(0,E20-SUMIFS('M-MovimientoInventario'!$F$6:$F$195,'M-MovimientoInventario'!$E$6:$E$195,I20,'M-MovimientoInventario'!$D$6:$D$195,"Salida")-SUMIF('M-SalidaLote'!$B$6:$B$200,I20,'M-SalidaLote'!$C$6:$C$200))</f>
        <v>0.42000000000000004</v>
      </c>
      <c r="G20" s="449" t="str">
        <f>IF(VLOOKUP(VLOOKUP(D20,'M-ProductoInterno'!$B:$E,4,FALSE),'M-UnidadMedida'!$B:$C,2,FALSE)="Peso","kg",IF(VLOOKUP(VLOOKUP(D20,'M-ProductoInterno'!$B:$E,4,FALSE),'M-UnidadMedida'!$B:$C,2,FALSE)="Volumen","l","und"))</f>
        <v>kg</v>
      </c>
      <c r="H20" s="559">
        <f>COUNTIF($D$6:D20,D20)</f>
        <v>1</v>
      </c>
      <c r="I20" s="559" t="str">
        <f t="shared" si="1"/>
        <v>1 Piña</v>
      </c>
    </row>
    <row r="21" spans="1:9" ht="15.8" customHeight="1">
      <c r="A21" s="559">
        <v>16</v>
      </c>
      <c r="B21" s="444">
        <f>'M-Compra'!C14+VLOOKUP(D21,'M-ProductoInterno'!$B:$D,3,FALSE)</f>
        <v>46302</v>
      </c>
      <c r="C21" s="223" t="str">
        <f t="shared" si="0"/>
        <v>No</v>
      </c>
      <c r="D21" s="559" t="str">
        <f>'M-DetalleCompra'!B20</f>
        <v>Queso</v>
      </c>
      <c r="E21" s="449">
        <f>'M-MovimientoInventario'!F28</f>
        <v>0.5</v>
      </c>
      <c r="F21" s="223">
        <f>MAX(0,E21-SUMIFS('M-MovimientoInventario'!$F$6:$F$195,'M-MovimientoInventario'!$E$6:$E$195,I21,'M-MovimientoInventario'!$D$6:$D$195,"Salida")-SUMIF('M-SalidaLote'!$B$6:$B$200,I21,'M-SalidaLote'!$C$6:$C$200))</f>
        <v>0</v>
      </c>
      <c r="G21" s="449" t="str">
        <f>IF(VLOOKUP(VLOOKUP(D21,'M-ProductoInterno'!$B:$E,4,FALSE),'M-UnidadMedida'!$B:$C,2,FALSE)="Peso","kg",IF(VLOOKUP(VLOOKUP(D21,'M-ProductoInterno'!$B:$E,4,FALSE),'M-UnidadMedida'!$B:$C,2,FALSE)="Volumen","l","und"))</f>
        <v>kg</v>
      </c>
      <c r="H21" s="559">
        <f>COUNTIF($D$6:D21,D21)</f>
        <v>4</v>
      </c>
      <c r="I21" s="559" t="str">
        <f t="shared" si="1"/>
        <v>4 Queso</v>
      </c>
    </row>
  </sheetData>
  <hyperlinks>
    <hyperlink ref="A1" location="'Modelo de dominio'!A1" display="&lt;&lt;&lt;Modelo de Dominio" xr:uid="{00000000-0004-0000-2100-000000000000}"/>
  </hyperlink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61">
    <outlinePr summaryBelow="0" summaryRight="0"/>
  </sheetPr>
  <dimension ref="A1:WQJ35"/>
  <sheetViews>
    <sheetView topLeftCell="E1" zoomScale="39" zoomScaleNormal="115" workbookViewId="0">
      <selection activeCell="Y4" sqref="Y4"/>
    </sheetView>
  </sheetViews>
  <sheetFormatPr baseColWidth="10" defaultColWidth="12.625" defaultRowHeight="12.9"/>
  <cols>
    <col min="1" max="1" width="28" bestFit="1" customWidth="1"/>
    <col min="2" max="2" width="246" bestFit="1" customWidth="1"/>
    <col min="3" max="3" width="34.875" bestFit="1" customWidth="1"/>
    <col min="4" max="4" width="24.25" bestFit="1" customWidth="1"/>
    <col min="5" max="5" width="11.75" bestFit="1" customWidth="1"/>
    <col min="6" max="6" width="27.25" bestFit="1" customWidth="1"/>
    <col min="7" max="7" width="27.75" bestFit="1" customWidth="1"/>
    <col min="8" max="8" width="20" bestFit="1" customWidth="1"/>
    <col min="9" max="9" width="52.625" bestFit="1" customWidth="1"/>
    <col min="10" max="10" width="23.375" bestFit="1" customWidth="1"/>
    <col min="11" max="11" width="22" bestFit="1" customWidth="1"/>
    <col min="12" max="12" width="19" bestFit="1" customWidth="1"/>
    <col min="13" max="13" width="172.625" bestFit="1" customWidth="1"/>
    <col min="14" max="14" width="65.875" bestFit="1" customWidth="1"/>
    <col min="15" max="15" width="31.625" bestFit="1" customWidth="1"/>
    <col min="16" max="16" width="28.375" bestFit="1" customWidth="1"/>
    <col min="17" max="17" width="99.75" bestFit="1" customWidth="1"/>
    <col min="18" max="18" width="83" customWidth="1"/>
    <col min="19" max="19" width="24.125" bestFit="1" customWidth="1"/>
    <col min="20" max="20" width="27.625" bestFit="1" customWidth="1"/>
    <col min="21" max="21" width="15.375" bestFit="1" customWidth="1"/>
    <col min="22" max="22" width="25.625" customWidth="1"/>
    <col min="23" max="23" width="27.875" customWidth="1"/>
    <col min="24" max="24" width="25.375" customWidth="1"/>
    <col min="25" max="25" width="22" customWidth="1"/>
  </cols>
  <sheetData>
    <row r="1" spans="1:25" ht="13.75" customHeight="1">
      <c r="A1" s="76" t="s">
        <v>0</v>
      </c>
      <c r="B1" s="132" t="s">
        <v>1</v>
      </c>
      <c r="C1" s="25"/>
      <c r="D1" s="25"/>
      <c r="E1" s="25"/>
      <c r="F1" s="25"/>
      <c r="G1" s="25"/>
      <c r="H1" s="25"/>
      <c r="I1" s="25"/>
      <c r="J1" s="25"/>
      <c r="K1" s="25"/>
      <c r="L1" s="25"/>
      <c r="M1" s="25"/>
      <c r="N1" s="25"/>
      <c r="O1" s="25"/>
      <c r="P1" s="25"/>
      <c r="Q1" s="25"/>
      <c r="R1" s="25"/>
      <c r="S1" s="25"/>
      <c r="T1" s="25"/>
      <c r="U1" s="25"/>
    </row>
    <row r="2" spans="1:25" ht="14.3" customHeight="1">
      <c r="A2" s="144" t="s">
        <v>20</v>
      </c>
      <c r="B2" s="1331" t="s">
        <v>12</v>
      </c>
      <c r="C2" s="1332"/>
      <c r="D2" s="1332"/>
      <c r="E2" s="1332"/>
      <c r="F2" s="1332"/>
      <c r="G2" s="1332"/>
      <c r="H2" s="1332"/>
      <c r="I2" s="1332"/>
      <c r="J2" s="1332"/>
      <c r="K2" s="1332"/>
      <c r="L2" s="1332"/>
      <c r="M2" s="1332"/>
      <c r="N2" s="1332"/>
      <c r="O2" s="1332"/>
      <c r="P2" s="1332"/>
      <c r="Q2" s="1332"/>
      <c r="R2" s="1332"/>
      <c r="S2" s="1332"/>
      <c r="T2" s="1332"/>
      <c r="U2" s="1333"/>
    </row>
    <row r="3" spans="1:25" ht="14.3" customHeight="1">
      <c r="A3" s="739" t="s">
        <v>79</v>
      </c>
      <c r="B3" s="1238" t="str">
        <f>HYPERLINK("#'Objetos de dominio'!B19", 'Objetos de dominio'!B21)</f>
        <v>Es un grupo de unidades de un mismo insumo que llegó en una compra, y que se identifica para saber cuánto hay, cuándo llegó y poder rastrearlo dentro del inventario.</v>
      </c>
      <c r="C3" s="1239"/>
      <c r="D3" s="1239"/>
      <c r="E3" s="1239"/>
      <c r="F3" s="1239"/>
      <c r="G3" s="1239"/>
      <c r="H3" s="1239"/>
      <c r="I3" s="1239"/>
      <c r="J3" s="1239"/>
      <c r="K3" s="1239"/>
      <c r="L3" s="1239"/>
      <c r="M3" s="1239"/>
      <c r="N3" s="1239"/>
      <c r="O3" s="1239"/>
      <c r="P3" s="1239"/>
      <c r="Q3" s="1239"/>
      <c r="R3" s="1239"/>
      <c r="S3" s="1239"/>
      <c r="T3" s="1239"/>
      <c r="U3" s="1240"/>
    </row>
    <row r="4" spans="1:25" ht="14.3" customHeight="1">
      <c r="A4" s="171" t="s">
        <v>80</v>
      </c>
      <c r="B4" s="740" t="s">
        <v>81</v>
      </c>
      <c r="C4" s="740" t="s">
        <v>82</v>
      </c>
      <c r="D4" s="740" t="s">
        <v>8</v>
      </c>
      <c r="E4" s="740" t="s">
        <v>14</v>
      </c>
      <c r="F4" s="740" t="s">
        <v>83</v>
      </c>
      <c r="G4" s="740" t="s">
        <v>84</v>
      </c>
      <c r="H4" s="740" t="s">
        <v>85</v>
      </c>
      <c r="I4" s="740" t="s">
        <v>86</v>
      </c>
      <c r="J4" s="740" t="s">
        <v>87</v>
      </c>
      <c r="K4" s="740" t="s">
        <v>88</v>
      </c>
      <c r="L4" s="740" t="s">
        <v>89</v>
      </c>
      <c r="M4" s="740" t="s">
        <v>90</v>
      </c>
      <c r="N4" s="740" t="s">
        <v>91</v>
      </c>
      <c r="O4" s="740" t="s">
        <v>92</v>
      </c>
      <c r="P4" s="740" t="s">
        <v>93</v>
      </c>
      <c r="Q4" s="740" t="s">
        <v>94</v>
      </c>
      <c r="R4" s="740" t="s">
        <v>95</v>
      </c>
      <c r="S4" s="740" t="s">
        <v>96</v>
      </c>
      <c r="T4" s="740" t="s">
        <v>97</v>
      </c>
      <c r="U4" s="741" t="s">
        <v>98</v>
      </c>
      <c r="V4" s="686" t="str">
        <f>HYPERLINK("#'C-Lote'!A23", 'C-Lote'!A23)</f>
        <v>Registrar lote</v>
      </c>
      <c r="W4" s="742" t="str">
        <f>HYPERLINK("#'C-Lote'!A32", 'C-Lote'!A32)</f>
        <v>Recalcular saldo de lote</v>
      </c>
      <c r="X4" s="743" t="str">
        <f>HYPERLINK("#'C-Lote'!A34", 'C-Lote'!A34)</f>
        <v>Emitir alerta de vencimiento próximo</v>
      </c>
      <c r="Y4" s="745" t="str">
        <f>HYPERLINK("#'C-Lote'!A35", 'C-Lote'!A35)</f>
        <v>Consultar lote</v>
      </c>
    </row>
    <row r="5" spans="1:25" ht="14.3" customHeight="1">
      <c r="A5" s="839" t="str">
        <f>HYPERLINK("#'M-Lote'!A5", 'M-Lote'!A5)</f>
        <v>Id</v>
      </c>
      <c r="B5" s="839" t="str">
        <f>HYPERLINK("#'M-Lote'!A2", 'M-Lote'!A2)</f>
        <v>Identificador unico de cada lote dentro de la pizzeria</v>
      </c>
      <c r="C5" s="172" t="s">
        <v>15</v>
      </c>
      <c r="D5" s="172" t="s">
        <v>99</v>
      </c>
      <c r="E5" s="172" t="s">
        <v>15</v>
      </c>
      <c r="F5" s="173"/>
      <c r="G5" s="173"/>
      <c r="H5" s="173"/>
      <c r="I5" s="173"/>
      <c r="J5" s="173"/>
      <c r="K5" s="173"/>
      <c r="L5" s="173"/>
      <c r="M5" s="173"/>
      <c r="N5" s="172" t="s">
        <v>100</v>
      </c>
      <c r="O5" s="172" t="s">
        <v>100</v>
      </c>
      <c r="P5" s="173"/>
      <c r="Q5" s="172" t="s">
        <v>100</v>
      </c>
      <c r="R5" s="172" t="s">
        <v>100</v>
      </c>
      <c r="S5" s="172" t="s">
        <v>100</v>
      </c>
      <c r="T5" s="173"/>
      <c r="U5" s="172" t="s">
        <v>15</v>
      </c>
      <c r="V5" s="684" t="s">
        <v>101</v>
      </c>
      <c r="W5" s="692" t="s">
        <v>276</v>
      </c>
      <c r="X5" s="527" t="s">
        <v>274</v>
      </c>
      <c r="Y5" s="744" t="s">
        <v>274</v>
      </c>
    </row>
    <row r="6" spans="1:25" ht="14.3" customHeight="1">
      <c r="A6" s="840" t="str">
        <f>HYPERLINK("#'M-Lote'!B5", 'M-Lote'!B5)</f>
        <v>FechaVencimiento</v>
      </c>
      <c r="B6" s="841" t="str">
        <f>HYPERLINK("#'M-Lote'!B2", 'M-Lote'!B2)</f>
        <v xml:space="preserve">Fecha de vencimiento del producto </v>
      </c>
      <c r="C6" s="746" t="s">
        <v>100</v>
      </c>
      <c r="D6" s="172" t="s">
        <v>9</v>
      </c>
      <c r="E6" s="172" t="s">
        <v>15</v>
      </c>
      <c r="F6" s="173"/>
      <c r="G6" s="173"/>
      <c r="H6" s="173"/>
      <c r="I6" s="173"/>
      <c r="J6" s="172"/>
      <c r="K6" s="173"/>
      <c r="L6" s="176" t="s">
        <v>107</v>
      </c>
      <c r="M6" s="172" t="s">
        <v>648</v>
      </c>
      <c r="N6" s="172" t="s">
        <v>649</v>
      </c>
      <c r="O6" s="172" t="s">
        <v>100</v>
      </c>
      <c r="P6" s="173"/>
      <c r="Q6" s="172" t="s">
        <v>100</v>
      </c>
      <c r="R6" s="172" t="s">
        <v>100</v>
      </c>
      <c r="S6" s="172" t="s">
        <v>100</v>
      </c>
      <c r="T6" s="173"/>
      <c r="U6" s="172" t="s">
        <v>100</v>
      </c>
      <c r="V6" s="582" t="s">
        <v>101</v>
      </c>
      <c r="W6" s="605" t="s">
        <v>276</v>
      </c>
      <c r="X6" s="570" t="s">
        <v>278</v>
      </c>
      <c r="Y6" s="499" t="s">
        <v>278</v>
      </c>
    </row>
    <row r="7" spans="1:25" ht="14.3" customHeight="1">
      <c r="A7" s="840" t="str">
        <f>HYPERLINK("#'M-Lote'!C5", 'M-Lote'!C5)</f>
        <v>Disponible</v>
      </c>
      <c r="B7" s="841" t="str">
        <f>HYPERLINK("#'M-Lote'!C2", 'M-Lote'!C2)</f>
        <v>Indicativo de disponibilidad de un lote</v>
      </c>
      <c r="C7" s="746" t="s">
        <v>100</v>
      </c>
      <c r="D7" s="172" t="s">
        <v>643</v>
      </c>
      <c r="E7" s="172" t="s">
        <v>15</v>
      </c>
      <c r="F7" s="177"/>
      <c r="G7" s="177"/>
      <c r="H7" s="177"/>
      <c r="I7" s="177"/>
      <c r="J7" s="177"/>
      <c r="K7" s="177"/>
      <c r="L7" s="172"/>
      <c r="M7" s="172" t="s">
        <v>650</v>
      </c>
      <c r="N7" s="172" t="s">
        <v>15</v>
      </c>
      <c r="O7" s="172" t="s">
        <v>100</v>
      </c>
      <c r="P7" s="177"/>
      <c r="Q7" s="172" t="s">
        <v>100</v>
      </c>
      <c r="R7" s="172" t="s">
        <v>100</v>
      </c>
      <c r="S7" s="172" t="s">
        <v>100</v>
      </c>
      <c r="T7" s="177"/>
      <c r="U7" s="172" t="s">
        <v>100</v>
      </c>
      <c r="V7" s="582" t="s">
        <v>101</v>
      </c>
      <c r="W7" s="605" t="s">
        <v>276</v>
      </c>
      <c r="X7" s="570" t="s">
        <v>278</v>
      </c>
      <c r="Y7" s="499" t="s">
        <v>278</v>
      </c>
    </row>
    <row r="8" spans="1:25" ht="14.3" customHeight="1">
      <c r="A8" s="840" t="str">
        <f>HYPERLINK("#'M-Lote'!D5", 'M-Lote'!D5)</f>
        <v>ProductoInterno</v>
      </c>
      <c r="B8" s="841" t="str">
        <f>HYPERLINK("#'M-Lote'!D2", 'M-Lote'!D2)</f>
        <v>Producto interno al que pertenece el lote</v>
      </c>
      <c r="C8" s="746" t="s">
        <v>100</v>
      </c>
      <c r="D8" s="172" t="s">
        <v>38</v>
      </c>
      <c r="E8" s="172" t="s">
        <v>15</v>
      </c>
      <c r="F8" s="177"/>
      <c r="G8" s="177"/>
      <c r="H8" s="177"/>
      <c r="I8" s="177"/>
      <c r="J8" s="177"/>
      <c r="K8" s="177"/>
      <c r="L8" s="177"/>
      <c r="M8" s="172" t="s">
        <v>651</v>
      </c>
      <c r="N8" s="172" t="s">
        <v>100</v>
      </c>
      <c r="O8" s="172" t="s">
        <v>100</v>
      </c>
      <c r="P8" s="177"/>
      <c r="Q8" s="172" t="s">
        <v>100</v>
      </c>
      <c r="R8" s="172" t="s">
        <v>100</v>
      </c>
      <c r="S8" s="172" t="s">
        <v>100</v>
      </c>
      <c r="T8" s="177"/>
      <c r="U8" s="172" t="s">
        <v>100</v>
      </c>
      <c r="V8" s="582" t="s">
        <v>101</v>
      </c>
      <c r="W8" s="605" t="s">
        <v>276</v>
      </c>
      <c r="X8" s="570" t="s">
        <v>278</v>
      </c>
      <c r="Y8" s="499" t="s">
        <v>278</v>
      </c>
    </row>
    <row r="9" spans="1:25" ht="14.3" customHeight="1">
      <c r="A9" s="840" t="str">
        <f>HYPERLINK("#'M-Lote'!E5", 'M-Lote'!E5)</f>
        <v>Cantidad</v>
      </c>
      <c r="B9" s="841" t="str">
        <f>HYPERLINK("#'M-Lote'!E2", 'M-Lote'!E2)</f>
        <v>Cantidad con la que entro el lote</v>
      </c>
      <c r="C9" s="746" t="s">
        <v>100</v>
      </c>
      <c r="D9" s="172" t="s">
        <v>13</v>
      </c>
      <c r="E9" s="172" t="s">
        <v>15</v>
      </c>
      <c r="F9" s="177"/>
      <c r="G9" s="177"/>
      <c r="H9" s="454">
        <v>4</v>
      </c>
      <c r="I9" s="172" t="s">
        <v>103</v>
      </c>
      <c r="J9" s="172" t="s">
        <v>363</v>
      </c>
      <c r="K9" s="453">
        <v>10000</v>
      </c>
      <c r="L9" s="177"/>
      <c r="M9" s="172" t="s">
        <v>652</v>
      </c>
      <c r="N9" s="172" t="s">
        <v>100</v>
      </c>
      <c r="O9" s="172" t="s">
        <v>100</v>
      </c>
      <c r="P9" s="177"/>
      <c r="Q9" s="172" t="s">
        <v>100</v>
      </c>
      <c r="R9" s="172" t="s">
        <v>100</v>
      </c>
      <c r="S9" s="172" t="s">
        <v>100</v>
      </c>
      <c r="T9" s="177"/>
      <c r="U9" s="172" t="s">
        <v>100</v>
      </c>
      <c r="V9" s="582" t="s">
        <v>101</v>
      </c>
      <c r="W9" s="605" t="s">
        <v>101</v>
      </c>
      <c r="X9" s="570" t="s">
        <v>278</v>
      </c>
      <c r="Y9" s="499" t="s">
        <v>278</v>
      </c>
    </row>
    <row r="10" spans="1:25" ht="14.3" customHeight="1">
      <c r="A10" s="840" t="str">
        <f>HYPERLINK("#'M-Lote'!F5", 'M-Lote'!F5)</f>
        <v>Saldo</v>
      </c>
      <c r="B10" s="841" t="str">
        <f>HYPERLINK("#'M-Lote'!F2", 'M-Lote'!F2)</f>
        <v>Cantidad que aun queda disponible de este lote, descontando las salidas registradas en Movimiento y los retiros registrados en SalidaLote</v>
      </c>
      <c r="C10" s="746" t="s">
        <v>100</v>
      </c>
      <c r="D10" s="172" t="s">
        <v>13</v>
      </c>
      <c r="E10" s="172" t="s">
        <v>15</v>
      </c>
      <c r="F10" s="174"/>
      <c r="G10" s="175"/>
      <c r="H10" s="454">
        <v>4</v>
      </c>
      <c r="I10" s="172" t="s">
        <v>103</v>
      </c>
      <c r="J10" s="172" t="s">
        <v>363</v>
      </c>
      <c r="K10" s="453" t="s">
        <v>1187</v>
      </c>
      <c r="L10" s="173"/>
      <c r="M10" s="172" t="s">
        <v>1188</v>
      </c>
      <c r="N10" s="172" t="s">
        <v>15</v>
      </c>
      <c r="O10" s="172" t="s">
        <v>100</v>
      </c>
      <c r="P10" s="173"/>
      <c r="Q10" s="172" t="s">
        <v>100</v>
      </c>
      <c r="R10" s="172" t="s">
        <v>100</v>
      </c>
      <c r="S10" s="172" t="s">
        <v>100</v>
      </c>
      <c r="T10" s="173"/>
      <c r="U10" s="172" t="s">
        <v>100</v>
      </c>
      <c r="V10" s="582" t="s">
        <v>101</v>
      </c>
      <c r="W10" s="605" t="s">
        <v>101</v>
      </c>
      <c r="X10" s="570" t="s">
        <v>278</v>
      </c>
      <c r="Y10" s="499" t="s">
        <v>278</v>
      </c>
    </row>
    <row r="11" spans="1:25" ht="14.3" customHeight="1">
      <c r="A11" s="840" t="str">
        <f>HYPERLINK("#'M-Lote'!G5", 'M-Lote'!G5)</f>
        <v>UnidadMedidaInventario</v>
      </c>
      <c r="B11" s="841" t="str">
        <f>HYPERLINK("#'M-Lote'!G2", 'M-Lote'!G2)</f>
        <v xml:space="preserve">Unidad de medida estandar en lote y posteriormente  inventario </v>
      </c>
      <c r="C11" s="747" t="s">
        <v>100</v>
      </c>
      <c r="D11" s="178" t="s">
        <v>28</v>
      </c>
      <c r="E11" s="178" t="s">
        <v>15</v>
      </c>
      <c r="F11" s="179"/>
      <c r="G11" s="180"/>
      <c r="H11" s="181"/>
      <c r="I11" s="182"/>
      <c r="J11" s="181"/>
      <c r="K11" s="182"/>
      <c r="L11" s="182"/>
      <c r="M11" s="178" t="s">
        <v>653</v>
      </c>
      <c r="N11" s="178" t="s">
        <v>15</v>
      </c>
      <c r="O11" s="178" t="s">
        <v>100</v>
      </c>
      <c r="P11" s="182"/>
      <c r="Q11" s="178" t="s">
        <v>100</v>
      </c>
      <c r="R11" s="178" t="s">
        <v>100</v>
      </c>
      <c r="S11" s="178" t="s">
        <v>100</v>
      </c>
      <c r="T11" s="182"/>
      <c r="U11" s="178" t="s">
        <v>100</v>
      </c>
      <c r="V11" s="582" t="s">
        <v>101</v>
      </c>
      <c r="W11" s="605" t="s">
        <v>276</v>
      </c>
      <c r="X11" s="570" t="s">
        <v>278</v>
      </c>
      <c r="Y11" s="499" t="s">
        <v>278</v>
      </c>
    </row>
    <row r="12" spans="1:25" ht="14.3" customHeight="1">
      <c r="A12" s="842" t="str">
        <f>HYPERLINK("#'M-Lote'!H5", 'M-Lote'!H5)</f>
        <v>NumeroLote</v>
      </c>
      <c r="B12" s="843" t="str">
        <f>HYPERLINK("#'M-Lote'!H2", 'M-Lote'!H2)</f>
        <v>Diferenciador numerico de cada lote dependiendo de su respectivo producto</v>
      </c>
      <c r="C12" s="747" t="s">
        <v>100</v>
      </c>
      <c r="D12" s="178" t="s">
        <v>483</v>
      </c>
      <c r="E12" s="178" t="s">
        <v>15</v>
      </c>
      <c r="F12" s="183"/>
      <c r="G12" s="183"/>
      <c r="H12" s="183"/>
      <c r="I12" s="183"/>
      <c r="J12" s="178" t="s">
        <v>654</v>
      </c>
      <c r="K12" s="183"/>
      <c r="L12" s="183"/>
      <c r="M12" s="178"/>
      <c r="N12" s="178" t="s">
        <v>15</v>
      </c>
      <c r="O12" s="178" t="s">
        <v>100</v>
      </c>
      <c r="P12" s="183"/>
      <c r="Q12" s="178" t="s">
        <v>100</v>
      </c>
      <c r="R12" s="178" t="s">
        <v>100</v>
      </c>
      <c r="S12" s="178" t="s">
        <v>100</v>
      </c>
      <c r="T12" s="183"/>
      <c r="U12" s="178" t="s">
        <v>15</v>
      </c>
      <c r="V12" s="582" t="s">
        <v>101</v>
      </c>
      <c r="W12" s="605" t="s">
        <v>276</v>
      </c>
      <c r="X12" s="570" t="s">
        <v>274</v>
      </c>
      <c r="Y12" s="499" t="s">
        <v>274</v>
      </c>
    </row>
    <row r="15" spans="1:25" ht="14.3" customHeight="1">
      <c r="A15" s="111" t="s">
        <v>109</v>
      </c>
      <c r="B15" s="111" t="s">
        <v>79</v>
      </c>
      <c r="C15" s="111" t="s">
        <v>110</v>
      </c>
    </row>
    <row r="16" spans="1:25" ht="14.3" customHeight="1">
      <c r="A16" s="1345" t="s">
        <v>111</v>
      </c>
      <c r="B16" s="1574" t="s">
        <v>655</v>
      </c>
      <c r="C16" s="806" t="str">
        <f>HYPERLINK("#'C-Lote'!A12", 'C-Lote'!A12)</f>
        <v>NumeroLote</v>
      </c>
    </row>
    <row r="17" spans="1:21">
      <c r="A17" s="1089"/>
      <c r="B17" s="1078"/>
      <c r="C17" s="807" t="str">
        <f>HYPERLINK("#'C-Lote'!A8", 'C-Lote'!A8)</f>
        <v>ProductoInterno</v>
      </c>
    </row>
    <row r="20" spans="1:21" ht="13.75" customHeight="1" thickBot="1"/>
    <row r="21" spans="1:21" ht="14.3" customHeight="1">
      <c r="A21" s="1037" t="s">
        <v>113</v>
      </c>
      <c r="B21" s="1038"/>
      <c r="C21" s="1042" t="s">
        <v>79</v>
      </c>
      <c r="D21" s="1043"/>
      <c r="E21" s="1043"/>
      <c r="F21" s="1038"/>
      <c r="G21" s="1042" t="s">
        <v>114</v>
      </c>
      <c r="H21" s="1029"/>
      <c r="I21" s="1030"/>
      <c r="J21" s="1028" t="s">
        <v>115</v>
      </c>
      <c r="K21" s="1029"/>
      <c r="L21" s="1029"/>
      <c r="M21" s="1029"/>
      <c r="N21" s="1030"/>
      <c r="O21" s="1028" t="s">
        <v>116</v>
      </c>
      <c r="P21" s="1030"/>
      <c r="Q21" s="1028" t="s">
        <v>117</v>
      </c>
      <c r="R21" s="1030"/>
    </row>
    <row r="22" spans="1:21" ht="14.3" customHeight="1">
      <c r="A22" s="1039"/>
      <c r="B22" s="1040"/>
      <c r="C22" s="1044"/>
      <c r="D22" s="1045"/>
      <c r="E22" s="1045"/>
      <c r="F22" s="1040"/>
      <c r="G22" s="517" t="s">
        <v>118</v>
      </c>
      <c r="H22" s="517" t="s">
        <v>8</v>
      </c>
      <c r="I22" s="517" t="s">
        <v>79</v>
      </c>
      <c r="J22" s="691" t="s">
        <v>119</v>
      </c>
      <c r="K22" s="1034" t="s">
        <v>79</v>
      </c>
      <c r="L22" s="1035"/>
      <c r="M22" s="1035"/>
      <c r="N22" s="1036"/>
      <c r="O22" s="544" t="s">
        <v>120</v>
      </c>
      <c r="P22" s="544" t="s">
        <v>79</v>
      </c>
      <c r="Q22" s="544" t="s">
        <v>121</v>
      </c>
      <c r="R22" s="188" t="s">
        <v>122</v>
      </c>
    </row>
    <row r="23" spans="1:21" ht="76.75" customHeight="1">
      <c r="A23" s="1011" t="str">
        <f>HYPERLINK("#'C-Lote'!V4", 'E-Lote'!B7)</f>
        <v>Registrar lote</v>
      </c>
      <c r="B23" s="1012"/>
      <c r="C23" s="1011" t="str">
        <f>'E-Lote'!C7</f>
        <v>Cuando se registra un detalle de compra o el reemplazo de un cambio, el sistema crea automaticamente el lote del producto interno con su cantidad, saldo, fecha de vencimiento y numero de lote consecutivo.</v>
      </c>
      <c r="D23" s="1017"/>
      <c r="E23" s="1017"/>
      <c r="F23" s="1012"/>
      <c r="G23" s="1020" t="s">
        <v>123</v>
      </c>
      <c r="H23" s="1020" t="s">
        <v>656</v>
      </c>
      <c r="I23" s="1211" t="s">
        <v>657</v>
      </c>
      <c r="J23" s="1214" t="s">
        <v>12</v>
      </c>
      <c r="K23" s="1208" t="s">
        <v>658</v>
      </c>
      <c r="L23" s="1017"/>
      <c r="M23" s="1017"/>
      <c r="N23" s="1012"/>
      <c r="O23" s="776" t="str">
        <f>HYPERLINK("#'P-Lote'!A5", 'P-Lote'!A5)</f>
        <v>P-LOT-001</v>
      </c>
      <c r="P23" s="512" t="str">
        <f>'P-Lote'!B5</f>
        <v>Asegurar que los datos requeridos para registrar un lote sean válidos de acuerdo con el tipo de dato, obligatoriedad, formato, longitud y rango correspondiente.</v>
      </c>
      <c r="Q23" s="512" t="s">
        <v>659</v>
      </c>
      <c r="R23" s="512" t="s">
        <v>127</v>
      </c>
    </row>
    <row r="24" spans="1:21" ht="38.75">
      <c r="A24" s="1013"/>
      <c r="B24" s="1014"/>
      <c r="C24" s="1013"/>
      <c r="D24" s="1018"/>
      <c r="E24" s="1018"/>
      <c r="F24" s="1014"/>
      <c r="G24" s="1021"/>
      <c r="H24" s="1021"/>
      <c r="I24" s="1212"/>
      <c r="J24" s="1215"/>
      <c r="K24" s="1209"/>
      <c r="L24" s="1018"/>
      <c r="M24" s="1018"/>
      <c r="N24" s="1014"/>
      <c r="O24" s="776" t="str">
        <f>HYPERLINK("#'P-Lote'!A6", 'P-Lote'!A6)</f>
        <v>P-LOT-002</v>
      </c>
      <c r="P24" s="512" t="str">
        <f>'P-Lote'!B6</f>
        <v>Asegurar que el identificador generado para el lote no esté siendo utilizado por otro lote.</v>
      </c>
      <c r="Q24" s="512" t="s">
        <v>660</v>
      </c>
      <c r="R24" s="512" t="s">
        <v>661</v>
      </c>
    </row>
    <row r="25" spans="1:21" ht="38.75">
      <c r="A25" s="1013"/>
      <c r="B25" s="1014"/>
      <c r="C25" s="1013"/>
      <c r="D25" s="1018"/>
      <c r="E25" s="1018"/>
      <c r="F25" s="1014"/>
      <c r="G25" s="1021"/>
      <c r="H25" s="1021"/>
      <c r="I25" s="1212"/>
      <c r="J25" s="1215"/>
      <c r="K25" s="1209"/>
      <c r="L25" s="1018"/>
      <c r="M25" s="1018"/>
      <c r="N25" s="1014"/>
      <c r="O25" s="776" t="str">
        <f>HYPERLINK("#'P-Lote'!A7", 'P-Lote'!A7)</f>
        <v>P-LOT-003</v>
      </c>
      <c r="P25" s="512" t="str">
        <f>'P-Lote'!B7</f>
        <v>Asegurar que el producto interno asociado al lote exista y sea valido.</v>
      </c>
      <c r="Q25" s="512" t="s">
        <v>662</v>
      </c>
      <c r="R25" s="512" t="s">
        <v>663</v>
      </c>
    </row>
    <row r="26" spans="1:21" ht="25.5" customHeight="1">
      <c r="A26" s="1013"/>
      <c r="B26" s="1014"/>
      <c r="C26" s="1013"/>
      <c r="D26" s="1018"/>
      <c r="E26" s="1018"/>
      <c r="F26" s="1014"/>
      <c r="G26" s="1021"/>
      <c r="H26" s="1021"/>
      <c r="I26" s="1212"/>
      <c r="J26" s="1215"/>
      <c r="K26" s="1209"/>
      <c r="L26" s="1018"/>
      <c r="M26" s="1018"/>
      <c r="N26" s="1014"/>
      <c r="O26" s="776" t="str">
        <f>HYPERLINK("#'P-Lote'!A8", 'P-Lote'!A8)</f>
        <v>P-LOT-004</v>
      </c>
      <c r="P26" s="512" t="str">
        <f>'P-Lote'!B8</f>
        <v>Asegurar que la cantidad inicial registrada para un lote sea mayor que cero y como maximo 10.000.</v>
      </c>
      <c r="Q26" s="512" t="s">
        <v>1705</v>
      </c>
      <c r="R26" s="512" t="s">
        <v>1437</v>
      </c>
    </row>
    <row r="27" spans="1:21" ht="38.75">
      <c r="A27" s="1013"/>
      <c r="B27" s="1014"/>
      <c r="C27" s="1013"/>
      <c r="D27" s="1018"/>
      <c r="E27" s="1018"/>
      <c r="F27" s="1014"/>
      <c r="G27" s="1021"/>
      <c r="H27" s="1021"/>
      <c r="I27" s="1212"/>
      <c r="J27" s="1215"/>
      <c r="K27" s="1209"/>
      <c r="L27" s="1018"/>
      <c r="M27" s="1018"/>
      <c r="N27" s="1014"/>
      <c r="O27" s="776" t="str">
        <f>HYPERLINK("#'P-Lote'!A9", 'P-Lote'!A9)</f>
        <v>P-LOT-005</v>
      </c>
      <c r="P27" s="512" t="str">
        <f>'P-Lote'!B9</f>
        <v>Asegurar que la unidad de medida asociada a la cantidad del lote sea válida.</v>
      </c>
      <c r="Q27" s="512" t="s">
        <v>664</v>
      </c>
      <c r="R27" s="512" t="s">
        <v>133</v>
      </c>
    </row>
    <row r="28" spans="1:21" ht="38.75">
      <c r="A28" s="1013"/>
      <c r="B28" s="1014"/>
      <c r="C28" s="1013"/>
      <c r="D28" s="1018"/>
      <c r="E28" s="1018"/>
      <c r="F28" s="1014"/>
      <c r="G28" s="1021"/>
      <c r="H28" s="1021"/>
      <c r="I28" s="1212"/>
      <c r="J28" s="1215"/>
      <c r="K28" s="1209"/>
      <c r="L28" s="1018"/>
      <c r="M28" s="1018"/>
      <c r="N28" s="1014"/>
      <c r="O28" s="776" t="str">
        <f>HYPERLINK("#'P-Lote'!A10", 'P-Lote'!A10)</f>
        <v>P-LOT-006</v>
      </c>
      <c r="P28" s="512" t="str">
        <f>'P-Lote'!B10</f>
        <v>Asegurar que el movimiento de inventario que origino el lote exista y sea valido.</v>
      </c>
      <c r="Q28" s="512" t="s">
        <v>665</v>
      </c>
      <c r="R28" s="512" t="s">
        <v>666</v>
      </c>
    </row>
    <row r="29" spans="1:21" ht="38.75">
      <c r="A29" s="1013"/>
      <c r="B29" s="1014"/>
      <c r="C29" s="1013"/>
      <c r="D29" s="1018"/>
      <c r="E29" s="1018"/>
      <c r="F29" s="1014"/>
      <c r="G29" s="1021"/>
      <c r="H29" s="1021"/>
      <c r="I29" s="1212"/>
      <c r="J29" s="1215"/>
      <c r="K29" s="1209"/>
      <c r="L29" s="1018"/>
      <c r="M29" s="1018"/>
      <c r="N29" s="1014"/>
      <c r="O29" s="776" t="str">
        <f>HYPERLINK("#'P-Lote'!A13", 'P-Lote'!A13)</f>
        <v>P-LOT-009</v>
      </c>
      <c r="P29" s="512" t="str">
        <f>'P-Lote'!B13</f>
        <v>Asegurar que no exista otro lote con el mismo NumeroLote para el mismo ProductoInterno.</v>
      </c>
      <c r="Q29" s="512" t="s">
        <v>667</v>
      </c>
      <c r="R29" s="512" t="s">
        <v>668</v>
      </c>
    </row>
    <row r="30" spans="1:21" ht="64.55">
      <c r="A30" s="1013"/>
      <c r="B30" s="1014"/>
      <c r="C30" s="1013"/>
      <c r="D30" s="1018"/>
      <c r="E30" s="1018"/>
      <c r="F30" s="1014"/>
      <c r="G30" s="1021"/>
      <c r="H30" s="1021"/>
      <c r="I30" s="1212"/>
      <c r="J30" s="1215"/>
      <c r="K30" s="1209"/>
      <c r="L30" s="1018"/>
      <c r="M30" s="1018"/>
      <c r="N30" s="1014"/>
      <c r="O30" s="776" t="str">
        <f>HYPERLINK("#'P-Lote'!A16", 'P-Lote'!A16)</f>
        <v>P-LOT-012</v>
      </c>
      <c r="P30" s="512" t="str">
        <f>'P-Lote'!B16</f>
        <v>Asegurar que el NumeroLote sea consecutivo por producto interno: el primer lote es 1 y cada nuevo lote del mismo producto interno toma el siguiente numero.</v>
      </c>
      <c r="Q30" s="512" t="s">
        <v>1706</v>
      </c>
      <c r="R30" s="512" t="s">
        <v>1707</v>
      </c>
    </row>
    <row r="31" spans="1:21" ht="25.5" customHeight="1">
      <c r="A31" s="1015"/>
      <c r="B31" s="1016"/>
      <c r="C31" s="1015"/>
      <c r="D31" s="1019"/>
      <c r="E31" s="1019"/>
      <c r="F31" s="1016"/>
      <c r="G31" s="1022"/>
      <c r="H31" s="1022"/>
      <c r="I31" s="1213"/>
      <c r="J31" s="1215"/>
      <c r="K31" s="1210"/>
      <c r="L31" s="1019"/>
      <c r="M31" s="1019"/>
      <c r="N31" s="1016"/>
      <c r="O31" s="776" t="str">
        <f>HYPERLINK("#'P-Lote'!A14", 'P-Lote'!A14)</f>
        <v>P-LOT-010</v>
      </c>
      <c r="P31" s="512" t="str">
        <f>'P-Lote'!B14</f>
        <v>Ningun atributo de un lote (FechaVencimiento, ProductoInterno, Cantidad, Saldo, Disponible, UnidadMedidaInventario, NumeroLote) puede ser modificado manualmente; todos se generan o recalculan automaticamente.</v>
      </c>
      <c r="Q31" s="512" t="s">
        <v>669</v>
      </c>
      <c r="R31" s="512" t="s">
        <v>670</v>
      </c>
      <c r="S31" s="614"/>
      <c r="T31" s="614"/>
      <c r="U31" s="614"/>
    </row>
    <row r="32" spans="1:21" ht="25.5" customHeight="1">
      <c r="A32" s="1575" t="str">
        <f>HYPERLINK("#'C-Lote'!W4", 'E-Lote'!B16)</f>
        <v>Recalcular saldo de lote</v>
      </c>
      <c r="B32" s="1576"/>
      <c r="C32" s="1575" t="str">
        <f>'E-Lote'!C16</f>
        <v>Cada vez que se registra una salida por venta o por cambio, o un retiro (SalidaLote), el saldo del lote se recalcula automaticamente.</v>
      </c>
      <c r="D32" s="1579"/>
      <c r="E32" s="1579"/>
      <c r="F32" s="1576"/>
      <c r="G32" s="1581" t="s">
        <v>123</v>
      </c>
      <c r="H32" s="1581" t="s">
        <v>195</v>
      </c>
      <c r="I32" s="1583" t="s">
        <v>671</v>
      </c>
      <c r="J32" s="1585" t="s">
        <v>12</v>
      </c>
      <c r="K32" s="1575" t="s">
        <v>672</v>
      </c>
      <c r="L32" s="1579"/>
      <c r="M32" s="1579"/>
      <c r="N32" s="1576"/>
      <c r="O32" s="844" t="str">
        <f>HYPERLINK("#'P-Lote'!A11", 'P-Lote'!A11)</f>
        <v>P-LOT-007</v>
      </c>
      <c r="P32" s="495" t="str">
        <f>'P-Lote'!B11</f>
        <v>Asegurar que el saldo de un lote nunca sea inferior a cero ni superior a su cantidad: el saldo es la cantidad menos las salidas por venta, las salidas por cambio y los retiros (SalidaLote).</v>
      </c>
      <c r="Q32" s="495" t="s">
        <v>1708</v>
      </c>
      <c r="R32" s="495" t="s">
        <v>1709</v>
      </c>
      <c r="S32" s="614"/>
      <c r="T32" s="614"/>
      <c r="U32" s="614"/>
    </row>
    <row r="33" spans="1:21 16000:16000" ht="22.75" customHeight="1">
      <c r="A33" s="1577"/>
      <c r="B33" s="1578"/>
      <c r="C33" s="1577"/>
      <c r="D33" s="1580"/>
      <c r="E33" s="1580"/>
      <c r="F33" s="1578"/>
      <c r="G33" s="1582"/>
      <c r="H33" s="1582"/>
      <c r="I33" s="1584"/>
      <c r="J33" s="1586"/>
      <c r="K33" s="1577"/>
      <c r="L33" s="1580"/>
      <c r="M33" s="1580"/>
      <c r="N33" s="1578"/>
      <c r="O33" s="844" t="str">
        <f>HYPERLINK("#'P-Lote'!A17", 'P-Lote'!A17)</f>
        <v>P-LOT-013</v>
      </c>
      <c r="P33" s="495" t="str">
        <f>'P-Lote'!B17</f>
        <v>Asegurar que el lote quede disponible mientras su saldo sea mayor que cero y no disponible cuando llegue a cero.</v>
      </c>
      <c r="Q33" s="495" t="s">
        <v>1710</v>
      </c>
      <c r="R33" s="495" t="s">
        <v>1711</v>
      </c>
      <c r="S33" s="614"/>
      <c r="T33" s="614"/>
      <c r="U33" s="614"/>
    </row>
    <row r="34" spans="1:21 16000:16000" s="614" customFormat="1" ht="22.75" customHeight="1">
      <c r="A34" s="1587" t="str">
        <f>HYPERLINK("#'C-Lote'!X4", 'E-Lote'!B18)</f>
        <v>Emitir alerta de vencimiento próximo</v>
      </c>
      <c r="B34" s="1588"/>
      <c r="C34" s="1587" t="str">
        <f>'E-Lote'!C18</f>
        <v>Cuando la fecha de vencimiento de un lote está próxima a cumplirse, el sistema emite una alerta para que el administrador registre el Cambio (si el producto no es perecedero) o el Desecho (si es perecedero) correspondiente.</v>
      </c>
      <c r="D34" s="1589"/>
      <c r="E34" s="1589"/>
      <c r="F34" s="1588"/>
      <c r="G34" s="580" t="s">
        <v>123</v>
      </c>
      <c r="H34" s="580" t="s">
        <v>38</v>
      </c>
      <c r="I34" s="601" t="s">
        <v>673</v>
      </c>
      <c r="J34" s="602" t="s">
        <v>12</v>
      </c>
      <c r="K34" s="1587" t="s">
        <v>674</v>
      </c>
      <c r="L34" s="1589"/>
      <c r="M34" s="1589"/>
      <c r="N34" s="1588"/>
      <c r="O34" s="767" t="str">
        <f>HYPERLINK("#'P-Lote'!A15", 'P-Lote'!A15)</f>
        <v>P-LOT-011</v>
      </c>
      <c r="P34" s="598" t="str">
        <f>'P-Lote'!B15</f>
        <v>Asegurar que se emita una alerta cuando la fecha de vencimiento de un lote este proxima a cumplirse.</v>
      </c>
      <c r="Q34" s="598" t="s">
        <v>675</v>
      </c>
      <c r="R34" s="598" t="s">
        <v>605</v>
      </c>
      <c r="WQJ34"/>
    </row>
    <row r="35" spans="1:21 16000:16000" s="614" customFormat="1" ht="22.75" customHeight="1">
      <c r="A35" s="1590" t="str">
        <f>HYPERLINK("#'C-Lote'!Y4", 'E-Lote'!B19)</f>
        <v>Consultar lote</v>
      </c>
      <c r="B35" s="1591"/>
      <c r="C35" s="1590" t="str">
        <f>'E-Lote'!C19</f>
        <v>Permite consultar la información de un lote específico, incluyendo su cantidad, saldo, fecha de vencimiento y disponibilidad.</v>
      </c>
      <c r="D35" s="1592"/>
      <c r="E35" s="1592"/>
      <c r="F35" s="1591"/>
      <c r="G35" s="584" t="s">
        <v>16</v>
      </c>
      <c r="H35" s="584" t="s">
        <v>299</v>
      </c>
      <c r="I35" s="496" t="s">
        <v>676</v>
      </c>
      <c r="J35" s="497" t="s">
        <v>12</v>
      </c>
      <c r="K35" s="1590" t="s">
        <v>677</v>
      </c>
      <c r="L35" s="1592"/>
      <c r="M35" s="1592"/>
      <c r="N35" s="1591"/>
      <c r="O35" s="845" t="str">
        <f>HYPERLINK("#'P-Lote'!A12", 'P-Lote'!A12)</f>
        <v>P-LOT-008</v>
      </c>
      <c r="P35" s="498" t="str">
        <f>'P-Lote'!B12</f>
        <v>Asegurar que el lote exista con el identificador indicado</v>
      </c>
      <c r="Q35" s="498" t="s">
        <v>678</v>
      </c>
      <c r="R35" s="498" t="s">
        <v>679</v>
      </c>
      <c r="WQJ35"/>
    </row>
  </sheetData>
  <mergeCells count="31">
    <mergeCell ref="A34:B34"/>
    <mergeCell ref="C34:F34"/>
    <mergeCell ref="K34:N34"/>
    <mergeCell ref="A35:B35"/>
    <mergeCell ref="C35:F35"/>
    <mergeCell ref="K35:N35"/>
    <mergeCell ref="A32:B33"/>
    <mergeCell ref="C32:F33"/>
    <mergeCell ref="K32:N33"/>
    <mergeCell ref="G32:G33"/>
    <mergeCell ref="H32:H33"/>
    <mergeCell ref="I32:I33"/>
    <mergeCell ref="J32:J33"/>
    <mergeCell ref="A23:B31"/>
    <mergeCell ref="C23:F31"/>
    <mergeCell ref="K23:N31"/>
    <mergeCell ref="G23:G31"/>
    <mergeCell ref="H23:H31"/>
    <mergeCell ref="I23:I31"/>
    <mergeCell ref="J23:J31"/>
    <mergeCell ref="C21:F22"/>
    <mergeCell ref="A16:A17"/>
    <mergeCell ref="K22:N22"/>
    <mergeCell ref="B16:B17"/>
    <mergeCell ref="B2:U2"/>
    <mergeCell ref="O21:P21"/>
    <mergeCell ref="G21:I21"/>
    <mergeCell ref="Q21:R21"/>
    <mergeCell ref="J21:N21"/>
    <mergeCell ref="B3:U3"/>
    <mergeCell ref="A21:B22"/>
  </mergeCells>
  <hyperlinks>
    <hyperlink ref="A1" location="'Modelo de dominio'!A1" display="&lt;&lt;&lt;Modelo de Dominio" xr:uid="{00000000-0004-0000-2200-000000000000}"/>
    <hyperlink ref="B1" location="'Objetos de dominio'!A1" display="&lt;&lt;&lt;Objetos de Dominio" xr:uid="{00000000-0004-0000-2200-000001000000}"/>
  </hyperlink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62">
    <outlinePr summaryBelow="0" summaryRight="0"/>
  </sheetPr>
  <dimension ref="A1:WQJ998"/>
  <sheetViews>
    <sheetView topLeftCell="A2" workbookViewId="0">
      <selection activeCell="F23" sqref="F23"/>
    </sheetView>
  </sheetViews>
  <sheetFormatPr baseColWidth="10" defaultColWidth="16.875" defaultRowHeight="12.9"/>
  <cols>
    <col min="1" max="1" width="17" bestFit="1" customWidth="1"/>
    <col min="2" max="2" width="14.25" bestFit="1" customWidth="1"/>
    <col min="3" max="3" width="56.375" customWidth="1"/>
    <col min="4" max="4" width="26.375" bestFit="1" customWidth="1"/>
    <col min="5" max="5" width="31.25" customWidth="1"/>
    <col min="6" max="6" width="49" customWidth="1"/>
    <col min="7" max="7" width="17.375" bestFit="1" customWidth="1"/>
    <col min="8" max="8" width="13.75" bestFit="1" customWidth="1"/>
    <col min="9" max="9" width="48" customWidth="1"/>
    <col min="10" max="10" width="19.875" bestFit="1" customWidth="1"/>
  </cols>
  <sheetData>
    <row r="1" spans="1:25" ht="18.7" customHeight="1">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ht="13.75" customHeight="1">
      <c r="A2" s="51" t="s">
        <v>209</v>
      </c>
      <c r="B2" s="1062" t="s">
        <v>12</v>
      </c>
      <c r="C2" s="1032"/>
      <c r="D2" s="1032"/>
      <c r="E2" s="1032"/>
      <c r="F2" s="1032"/>
      <c r="G2" s="1032"/>
      <c r="H2" s="1032"/>
      <c r="I2" s="1032"/>
      <c r="J2" s="1033"/>
      <c r="K2" s="73"/>
      <c r="L2" s="73"/>
      <c r="M2" s="73"/>
      <c r="N2" s="73"/>
      <c r="O2" s="73"/>
      <c r="P2" s="73"/>
      <c r="Q2" s="73"/>
      <c r="R2" s="73"/>
      <c r="S2" s="73"/>
      <c r="T2" s="73"/>
      <c r="U2" s="73"/>
      <c r="V2" s="73"/>
      <c r="W2" s="73"/>
      <c r="X2" s="73"/>
      <c r="Y2" s="73"/>
    </row>
    <row r="3" spans="1:25" ht="13.75" customHeight="1">
      <c r="A3" s="52" t="s">
        <v>210</v>
      </c>
      <c r="B3" s="1063" t="str">
        <f>'C-Lote'!B3</f>
        <v>Es un grupo de unidades de un mismo insumo que llegó en una compra, y que se identifica para saber cuánto hay, cuándo llegó y poder rastrearlo dentro del inventario.</v>
      </c>
      <c r="C3" s="1032"/>
      <c r="D3" s="1032"/>
      <c r="E3" s="1032"/>
      <c r="F3" s="1032"/>
      <c r="G3" s="1032"/>
      <c r="H3" s="1032"/>
      <c r="I3" s="1032"/>
      <c r="J3" s="1033"/>
      <c r="K3" s="73"/>
      <c r="L3" s="73"/>
      <c r="M3" s="73"/>
      <c r="N3" s="73"/>
      <c r="O3" s="73"/>
      <c r="P3" s="73"/>
      <c r="Q3" s="73"/>
      <c r="R3" s="73"/>
      <c r="S3" s="73"/>
      <c r="T3" s="73"/>
      <c r="U3" s="73"/>
      <c r="V3" s="73"/>
      <c r="W3" s="73"/>
      <c r="X3" s="73"/>
      <c r="Y3" s="73"/>
    </row>
    <row r="4" spans="1:25" ht="13.75" customHeight="1">
      <c r="A4" s="575" t="s">
        <v>211</v>
      </c>
      <c r="B4" s="1100" t="s">
        <v>212</v>
      </c>
      <c r="C4" s="1033"/>
      <c r="D4" s="226" t="s">
        <v>213</v>
      </c>
      <c r="E4" s="1106" t="s">
        <v>214</v>
      </c>
      <c r="F4" s="1033"/>
      <c r="G4" s="53" t="s">
        <v>215</v>
      </c>
      <c r="H4" s="381" t="s">
        <v>216</v>
      </c>
      <c r="I4" s="377" t="s">
        <v>217</v>
      </c>
      <c r="J4" s="380" t="s">
        <v>218</v>
      </c>
      <c r="K4" s="73"/>
      <c r="L4" s="73"/>
      <c r="M4" s="73"/>
      <c r="N4" s="73"/>
      <c r="O4" s="73"/>
      <c r="P4" s="73"/>
      <c r="Q4" s="73"/>
      <c r="R4" s="73"/>
      <c r="S4" s="73"/>
      <c r="T4" s="73"/>
      <c r="U4" s="73"/>
      <c r="V4" s="73"/>
      <c r="W4" s="73"/>
      <c r="X4" s="73"/>
      <c r="Y4" s="73"/>
    </row>
    <row r="5" spans="1:25" ht="13.75" customHeight="1">
      <c r="A5" s="1110" t="s">
        <v>211</v>
      </c>
      <c r="B5" s="1100" t="s">
        <v>219</v>
      </c>
      <c r="C5" s="1100" t="s">
        <v>79</v>
      </c>
      <c r="D5" s="1101" t="s">
        <v>220</v>
      </c>
      <c r="E5" s="1106" t="s">
        <v>221</v>
      </c>
      <c r="F5" s="1033"/>
      <c r="G5" s="53" t="s">
        <v>222</v>
      </c>
      <c r="H5" s="1158" t="s">
        <v>223</v>
      </c>
      <c r="I5" s="1103" t="s">
        <v>224</v>
      </c>
      <c r="J5" s="1097" t="s">
        <v>225</v>
      </c>
      <c r="K5" s="73"/>
      <c r="L5" s="73"/>
      <c r="M5" s="73"/>
      <c r="N5" s="73"/>
      <c r="O5" s="73"/>
      <c r="P5" s="73"/>
      <c r="Q5" s="73"/>
      <c r="R5" s="73"/>
      <c r="S5" s="73"/>
      <c r="T5" s="73"/>
      <c r="U5" s="73"/>
      <c r="V5" s="73"/>
      <c r="W5" s="73"/>
      <c r="X5" s="73"/>
      <c r="Y5" s="73"/>
    </row>
    <row r="6" spans="1:25" ht="13.75" customHeight="1">
      <c r="A6" s="1066"/>
      <c r="B6" s="1066"/>
      <c r="C6" s="1066"/>
      <c r="D6" s="1066"/>
      <c r="E6" s="126" t="s">
        <v>226</v>
      </c>
      <c r="F6" s="126" t="s">
        <v>79</v>
      </c>
      <c r="G6" s="127" t="s">
        <v>227</v>
      </c>
      <c r="H6" s="1066"/>
      <c r="I6" s="1066"/>
      <c r="J6" s="1066"/>
      <c r="K6" s="73"/>
      <c r="L6" s="73"/>
      <c r="M6" s="73"/>
      <c r="N6" s="73"/>
      <c r="O6" s="73"/>
      <c r="P6" s="73"/>
      <c r="Q6" s="73"/>
      <c r="R6" s="73"/>
      <c r="S6" s="73"/>
      <c r="T6" s="73"/>
      <c r="U6" s="73"/>
      <c r="V6" s="73"/>
      <c r="W6" s="73"/>
      <c r="X6" s="73"/>
      <c r="Y6" s="73"/>
    </row>
    <row r="7" spans="1:25" ht="12.9" customHeight="1">
      <c r="A7" s="1055" t="s">
        <v>509</v>
      </c>
      <c r="B7" s="1361" t="s">
        <v>680</v>
      </c>
      <c r="C7" s="1361" t="s">
        <v>1701</v>
      </c>
      <c r="D7" s="1361" t="s">
        <v>12</v>
      </c>
      <c r="E7" s="1542" t="s">
        <v>656</v>
      </c>
      <c r="F7" s="1542" t="s">
        <v>681</v>
      </c>
      <c r="G7" s="779" t="str">
        <f>HYPERLINK("#'P-Lote'!A5", "P-LOT-001")</f>
        <v>P-LOT-001</v>
      </c>
      <c r="H7" s="1055"/>
      <c r="I7" s="1361" t="s">
        <v>658</v>
      </c>
      <c r="J7" s="1361" t="s">
        <v>682</v>
      </c>
      <c r="K7" s="73"/>
      <c r="L7" s="73"/>
      <c r="M7" s="73"/>
      <c r="N7" s="73"/>
      <c r="O7" s="73"/>
      <c r="P7" s="73"/>
      <c r="Q7" s="73"/>
      <c r="R7" s="73"/>
      <c r="S7" s="73"/>
      <c r="T7" s="73"/>
      <c r="U7" s="73"/>
      <c r="V7" s="73"/>
      <c r="W7" s="73"/>
      <c r="X7" s="73"/>
      <c r="Y7" s="73"/>
    </row>
    <row r="8" spans="1:25">
      <c r="A8" s="1047"/>
      <c r="B8" s="1362"/>
      <c r="C8" s="1362"/>
      <c r="D8" s="1362"/>
      <c r="E8" s="1362"/>
      <c r="F8" s="1362"/>
      <c r="G8" s="779" t="str">
        <f>HYPERLINK("#'P-Lote'!A6", "P-LOT-002")</f>
        <v>P-LOT-002</v>
      </c>
      <c r="H8" s="1047"/>
      <c r="I8" s="1362"/>
      <c r="J8" s="1362"/>
      <c r="K8" s="73"/>
      <c r="L8" s="73"/>
      <c r="M8" s="73"/>
      <c r="N8" s="73"/>
      <c r="O8" s="73"/>
      <c r="P8" s="73"/>
      <c r="Q8" s="73"/>
      <c r="R8" s="73"/>
      <c r="S8" s="73"/>
      <c r="T8" s="73"/>
      <c r="U8" s="73"/>
      <c r="V8" s="73"/>
      <c r="W8" s="73"/>
      <c r="X8" s="73"/>
      <c r="Y8" s="73"/>
    </row>
    <row r="9" spans="1:25">
      <c r="A9" s="1047"/>
      <c r="B9" s="1362"/>
      <c r="C9" s="1362"/>
      <c r="D9" s="1362"/>
      <c r="E9" s="1362"/>
      <c r="F9" s="1362"/>
      <c r="G9" s="779" t="str">
        <f>HYPERLINK("#'P-Lote'!A7", "P-LOT-003")</f>
        <v>P-LOT-003</v>
      </c>
      <c r="H9" s="1047"/>
      <c r="I9" s="1362"/>
      <c r="J9" s="1362"/>
      <c r="K9" s="73"/>
      <c r="L9" s="73"/>
      <c r="M9" s="73"/>
      <c r="N9" s="73"/>
      <c r="O9" s="73"/>
      <c r="P9" s="73"/>
      <c r="Q9" s="73"/>
      <c r="R9" s="73"/>
      <c r="S9" s="73"/>
      <c r="T9" s="73"/>
      <c r="U9" s="73"/>
      <c r="V9" s="73"/>
      <c r="W9" s="73"/>
      <c r="X9" s="73"/>
      <c r="Y9" s="73"/>
    </row>
    <row r="10" spans="1:25">
      <c r="A10" s="1047"/>
      <c r="B10" s="1362"/>
      <c r="C10" s="1362"/>
      <c r="D10" s="1362"/>
      <c r="E10" s="1362"/>
      <c r="F10" s="1362"/>
      <c r="G10" s="779" t="str">
        <f>HYPERLINK("#'P-Lote'!A8", "P-LOT-004")</f>
        <v>P-LOT-004</v>
      </c>
      <c r="H10" s="1047"/>
      <c r="I10" s="1362"/>
      <c r="J10" s="1362"/>
      <c r="K10" s="73"/>
      <c r="L10" s="73"/>
      <c r="M10" s="73"/>
      <c r="N10" s="73"/>
      <c r="O10" s="73"/>
      <c r="P10" s="73"/>
      <c r="Q10" s="73"/>
      <c r="R10" s="73"/>
      <c r="S10" s="73"/>
      <c r="T10" s="73"/>
      <c r="U10" s="73"/>
      <c r="V10" s="73"/>
      <c r="W10" s="73"/>
      <c r="X10" s="73"/>
      <c r="Y10" s="73"/>
    </row>
    <row r="11" spans="1:25">
      <c r="A11" s="1047"/>
      <c r="B11" s="1362"/>
      <c r="C11" s="1362"/>
      <c r="D11" s="1362"/>
      <c r="E11" s="1362"/>
      <c r="F11" s="1362"/>
      <c r="G11" s="779" t="str">
        <f>HYPERLINK("#'P-Lote'!A9", "P-LOT-005")</f>
        <v>P-LOT-005</v>
      </c>
      <c r="H11" s="1047"/>
      <c r="I11" s="1362"/>
      <c r="J11" s="1362"/>
      <c r="K11" s="73"/>
      <c r="L11" s="73"/>
      <c r="M11" s="73"/>
      <c r="N11" s="73"/>
      <c r="O11" s="73"/>
      <c r="P11" s="73"/>
      <c r="Q11" s="73"/>
      <c r="R11" s="73"/>
      <c r="S11" s="73"/>
      <c r="T11" s="73"/>
      <c r="U11" s="73"/>
      <c r="V11" s="73"/>
      <c r="W11" s="73"/>
      <c r="X11" s="73"/>
      <c r="Y11" s="73"/>
    </row>
    <row r="12" spans="1:25">
      <c r="A12" s="1047"/>
      <c r="B12" s="1362"/>
      <c r="C12" s="1362"/>
      <c r="D12" s="1362"/>
      <c r="E12" s="1362"/>
      <c r="F12" s="1362"/>
      <c r="G12" s="779" t="str">
        <f>HYPERLINK("#'P-Lote'!A10", "P-LOT-006")</f>
        <v>P-LOT-006</v>
      </c>
      <c r="H12" s="1047"/>
      <c r="I12" s="1362"/>
      <c r="J12" s="1362"/>
      <c r="K12" s="73"/>
      <c r="L12" s="73"/>
      <c r="M12" s="73"/>
      <c r="N12" s="73"/>
      <c r="O12" s="73"/>
      <c r="P12" s="73"/>
      <c r="Q12" s="73"/>
      <c r="R12" s="73"/>
      <c r="S12" s="73"/>
      <c r="T12" s="73"/>
      <c r="U12" s="73"/>
      <c r="V12" s="73"/>
      <c r="W12" s="73"/>
      <c r="X12" s="73"/>
      <c r="Y12" s="73"/>
    </row>
    <row r="13" spans="1:25">
      <c r="A13" s="1047"/>
      <c r="B13" s="1362"/>
      <c r="C13" s="1362"/>
      <c r="D13" s="1362"/>
      <c r="E13" s="1362"/>
      <c r="F13" s="1362"/>
      <c r="G13" s="779" t="str">
        <f>HYPERLINK("#'P-Lote'!A13", "P-LOT-009")</f>
        <v>P-LOT-009</v>
      </c>
      <c r="H13" s="1047"/>
      <c r="I13" s="1362"/>
      <c r="J13" s="1362"/>
      <c r="K13" s="73"/>
      <c r="L13" s="73"/>
      <c r="M13" s="73"/>
      <c r="N13" s="73"/>
      <c r="O13" s="73"/>
      <c r="P13" s="73"/>
      <c r="Q13" s="73"/>
      <c r="R13" s="73"/>
      <c r="S13" s="73"/>
      <c r="T13" s="73"/>
      <c r="U13" s="73"/>
      <c r="V13" s="73"/>
      <c r="W13" s="73"/>
      <c r="X13" s="73"/>
      <c r="Y13" s="73"/>
    </row>
    <row r="14" spans="1:25">
      <c r="A14" s="1047"/>
      <c r="B14" s="1362"/>
      <c r="C14" s="1362"/>
      <c r="D14" s="1362"/>
      <c r="E14" s="1362"/>
      <c r="F14" s="1362"/>
      <c r="G14" s="779" t="str">
        <f>HYPERLINK("#'P-Lote'!A16", "P-LOT-012")</f>
        <v>P-LOT-012</v>
      </c>
      <c r="H14" s="1047"/>
      <c r="I14" s="1362"/>
      <c r="J14" s="1362"/>
      <c r="K14" s="73"/>
      <c r="L14" s="73"/>
      <c r="M14" s="73"/>
      <c r="N14" s="73"/>
      <c r="O14" s="73"/>
      <c r="P14" s="73"/>
      <c r="Q14" s="73"/>
      <c r="R14" s="73"/>
      <c r="S14" s="73"/>
      <c r="T14" s="73"/>
      <c r="U14" s="73"/>
      <c r="V14" s="73"/>
      <c r="W14" s="73"/>
      <c r="X14" s="73"/>
      <c r="Y14" s="73"/>
    </row>
    <row r="15" spans="1:25" ht="38.25" customHeight="1">
      <c r="A15" s="1048"/>
      <c r="B15" s="1363"/>
      <c r="C15" s="1363"/>
      <c r="D15" s="1363"/>
      <c r="E15" s="1363"/>
      <c r="F15" s="1363"/>
      <c r="G15" s="779" t="str">
        <f>HYPERLINK("#'P-Lote'!A14", "P-LOT-010")</f>
        <v>P-LOT-010</v>
      </c>
      <c r="H15" s="1048"/>
      <c r="I15" s="1363"/>
      <c r="J15" s="1363"/>
      <c r="K15" s="297"/>
      <c r="L15" s="73"/>
      <c r="M15" s="73"/>
      <c r="N15" s="73"/>
      <c r="O15" s="73"/>
      <c r="P15" s="73"/>
      <c r="Q15" s="73"/>
      <c r="R15" s="73"/>
      <c r="S15" s="73"/>
      <c r="T15" s="73"/>
      <c r="U15" s="73"/>
      <c r="V15" s="73"/>
      <c r="W15" s="73"/>
      <c r="X15" s="73"/>
      <c r="Y15" s="73"/>
    </row>
    <row r="16" spans="1:25" ht="50.95" customHeight="1">
      <c r="A16" s="1059" t="s">
        <v>509</v>
      </c>
      <c r="B16" s="1593" t="s">
        <v>683</v>
      </c>
      <c r="C16" s="1593" t="s">
        <v>1702</v>
      </c>
      <c r="D16" s="1593" t="s">
        <v>12</v>
      </c>
      <c r="E16" s="1593" t="s">
        <v>1703</v>
      </c>
      <c r="F16" s="1593" t="s">
        <v>1704</v>
      </c>
      <c r="G16" s="794" t="str">
        <f>HYPERLINK("#'P-Lote'!A11", "P-LOT-007")</f>
        <v>P-LOT-007</v>
      </c>
      <c r="H16" s="1059"/>
      <c r="I16" s="1593" t="s">
        <v>672</v>
      </c>
      <c r="J16" s="1593"/>
      <c r="K16" s="297"/>
      <c r="L16" s="73"/>
      <c r="M16" s="73"/>
      <c r="N16" s="73"/>
      <c r="O16" s="73"/>
      <c r="P16" s="73"/>
      <c r="Q16" s="73"/>
      <c r="R16" s="73"/>
      <c r="S16" s="73"/>
      <c r="T16" s="73"/>
      <c r="U16" s="73"/>
      <c r="V16" s="73"/>
      <c r="W16" s="73"/>
      <c r="X16" s="73"/>
      <c r="Y16" s="73"/>
    </row>
    <row r="17" spans="1:25 16000:16000" ht="25.5" customHeight="1">
      <c r="A17" s="1061"/>
      <c r="B17" s="1594"/>
      <c r="C17" s="1594"/>
      <c r="D17" s="1594"/>
      <c r="E17" s="1594"/>
      <c r="F17" s="1594"/>
      <c r="G17" s="794" t="str">
        <f>HYPERLINK("#'P-Lote'!A17", "P-LOT-013")</f>
        <v>P-LOT-013</v>
      </c>
      <c r="H17" s="1061"/>
      <c r="I17" s="1594"/>
      <c r="J17" s="1594"/>
      <c r="K17" s="297"/>
      <c r="L17" s="73"/>
      <c r="M17" s="73"/>
      <c r="N17" s="73"/>
      <c r="O17" s="73"/>
      <c r="P17" s="73"/>
      <c r="Q17" s="73"/>
      <c r="R17" s="73"/>
      <c r="S17" s="73"/>
      <c r="T17" s="73"/>
      <c r="U17" s="73"/>
      <c r="V17" s="73"/>
      <c r="W17" s="73"/>
      <c r="X17" s="73"/>
      <c r="Y17" s="73"/>
    </row>
    <row r="18" spans="1:25 16000:16000" s="614" customFormat="1" ht="25.5" customHeight="1">
      <c r="A18" s="567" t="s">
        <v>509</v>
      </c>
      <c r="B18" s="547" t="s">
        <v>684</v>
      </c>
      <c r="C18" s="547" t="s">
        <v>685</v>
      </c>
      <c r="D18" s="547" t="s">
        <v>12</v>
      </c>
      <c r="E18" s="547" t="s">
        <v>38</v>
      </c>
      <c r="F18" s="547" t="s">
        <v>686</v>
      </c>
      <c r="G18" s="779" t="str">
        <f>HYPERLINK("#'P-Lote'!A15", "P-LOT-011")</f>
        <v>P-LOT-011</v>
      </c>
      <c r="H18" s="567"/>
      <c r="I18" s="547" t="s">
        <v>674</v>
      </c>
      <c r="J18" s="547"/>
      <c r="K18" s="297"/>
      <c r="L18" s="297"/>
      <c r="M18" s="297"/>
      <c r="N18" s="297"/>
      <c r="O18" s="297"/>
      <c r="P18" s="297"/>
      <c r="Q18" s="297"/>
      <c r="R18" s="297"/>
      <c r="S18" s="297"/>
      <c r="T18" s="297"/>
      <c r="U18" s="297"/>
      <c r="V18" s="297"/>
      <c r="W18" s="297"/>
      <c r="X18" s="297"/>
      <c r="Y18" s="297"/>
      <c r="WQJ18"/>
    </row>
    <row r="19" spans="1:25 16000:16000" s="614" customFormat="1" ht="25.5" customHeight="1">
      <c r="A19" s="566" t="s">
        <v>228</v>
      </c>
      <c r="B19" s="924" t="s">
        <v>687</v>
      </c>
      <c r="C19" s="924" t="s">
        <v>688</v>
      </c>
      <c r="D19" s="924" t="s">
        <v>12</v>
      </c>
      <c r="E19" s="924"/>
      <c r="F19" s="924"/>
      <c r="G19" s="794" t="str">
        <f>HYPERLINK("#'P-Lote'!A12", "P-LOT-008")</f>
        <v>P-LOT-008</v>
      </c>
      <c r="H19" s="566"/>
      <c r="I19" s="924" t="s">
        <v>677</v>
      </c>
      <c r="J19" s="924"/>
      <c r="K19" s="297"/>
      <c r="L19" s="297"/>
      <c r="M19" s="297"/>
      <c r="N19" s="297"/>
      <c r="O19" s="297"/>
      <c r="P19" s="297"/>
      <c r="Q19" s="297"/>
      <c r="R19" s="297"/>
      <c r="S19" s="297"/>
      <c r="T19" s="297"/>
      <c r="U19" s="297"/>
      <c r="V19" s="297"/>
      <c r="W19" s="297"/>
      <c r="X19" s="297"/>
      <c r="Y19" s="297"/>
      <c r="WQJ19"/>
    </row>
    <row r="20" spans="1:25 16000:16000" ht="12.9" customHeight="1">
      <c r="A20" s="593"/>
      <c r="B20" s="593"/>
      <c r="C20" s="593"/>
      <c r="D20" s="593"/>
      <c r="E20" s="593"/>
      <c r="F20" s="594"/>
      <c r="G20" s="595"/>
      <c r="H20" s="593"/>
      <c r="I20" s="593"/>
      <c r="J20" s="593"/>
      <c r="K20" s="367"/>
      <c r="L20" s="73"/>
      <c r="M20" s="73"/>
      <c r="N20" s="73"/>
      <c r="O20" s="73"/>
      <c r="P20" s="73"/>
      <c r="Q20" s="73"/>
      <c r="R20" s="73"/>
      <c r="S20" s="73"/>
      <c r="T20" s="73"/>
      <c r="U20" s="73"/>
      <c r="V20" s="73"/>
      <c r="W20" s="73"/>
      <c r="X20" s="73"/>
      <c r="Y20" s="73"/>
    </row>
    <row r="21" spans="1:25 16000:16000">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1:25 16000:16000">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1:25 16000:16000">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16000:16000">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16000:16000">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16000:16000">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16000:16000">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16000:16000">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16000:16000">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16000:1600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16000:16000">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16000:16000">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spans="1:2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spans="1:2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spans="1:2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sheetData>
  <mergeCells count="30">
    <mergeCell ref="F7:F15"/>
    <mergeCell ref="H7:H15"/>
    <mergeCell ref="I7:I15"/>
    <mergeCell ref="J7:J15"/>
    <mergeCell ref="A16:A17"/>
    <mergeCell ref="B16:B17"/>
    <mergeCell ref="C16:C17"/>
    <mergeCell ref="D16:D17"/>
    <mergeCell ref="E16:E17"/>
    <mergeCell ref="F16:F17"/>
    <mergeCell ref="H16:H17"/>
    <mergeCell ref="I16:I17"/>
    <mergeCell ref="J16:J17"/>
    <mergeCell ref="A7:A15"/>
    <mergeCell ref="B7:B15"/>
    <mergeCell ref="C7:C15"/>
    <mergeCell ref="D7:D15"/>
    <mergeCell ref="E7:E15"/>
    <mergeCell ref="A5:A6"/>
    <mergeCell ref="B5:B6"/>
    <mergeCell ref="D5:D6"/>
    <mergeCell ref="B2:J2"/>
    <mergeCell ref="C5:C6"/>
    <mergeCell ref="B3:J3"/>
    <mergeCell ref="J5:J6"/>
    <mergeCell ref="B4:C4"/>
    <mergeCell ref="I5:I6"/>
    <mergeCell ref="H5:H6"/>
    <mergeCell ref="E5:F5"/>
    <mergeCell ref="E4:F4"/>
  </mergeCells>
  <hyperlinks>
    <hyperlink ref="A1" location="'Modelo de dominio'!A1" display="&lt;&lt;&lt;Modelo de Dominio" xr:uid="{00000000-0004-0000-2300-000000000000}"/>
    <hyperlink ref="B1" location="'Objetos de dominio'!A1" display="&lt;&lt;&lt;Objetos de Dominio" xr:uid="{00000000-0004-0000-2300-000001000000}"/>
    <hyperlink ref="B3" location="'Objetos de dominio'!B21" display="Objeto de dominio que representa un conjunto de unidades de un producto ingresadas al inventario bajo un número de lote determinado, permitiendo controlar su cantidad, disponibilidad, fecha de ingreso y fecha de vencimiento." xr:uid="{00000000-0004-0000-2300-000002000000}"/>
  </hyperlink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63">
    <outlinePr summaryBelow="0" summaryRight="0"/>
  </sheetPr>
  <dimension ref="A1:Z999"/>
  <sheetViews>
    <sheetView workbookViewId="0">
      <selection activeCell="B26" sqref="B26"/>
    </sheetView>
  </sheetViews>
  <sheetFormatPr baseColWidth="10" defaultColWidth="12.625" defaultRowHeight="15.8" customHeight="1"/>
  <cols>
    <col min="1" max="1" width="17.625" bestFit="1" customWidth="1"/>
    <col min="2" max="2" width="181" bestFit="1" customWidth="1"/>
    <col min="3" max="3" width="19.5" bestFit="1" customWidth="1"/>
    <col min="4" max="4" width="19.125" bestFit="1"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c r="A2" s="54" t="s">
        <v>233</v>
      </c>
      <c r="B2" s="1112" t="s">
        <v>12</v>
      </c>
      <c r="C2" s="1033"/>
      <c r="E2" s="73"/>
      <c r="F2" s="73"/>
      <c r="G2" s="73"/>
      <c r="H2" s="73"/>
      <c r="I2" s="73"/>
      <c r="J2" s="73"/>
      <c r="K2" s="73"/>
      <c r="L2" s="73"/>
      <c r="M2" s="73"/>
      <c r="N2" s="73"/>
      <c r="O2" s="73"/>
      <c r="P2" s="73"/>
      <c r="Q2" s="73"/>
      <c r="R2" s="73"/>
      <c r="S2" s="73"/>
      <c r="T2" s="73"/>
      <c r="U2" s="73"/>
      <c r="V2" s="73"/>
      <c r="W2" s="73"/>
      <c r="X2" s="73"/>
      <c r="Y2" s="73"/>
      <c r="Z2" s="73"/>
    </row>
    <row r="3" spans="1:26">
      <c r="A3" s="54" t="s">
        <v>21</v>
      </c>
      <c r="B3" s="1111" t="str">
        <f>'C-Lote'!B3</f>
        <v>Es un grupo de unidades de un mismo insumo que llegó en una compra, y que se identifica para saber cuánto hay, cuándo llegó y poder rastrearlo dentro del inventario.</v>
      </c>
      <c r="C3" s="1033"/>
      <c r="E3" s="73"/>
      <c r="F3" s="73"/>
      <c r="G3" s="73"/>
      <c r="H3" s="73"/>
      <c r="I3" s="73"/>
      <c r="J3" s="73"/>
      <c r="K3" s="73"/>
      <c r="L3" s="73"/>
      <c r="M3" s="73"/>
      <c r="N3" s="73"/>
      <c r="O3" s="73"/>
      <c r="P3" s="73"/>
      <c r="Q3" s="73"/>
      <c r="R3" s="73"/>
      <c r="S3" s="73"/>
      <c r="T3" s="73"/>
      <c r="U3" s="73"/>
      <c r="V3" s="73"/>
      <c r="W3" s="73"/>
      <c r="X3" s="73"/>
      <c r="Y3" s="73"/>
      <c r="Z3" s="73"/>
    </row>
    <row r="4" spans="1:26">
      <c r="A4" s="326" t="s">
        <v>234</v>
      </c>
      <c r="B4" s="326" t="s">
        <v>235</v>
      </c>
      <c r="C4" s="326" t="s">
        <v>236</v>
      </c>
      <c r="D4" s="326" t="s">
        <v>237</v>
      </c>
      <c r="E4" s="73"/>
      <c r="F4" s="73"/>
      <c r="G4" s="73"/>
      <c r="H4" s="73"/>
      <c r="I4" s="73"/>
      <c r="J4" s="73"/>
      <c r="K4" s="73"/>
      <c r="L4" s="73"/>
      <c r="M4" s="73"/>
      <c r="N4" s="73"/>
      <c r="O4" s="73"/>
      <c r="P4" s="73"/>
      <c r="Q4" s="73"/>
      <c r="R4" s="73"/>
      <c r="S4" s="73"/>
      <c r="T4" s="73"/>
      <c r="U4" s="73"/>
      <c r="V4" s="73"/>
      <c r="W4" s="73"/>
      <c r="X4" s="73"/>
      <c r="Y4" s="73"/>
      <c r="Z4" s="73"/>
    </row>
    <row r="5" spans="1:26">
      <c r="A5" s="573" t="s">
        <v>689</v>
      </c>
      <c r="B5" s="573" t="s">
        <v>690</v>
      </c>
      <c r="C5" s="573" t="s">
        <v>12</v>
      </c>
      <c r="D5" s="573"/>
      <c r="E5" s="73"/>
      <c r="F5" s="73"/>
      <c r="G5" s="73"/>
      <c r="H5" s="73"/>
      <c r="I5" s="73"/>
      <c r="J5" s="73"/>
      <c r="K5" s="73"/>
      <c r="L5" s="73"/>
      <c r="M5" s="73"/>
      <c r="N5" s="73"/>
      <c r="O5" s="73"/>
      <c r="P5" s="73"/>
      <c r="Q5" s="73"/>
      <c r="R5" s="73"/>
      <c r="S5" s="73"/>
      <c r="T5" s="73"/>
      <c r="U5" s="73"/>
      <c r="V5" s="73"/>
      <c r="W5" s="73"/>
      <c r="X5" s="73"/>
      <c r="Y5" s="73"/>
      <c r="Z5" s="73"/>
    </row>
    <row r="6" spans="1:26">
      <c r="A6" s="573" t="s">
        <v>691</v>
      </c>
      <c r="B6" s="573" t="s">
        <v>692</v>
      </c>
      <c r="C6" s="573" t="s">
        <v>12</v>
      </c>
      <c r="D6" s="573"/>
      <c r="E6" s="73"/>
      <c r="F6" s="73"/>
      <c r="G6" s="73"/>
      <c r="H6" s="73"/>
      <c r="I6" s="73"/>
      <c r="J6" s="73"/>
      <c r="K6" s="73"/>
      <c r="L6" s="73"/>
      <c r="M6" s="73"/>
      <c r="N6" s="73"/>
      <c r="O6" s="73"/>
      <c r="P6" s="73"/>
      <c r="Q6" s="73"/>
      <c r="R6" s="73"/>
      <c r="S6" s="73"/>
      <c r="T6" s="73"/>
      <c r="U6" s="73"/>
      <c r="V6" s="73"/>
      <c r="W6" s="73"/>
      <c r="X6" s="73"/>
      <c r="Y6" s="73"/>
      <c r="Z6" s="73"/>
    </row>
    <row r="7" spans="1:26">
      <c r="A7" s="573" t="s">
        <v>693</v>
      </c>
      <c r="B7" s="573" t="s">
        <v>694</v>
      </c>
      <c r="C7" s="573" t="s">
        <v>38</v>
      </c>
      <c r="D7" s="796" t="str">
        <f>HYPERLINK("#'P-ProductoInterno'!A11", 'P-ProductoInterno'!A11)</f>
        <v>P-PI-007</v>
      </c>
      <c r="E7" s="73"/>
      <c r="F7" s="73"/>
      <c r="G7" s="73"/>
      <c r="H7" s="73"/>
      <c r="I7" s="73"/>
      <c r="J7" s="73"/>
      <c r="K7" s="73"/>
      <c r="L7" s="73"/>
      <c r="M7" s="73"/>
      <c r="N7" s="73"/>
      <c r="O7" s="73"/>
      <c r="P7" s="73"/>
      <c r="Q7" s="73"/>
      <c r="R7" s="73"/>
      <c r="S7" s="73"/>
      <c r="T7" s="73"/>
      <c r="U7" s="73"/>
      <c r="V7" s="73"/>
      <c r="W7" s="73"/>
      <c r="X7" s="73"/>
      <c r="Y7" s="73"/>
      <c r="Z7" s="73"/>
    </row>
    <row r="8" spans="1:26">
      <c r="A8" s="573" t="s">
        <v>695</v>
      </c>
      <c r="B8" s="573" t="s">
        <v>1694</v>
      </c>
      <c r="C8" s="573" t="s">
        <v>195</v>
      </c>
      <c r="D8" s="796" t="str">
        <f>HYPERLINK("#'P-MovimientoInventario'!A8", 'P-MovimientoInventario'!A8)</f>
        <v>P-MI-004</v>
      </c>
      <c r="E8" s="73"/>
      <c r="F8" s="73"/>
      <c r="G8" s="73"/>
      <c r="H8" s="73"/>
      <c r="I8" s="73"/>
      <c r="J8" s="73"/>
      <c r="K8" s="73"/>
      <c r="L8" s="73"/>
      <c r="M8" s="73"/>
      <c r="N8" s="73"/>
      <c r="O8" s="73"/>
      <c r="P8" s="73"/>
      <c r="Q8" s="73"/>
      <c r="R8" s="73"/>
      <c r="S8" s="73"/>
      <c r="T8" s="73"/>
      <c r="U8" s="73"/>
      <c r="V8" s="73"/>
      <c r="W8" s="73"/>
      <c r="X8" s="73"/>
      <c r="Y8" s="73"/>
      <c r="Z8" s="73"/>
    </row>
    <row r="9" spans="1:26">
      <c r="A9" s="573" t="s">
        <v>696</v>
      </c>
      <c r="B9" s="573" t="s">
        <v>697</v>
      </c>
      <c r="C9" s="573" t="s">
        <v>28</v>
      </c>
      <c r="D9" s="796" t="str">
        <f>HYPERLINK("#'P-UnidadMedida'!A6", 'P-UnidadMedida'!A6)</f>
        <v>P-UM-002</v>
      </c>
      <c r="E9" s="73"/>
      <c r="F9" s="73"/>
      <c r="G9" s="73"/>
      <c r="H9" s="73"/>
      <c r="I9" s="73"/>
      <c r="J9" s="73"/>
      <c r="K9" s="73"/>
      <c r="L9" s="73"/>
      <c r="M9" s="73"/>
      <c r="N9" s="73"/>
      <c r="O9" s="73"/>
      <c r="P9" s="73"/>
      <c r="Q9" s="73"/>
      <c r="R9" s="73"/>
      <c r="S9" s="73"/>
      <c r="T9" s="73"/>
      <c r="U9" s="73"/>
      <c r="V9" s="73"/>
      <c r="W9" s="73"/>
      <c r="X9" s="73"/>
      <c r="Y9" s="73"/>
      <c r="Z9" s="73"/>
    </row>
    <row r="10" spans="1:26">
      <c r="A10" s="573" t="s">
        <v>698</v>
      </c>
      <c r="B10" s="573" t="s">
        <v>699</v>
      </c>
      <c r="C10" s="573" t="s">
        <v>195</v>
      </c>
      <c r="D10" s="796" t="str">
        <f>HYPERLINK("#'P-MovimientoInventario'!A14", 'P-MovimientoInventario'!A14)</f>
        <v>P-MI-010</v>
      </c>
      <c r="E10" s="73"/>
      <c r="F10" s="73"/>
      <c r="G10" s="73"/>
      <c r="H10" s="73"/>
      <c r="I10" s="73"/>
      <c r="J10" s="73"/>
      <c r="K10" s="73"/>
      <c r="L10" s="73"/>
      <c r="M10" s="73"/>
      <c r="N10" s="73"/>
      <c r="O10" s="73"/>
      <c r="P10" s="73"/>
      <c r="Q10" s="73"/>
      <c r="R10" s="73"/>
      <c r="S10" s="73"/>
      <c r="T10" s="73"/>
      <c r="U10" s="73"/>
      <c r="V10" s="73"/>
      <c r="W10" s="73"/>
      <c r="X10" s="73"/>
      <c r="Y10" s="73"/>
      <c r="Z10" s="73"/>
    </row>
    <row r="11" spans="1:26">
      <c r="A11" s="573" t="s">
        <v>700</v>
      </c>
      <c r="B11" s="573" t="s">
        <v>1695</v>
      </c>
      <c r="C11" s="573" t="s">
        <v>12</v>
      </c>
      <c r="D11" s="327"/>
      <c r="E11" s="73"/>
      <c r="F11" s="73"/>
      <c r="G11" s="73"/>
      <c r="H11" s="73"/>
      <c r="I11" s="73"/>
      <c r="J11" s="73"/>
      <c r="K11" s="73"/>
      <c r="L11" s="73"/>
      <c r="M11" s="73"/>
      <c r="N11" s="73"/>
      <c r="O11" s="73"/>
      <c r="P11" s="73"/>
      <c r="Q11" s="73"/>
      <c r="R11" s="73"/>
      <c r="S11" s="73"/>
      <c r="T11" s="73"/>
      <c r="U11" s="73"/>
      <c r="V11" s="73"/>
      <c r="W11" s="73"/>
      <c r="X11" s="73"/>
      <c r="Y11" s="73"/>
      <c r="Z11" s="73"/>
    </row>
    <row r="12" spans="1:26">
      <c r="A12" s="573" t="s">
        <v>701</v>
      </c>
      <c r="B12" s="573" t="s">
        <v>702</v>
      </c>
      <c r="C12" s="573" t="s">
        <v>12</v>
      </c>
      <c r="D12" s="573"/>
      <c r="E12" s="73"/>
      <c r="F12" s="73"/>
      <c r="G12" s="73"/>
      <c r="H12" s="73"/>
      <c r="I12" s="73"/>
      <c r="J12" s="73"/>
      <c r="K12" s="73"/>
      <c r="L12" s="73"/>
      <c r="M12" s="73"/>
      <c r="N12" s="73"/>
      <c r="O12" s="73"/>
      <c r="P12" s="73"/>
      <c r="Q12" s="73"/>
      <c r="R12" s="73"/>
      <c r="S12" s="73"/>
      <c r="T12" s="73"/>
      <c r="U12" s="73"/>
      <c r="V12" s="73"/>
      <c r="W12" s="73"/>
      <c r="X12" s="73"/>
      <c r="Y12" s="73"/>
      <c r="Z12" s="73"/>
    </row>
    <row r="13" spans="1:26">
      <c r="A13" s="573" t="s">
        <v>703</v>
      </c>
      <c r="B13" s="562" t="s">
        <v>704</v>
      </c>
      <c r="C13" s="562" t="s">
        <v>12</v>
      </c>
      <c r="D13" s="573"/>
      <c r="E13" s="73"/>
      <c r="F13" s="73"/>
      <c r="G13" s="73"/>
      <c r="H13" s="73"/>
      <c r="I13" s="73"/>
      <c r="J13" s="73"/>
      <c r="K13" s="73"/>
      <c r="L13" s="73"/>
      <c r="M13" s="73"/>
      <c r="N13" s="73"/>
      <c r="O13" s="73"/>
      <c r="P13" s="73"/>
      <c r="Q13" s="73"/>
      <c r="R13" s="73"/>
      <c r="S13" s="73"/>
      <c r="T13" s="73"/>
      <c r="U13" s="73"/>
      <c r="V13" s="73"/>
      <c r="W13" s="73"/>
      <c r="X13" s="73"/>
      <c r="Y13" s="73"/>
      <c r="Z13" s="73"/>
    </row>
    <row r="14" spans="1:26">
      <c r="A14" s="573" t="s">
        <v>705</v>
      </c>
      <c r="B14" s="573" t="s">
        <v>1696</v>
      </c>
      <c r="C14" s="573" t="s">
        <v>12</v>
      </c>
      <c r="D14" s="573"/>
      <c r="E14" s="73"/>
      <c r="F14" s="73"/>
      <c r="G14" s="73"/>
      <c r="H14" s="73"/>
      <c r="I14" s="73"/>
      <c r="J14" s="73"/>
      <c r="K14" s="73"/>
      <c r="L14" s="73"/>
      <c r="M14" s="73"/>
      <c r="N14" s="73"/>
      <c r="O14" s="73"/>
      <c r="P14" s="73"/>
      <c r="Q14" s="73"/>
      <c r="R14" s="73"/>
      <c r="S14" s="73"/>
      <c r="T14" s="73"/>
      <c r="U14" s="73"/>
      <c r="V14" s="73"/>
      <c r="W14" s="73"/>
      <c r="X14" s="73"/>
      <c r="Y14" s="73"/>
      <c r="Z14" s="73"/>
    </row>
    <row r="15" spans="1:26">
      <c r="A15" s="573" t="s">
        <v>706</v>
      </c>
      <c r="B15" s="441" t="s">
        <v>707</v>
      </c>
      <c r="C15" s="441" t="s">
        <v>12</v>
      </c>
      <c r="D15" s="194"/>
      <c r="E15" s="73"/>
      <c r="F15" s="73"/>
      <c r="G15" s="73"/>
      <c r="H15" s="73"/>
      <c r="I15" s="73"/>
      <c r="J15" s="73"/>
      <c r="K15" s="73"/>
      <c r="L15" s="73"/>
      <c r="M15" s="73"/>
      <c r="N15" s="73"/>
      <c r="O15" s="73"/>
      <c r="P15" s="73"/>
      <c r="Q15" s="73"/>
      <c r="R15" s="73"/>
      <c r="S15" s="73"/>
      <c r="T15" s="73"/>
      <c r="U15" s="73"/>
      <c r="V15" s="73"/>
      <c r="W15" s="73"/>
      <c r="X15" s="73"/>
      <c r="Y15" s="73"/>
      <c r="Z15" s="73"/>
    </row>
    <row r="16" spans="1:26">
      <c r="A16" s="573" t="s">
        <v>1697</v>
      </c>
      <c r="B16" s="441" t="s">
        <v>1698</v>
      </c>
      <c r="C16" s="441" t="s">
        <v>12</v>
      </c>
      <c r="D16" s="194"/>
      <c r="E16" s="73"/>
      <c r="F16" s="73"/>
      <c r="G16" s="73"/>
      <c r="H16" s="73"/>
      <c r="I16" s="73"/>
      <c r="J16" s="73"/>
      <c r="K16" s="73"/>
      <c r="L16" s="73"/>
      <c r="M16" s="73"/>
      <c r="N16" s="73"/>
      <c r="O16" s="73"/>
      <c r="P16" s="73"/>
      <c r="Q16" s="73"/>
      <c r="R16" s="73"/>
      <c r="S16" s="73"/>
      <c r="T16" s="73"/>
      <c r="U16" s="73"/>
      <c r="V16" s="73"/>
      <c r="W16" s="73"/>
      <c r="X16" s="73"/>
      <c r="Y16" s="73"/>
      <c r="Z16" s="73"/>
    </row>
    <row r="17" spans="1:26">
      <c r="A17" s="573" t="s">
        <v>1699</v>
      </c>
      <c r="B17" s="441" t="s">
        <v>1700</v>
      </c>
      <c r="C17" s="441" t="s">
        <v>12</v>
      </c>
      <c r="D17" s="194"/>
      <c r="E17" s="73"/>
      <c r="F17" s="73"/>
      <c r="G17" s="73"/>
      <c r="H17" s="73"/>
      <c r="I17" s="73"/>
      <c r="J17" s="73"/>
      <c r="K17" s="73"/>
      <c r="L17" s="73"/>
      <c r="M17" s="73"/>
      <c r="N17" s="73"/>
      <c r="O17" s="73"/>
      <c r="P17" s="73"/>
      <c r="Q17" s="73"/>
      <c r="R17" s="73"/>
      <c r="S17" s="73"/>
      <c r="T17" s="73"/>
      <c r="U17" s="73"/>
      <c r="V17" s="73"/>
      <c r="W17" s="73"/>
      <c r="X17" s="73"/>
      <c r="Y17" s="73"/>
      <c r="Z17" s="73"/>
    </row>
    <row r="18" spans="1:26">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c r="A999" s="73"/>
      <c r="B999" s="73"/>
      <c r="C999" s="73"/>
      <c r="D999" s="27"/>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2">
    <mergeCell ref="B3:C3"/>
    <mergeCell ref="B2:C2"/>
  </mergeCells>
  <hyperlinks>
    <hyperlink ref="A1" location="'Modelo de dominio'!A1" display="&lt;&lt;&lt;Modelo de Dominio" xr:uid="{00000000-0004-0000-2400-000000000000}"/>
    <hyperlink ref="B1" location="'Objetos de dominio'!A1" display="&lt;&lt;&lt;Objetos de Dominio" xr:uid="{00000000-0004-0000-2400-000001000000}"/>
    <hyperlink ref="B3" location="'Objetos de dominio'!B21" display="Objeto de dominio que representa un conjunto de unidades de un producto ingresadas al inventario bajo un número de lote determinado, permitiendo controlar su cantidad, disponibilidad, fecha de ingreso y fecha de vencimiento." xr:uid="{00000000-0004-0000-2400-000002000000}"/>
  </hyperlink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56">
    <tabColor theme="2"/>
    <outlinePr summaryBelow="0" summaryRight="0"/>
  </sheetPr>
  <dimension ref="A1:X19"/>
  <sheetViews>
    <sheetView workbookViewId="0">
      <selection activeCell="F28" sqref="F28"/>
    </sheetView>
  </sheetViews>
  <sheetFormatPr baseColWidth="10" defaultColWidth="12.625" defaultRowHeight="15.8" customHeight="1"/>
  <cols>
    <col min="1" max="1" width="28.625" customWidth="1"/>
    <col min="2" max="2" width="21.375" customWidth="1"/>
    <col min="3" max="3" width="29.125" customWidth="1"/>
    <col min="4" max="4" width="23.375" customWidth="1"/>
    <col min="5" max="5" width="23.875" customWidth="1"/>
    <col min="6" max="6" width="36.25" customWidth="1"/>
    <col min="7" max="7" width="23.625" customWidth="1"/>
  </cols>
  <sheetData>
    <row r="1" spans="1:24" ht="12.75" customHeight="1">
      <c r="A1" s="76" t="s">
        <v>577</v>
      </c>
      <c r="B1" s="132" t="s">
        <v>1</v>
      </c>
      <c r="C1" s="140"/>
      <c r="D1" s="201"/>
      <c r="E1" s="201"/>
    </row>
    <row r="2" spans="1:24" ht="54.7" customHeight="1">
      <c r="A2" s="91" t="s">
        <v>1195</v>
      </c>
      <c r="B2" s="91" t="s">
        <v>578</v>
      </c>
      <c r="C2" s="91" t="s">
        <v>1196</v>
      </c>
      <c r="D2" s="91" t="s">
        <v>579</v>
      </c>
      <c r="E2" s="91" t="s">
        <v>580</v>
      </c>
      <c r="F2" s="116"/>
    </row>
    <row r="3" spans="1:24" ht="12.75" customHeight="1">
      <c r="A3" s="296" t="s">
        <v>8</v>
      </c>
      <c r="B3" s="296" t="s">
        <v>1156</v>
      </c>
      <c r="C3" s="296" t="s">
        <v>38</v>
      </c>
      <c r="D3" s="296" t="s">
        <v>28</v>
      </c>
      <c r="E3" s="296" t="s">
        <v>1156</v>
      </c>
      <c r="F3" s="117"/>
      <c r="H3" s="202"/>
    </row>
    <row r="4" spans="1:24" ht="12.75" customHeight="1">
      <c r="A4" s="96" t="s">
        <v>14</v>
      </c>
      <c r="B4" s="96" t="s">
        <v>15</v>
      </c>
      <c r="C4" s="96" t="s">
        <v>15</v>
      </c>
      <c r="D4" s="96" t="s">
        <v>15</v>
      </c>
      <c r="E4" s="96" t="s">
        <v>15</v>
      </c>
      <c r="F4" s="118"/>
    </row>
    <row r="5" spans="1:24" ht="12.75" customHeight="1">
      <c r="A5" s="99" t="s">
        <v>16</v>
      </c>
      <c r="B5" s="477" t="s">
        <v>581</v>
      </c>
      <c r="C5" s="119" t="s">
        <v>38</v>
      </c>
      <c r="D5" s="119" t="s">
        <v>646</v>
      </c>
      <c r="E5" s="94" t="s">
        <v>1197</v>
      </c>
      <c r="F5" s="93" t="s">
        <v>18</v>
      </c>
    </row>
    <row r="6" spans="1:24" s="84" customFormat="1" ht="12.75" customHeight="1">
      <c r="A6" s="120">
        <v>1</v>
      </c>
      <c r="B6" s="120">
        <f>SUMIF('M-Lote'!$D$6:$D$100,C6,'M-Lote'!$F$6:$F$100)</f>
        <v>10.25</v>
      </c>
      <c r="C6" s="302" t="str">
        <f>HYPERLINK("#'M-Lote'!D6", 'M-Lote'!D6)</f>
        <v>Queso</v>
      </c>
      <c r="D6" s="302" t="str">
        <f>HYPERLINK("#'M-Lote'!G6", 'M-Lote'!G6)</f>
        <v>kg</v>
      </c>
      <c r="E6" s="339">
        <v>10</v>
      </c>
      <c r="F6" s="340" t="str">
        <f t="shared" ref="F6:F14" si="0">C6</f>
        <v>Queso</v>
      </c>
      <c r="G6" s="83"/>
      <c r="H6" s="83"/>
      <c r="I6" s="83"/>
      <c r="J6" s="83"/>
      <c r="K6" s="83"/>
      <c r="L6" s="83"/>
      <c r="M6" s="83"/>
      <c r="N6" s="83"/>
      <c r="O6" s="83"/>
      <c r="P6" s="83"/>
      <c r="Q6" s="83"/>
      <c r="R6" s="83"/>
      <c r="S6" s="83"/>
      <c r="T6" s="83"/>
      <c r="U6" s="83"/>
      <c r="V6" s="83"/>
      <c r="W6" s="83"/>
      <c r="X6" s="83"/>
    </row>
    <row r="7" spans="1:24" s="84" customFormat="1" ht="12.75" customHeight="1">
      <c r="A7" s="120">
        <v>2</v>
      </c>
      <c r="B7" s="120">
        <f>SUMIF('M-Lote'!$D$6:$D$100,C7,'M-Lote'!$F$6:$F$100)</f>
        <v>10.25</v>
      </c>
      <c r="C7" s="302" t="str">
        <f>HYPERLINK("#'M-Lote'!D7", 'M-Lote'!D7)</f>
        <v>Albahaca</v>
      </c>
      <c r="D7" s="302" t="str">
        <f>HYPERLINK("#'M-Lote'!G7", 'M-Lote'!G7)</f>
        <v>kg</v>
      </c>
      <c r="E7" s="339">
        <v>10</v>
      </c>
      <c r="F7" s="340" t="str">
        <f t="shared" si="0"/>
        <v>Albahaca</v>
      </c>
    </row>
    <row r="8" spans="1:24" s="84" customFormat="1" ht="12.75" customHeight="1">
      <c r="A8" s="120">
        <v>3</v>
      </c>
      <c r="B8" s="120">
        <f>SUMIF('M-Lote'!$D$6:$D$100,C8,'M-Lote'!$F$6:$F$100)</f>
        <v>12.34</v>
      </c>
      <c r="C8" s="302" t="str">
        <f>HYPERLINK("#'M-Lote'!D8", 'M-Lote'!D8)</f>
        <v>Peperoni</v>
      </c>
      <c r="D8" s="302" t="str">
        <f>HYPERLINK("#'M-Lote'!G8", 'M-Lote'!G8)</f>
        <v>kg</v>
      </c>
      <c r="E8" s="339">
        <v>12</v>
      </c>
      <c r="F8" s="340" t="str">
        <f t="shared" si="0"/>
        <v>Peperoni</v>
      </c>
    </row>
    <row r="9" spans="1:24" s="84" customFormat="1" ht="12.75" customHeight="1">
      <c r="A9" s="120">
        <v>4</v>
      </c>
      <c r="B9" s="120">
        <f>SUMIF('M-Lote'!$D$6:$D$100,C9,'M-Lote'!$F$6:$F$100)</f>
        <v>20.198</v>
      </c>
      <c r="C9" s="302" t="str">
        <f>HYPERLINK("#'M-Lote'!D9", 'M-Lote'!D9)</f>
        <v>Aceite de oliva</v>
      </c>
      <c r="D9" s="302" t="str">
        <f>HYPERLINK("#'M-Lote'!G9", 'M-Lote'!G9)</f>
        <v>l</v>
      </c>
      <c r="E9" s="339">
        <v>15</v>
      </c>
      <c r="F9" s="340" t="str">
        <f t="shared" si="0"/>
        <v>Aceite de oliva</v>
      </c>
    </row>
    <row r="10" spans="1:24" s="84" customFormat="1" ht="12.75" customHeight="1">
      <c r="A10" s="120">
        <v>5</v>
      </c>
      <c r="B10" s="120">
        <f>SUMIF('M-Lote'!$D$6:$D$100,C10,'M-Lote'!$F$6:$F$100)</f>
        <v>11.85</v>
      </c>
      <c r="C10" s="302" t="str">
        <f>HYPERLINK("#'M-Lote'!D11", 'M-Lote'!D11)</f>
        <v>Masa de Pizza</v>
      </c>
      <c r="D10" s="302" t="str">
        <f>HYPERLINK("#'M-Lote'!G11", 'M-Lote'!G11)</f>
        <v>kg</v>
      </c>
      <c r="E10" s="339">
        <v>10</v>
      </c>
      <c r="F10" s="340" t="str">
        <f t="shared" si="0"/>
        <v>Masa de Pizza</v>
      </c>
    </row>
    <row r="11" spans="1:24" s="84" customFormat="1" ht="12.75" customHeight="1">
      <c r="A11" s="339">
        <v>6</v>
      </c>
      <c r="B11" s="339">
        <f>SUMIF('M-Lote'!$D$6:$D$100,C11,'M-Lote'!$F$6:$F$100)</f>
        <v>48</v>
      </c>
      <c r="C11" s="302" t="str">
        <f>HYPERLINK("#'M-Lote'!D12", 'M-Lote'!D12)</f>
        <v>Pepsi 400 ml</v>
      </c>
      <c r="D11" s="302" t="str">
        <f>HYPERLINK("#'M-Lote'!G12", 'M-Lote'!G12)</f>
        <v>und</v>
      </c>
      <c r="E11" s="339">
        <v>15</v>
      </c>
      <c r="F11" s="340" t="str">
        <f t="shared" si="0"/>
        <v>Pepsi 400 ml</v>
      </c>
    </row>
    <row r="12" spans="1:24" ht="12.75" customHeight="1">
      <c r="A12" s="562">
        <v>7</v>
      </c>
      <c r="B12" s="562">
        <f>SUMIF('M-Lote'!$D$6:$D$100,C12,'M-Lote'!$F$6:$F$100)</f>
        <v>10.199999999999999</v>
      </c>
      <c r="C12" s="302" t="str">
        <f>HYPERLINK("#'M-Lote'!D15", 'M-Lote'!D15)</f>
        <v>Salsa de Tomate</v>
      </c>
      <c r="D12" s="302" t="str">
        <f>HYPERLINK("#'M-Lote'!G15", 'M-Lote'!G15)</f>
        <v>kg</v>
      </c>
      <c r="E12" s="562">
        <v>10</v>
      </c>
      <c r="F12" s="562" t="str">
        <f t="shared" si="0"/>
        <v>Salsa de Tomate</v>
      </c>
    </row>
    <row r="13" spans="1:24" ht="12.75" customHeight="1">
      <c r="A13" s="562">
        <v>8</v>
      </c>
      <c r="B13" s="562">
        <f>SUMIF('M-Lote'!$D$6:$D$100,C13,'M-Lote'!$F$6:$F$100)</f>
        <v>0.5</v>
      </c>
      <c r="C13" s="302" t="str">
        <f>HYPERLINK("#'M-Lote'!D19", 'M-Lote'!D19)</f>
        <v>Jamón</v>
      </c>
      <c r="D13" s="302" t="str">
        <f>HYPERLINK("#'M-Lote'!G19", 'M-Lote'!G19)</f>
        <v>kg</v>
      </c>
      <c r="E13" s="562">
        <v>1</v>
      </c>
      <c r="F13" s="562" t="str">
        <f t="shared" si="0"/>
        <v>Jamón</v>
      </c>
    </row>
    <row r="14" spans="1:24" ht="12.75" customHeight="1">
      <c r="A14" s="562">
        <v>9</v>
      </c>
      <c r="B14" s="562">
        <f>SUMIF('M-Lote'!$D$6:$D$100,C14,'M-Lote'!$F$6:$F$100)</f>
        <v>0.42000000000000004</v>
      </c>
      <c r="C14" s="302" t="str">
        <f>HYPERLINK("#'M-Lote'!D20", 'M-Lote'!D20)</f>
        <v>Piña</v>
      </c>
      <c r="D14" s="302" t="str">
        <f>HYPERLINK("#'M-Lote'!G20", 'M-Lote'!G20)</f>
        <v>kg</v>
      </c>
      <c r="E14" s="562">
        <v>1</v>
      </c>
      <c r="F14" s="562" t="str">
        <f t="shared" si="0"/>
        <v>Piña</v>
      </c>
    </row>
    <row r="15" spans="1:24" ht="12.75" customHeight="1"/>
    <row r="16" spans="1:24" ht="12.75" customHeight="1"/>
    <row r="17" ht="12.75" customHeight="1"/>
    <row r="18" ht="12.75" customHeight="1"/>
    <row r="19" ht="12.75" customHeight="1"/>
  </sheetData>
  <hyperlinks>
    <hyperlink ref="A1" location="'Modelo de dominio'!A1" display="&lt;&lt;&lt;Modelo de Dominio" xr:uid="{00000000-0004-0000-1D00-000000000000}"/>
    <hyperlink ref="B1" location="'Objetos de dominio'!A1" display="&lt;&lt;&lt;Objetos de Dominio" xr:uid="{00000000-0004-0000-1D00-000001000000}"/>
    <hyperlink ref="C5" location="'M-Lote'!A1" display="Producto" xr:uid="{00000000-0004-0000-1D00-000002000000}"/>
    <hyperlink ref="D5" location="'M-Lote'!A1" display="UnidadMedidaInventario " xr:uid="{00000000-0004-0000-1D00-000003000000}"/>
  </hyperlink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57">
    <outlinePr summaryBelow="0" summaryRight="0"/>
  </sheetPr>
  <dimension ref="A1:AB32"/>
  <sheetViews>
    <sheetView zoomScale="60" zoomScaleNormal="85" workbookViewId="0">
      <selection activeCell="A24" sqref="A24:R28"/>
    </sheetView>
  </sheetViews>
  <sheetFormatPr baseColWidth="10" defaultColWidth="12.625" defaultRowHeight="12.9"/>
  <cols>
    <col min="1" max="1" width="27.75" bestFit="1" customWidth="1"/>
    <col min="2" max="2" width="65.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94.75" bestFit="1" customWidth="1"/>
    <col min="10" max="10" width="23.25" bestFit="1" customWidth="1"/>
    <col min="11" max="11" width="21.75" bestFit="1" customWidth="1"/>
    <col min="12" max="12" width="18.75" bestFit="1" customWidth="1"/>
    <col min="13" max="13" width="101.625" bestFit="1" customWidth="1"/>
    <col min="14" max="14" width="96.875" bestFit="1" customWidth="1"/>
    <col min="15" max="15" width="31.25" bestFit="1" customWidth="1"/>
    <col min="16" max="16" width="28.25" bestFit="1" customWidth="1"/>
    <col min="17" max="17" width="63.625" bestFit="1" customWidth="1"/>
    <col min="18" max="18" width="58.125" bestFit="1" customWidth="1"/>
    <col min="19" max="19" width="23.875" bestFit="1" customWidth="1"/>
    <col min="20" max="20" width="27.375" bestFit="1" customWidth="1"/>
    <col min="21" max="21" width="15.25" bestFit="1" customWidth="1"/>
    <col min="22" max="22" width="19.25" customWidth="1"/>
    <col min="23" max="23" width="26.875" customWidth="1"/>
    <col min="24" max="24" width="19.25" customWidth="1"/>
    <col min="25" max="25" width="27.375" customWidth="1"/>
    <col min="26" max="26" width="22.125" customWidth="1"/>
    <col min="28" max="28" width="29.875" customWidth="1"/>
  </cols>
  <sheetData>
    <row r="1" spans="1:28" ht="13.75" customHeight="1">
      <c r="A1" s="76" t="s">
        <v>0</v>
      </c>
      <c r="B1" s="132" t="s">
        <v>1</v>
      </c>
      <c r="C1" s="25"/>
      <c r="D1" s="25"/>
      <c r="E1" s="25"/>
      <c r="F1" s="25"/>
      <c r="G1" s="25"/>
      <c r="H1" s="25"/>
      <c r="I1" s="25"/>
      <c r="J1" s="25"/>
      <c r="K1" s="25"/>
      <c r="L1" s="25"/>
      <c r="M1" s="25"/>
      <c r="N1" s="25"/>
      <c r="O1" s="25"/>
      <c r="P1" s="25"/>
      <c r="Q1" s="25"/>
      <c r="R1" s="25"/>
      <c r="S1" s="25"/>
      <c r="T1" s="25"/>
      <c r="U1" s="25"/>
    </row>
    <row r="2" spans="1:28" ht="14.3" customHeight="1">
      <c r="A2" s="7" t="s">
        <v>20</v>
      </c>
      <c r="B2" s="1331" t="s">
        <v>56</v>
      </c>
      <c r="C2" s="1332"/>
      <c r="D2" s="1332"/>
      <c r="E2" s="1332"/>
      <c r="F2" s="1332"/>
      <c r="G2" s="1332"/>
      <c r="H2" s="1332"/>
      <c r="I2" s="1332"/>
      <c r="J2" s="1332"/>
      <c r="K2" s="1332"/>
      <c r="L2" s="1332"/>
      <c r="M2" s="1332"/>
      <c r="N2" s="1332"/>
      <c r="O2" s="1332"/>
      <c r="P2" s="1332"/>
      <c r="Q2" s="1332"/>
      <c r="R2" s="1332"/>
      <c r="S2" s="1332"/>
      <c r="T2" s="1332"/>
      <c r="U2" s="1333"/>
    </row>
    <row r="3" spans="1:28" ht="14.3" customHeight="1">
      <c r="A3" s="459" t="s">
        <v>79</v>
      </c>
      <c r="B3" s="1238" t="str">
        <f>HYPERLINK("#'Objetos de dominio'!B20", 'Objetos de dominio'!B23)</f>
        <v>Es la cantidad que hay disponible de cada insumo o producto que la pizzería necesita para trabajar y vender.</v>
      </c>
      <c r="C3" s="1239"/>
      <c r="D3" s="1239"/>
      <c r="E3" s="1239"/>
      <c r="F3" s="1239"/>
      <c r="G3" s="1239"/>
      <c r="H3" s="1239"/>
      <c r="I3" s="1239"/>
      <c r="J3" s="1239"/>
      <c r="K3" s="1239"/>
      <c r="L3" s="1239"/>
      <c r="M3" s="1239"/>
      <c r="N3" s="1239"/>
      <c r="O3" s="1239"/>
      <c r="P3" s="1239"/>
      <c r="Q3" s="1239"/>
      <c r="R3" s="1239"/>
      <c r="S3" s="1239"/>
      <c r="T3" s="1239"/>
      <c r="U3" s="1240"/>
    </row>
    <row r="4" spans="1:28" ht="14.3" customHeight="1">
      <c r="A4" s="8" t="s">
        <v>80</v>
      </c>
      <c r="B4" s="750" t="s">
        <v>81</v>
      </c>
      <c r="C4" s="713" t="s">
        <v>82</v>
      </c>
      <c r="D4" s="713" t="s">
        <v>8</v>
      </c>
      <c r="E4" s="713" t="s">
        <v>14</v>
      </c>
      <c r="F4" s="713" t="s">
        <v>83</v>
      </c>
      <c r="G4" s="713" t="s">
        <v>84</v>
      </c>
      <c r="H4" s="713" t="s">
        <v>85</v>
      </c>
      <c r="I4" s="713" t="s">
        <v>86</v>
      </c>
      <c r="J4" s="713" t="s">
        <v>87</v>
      </c>
      <c r="K4" s="713" t="s">
        <v>88</v>
      </c>
      <c r="L4" s="713" t="s">
        <v>89</v>
      </c>
      <c r="M4" s="713" t="s">
        <v>90</v>
      </c>
      <c r="N4" s="713" t="s">
        <v>91</v>
      </c>
      <c r="O4" s="713" t="s">
        <v>92</v>
      </c>
      <c r="P4" s="713" t="s">
        <v>93</v>
      </c>
      <c r="Q4" s="713" t="s">
        <v>94</v>
      </c>
      <c r="R4" s="713" t="s">
        <v>95</v>
      </c>
      <c r="S4" s="713" t="s">
        <v>96</v>
      </c>
      <c r="T4" s="713" t="s">
        <v>97</v>
      </c>
      <c r="U4" s="714" t="s">
        <v>98</v>
      </c>
      <c r="V4" s="1603" t="str">
        <f>HYPERLINK("#'C-Inventario'!A24", 'C-Inventario'!A24)</f>
        <v>Actualizar inventario</v>
      </c>
      <c r="W4" s="1604"/>
      <c r="X4" s="702" t="str">
        <f>HYPERLINK("#'C-Inventario'!A28", 'C-Inventario'!A28)</f>
        <v>Consultar inventario</v>
      </c>
      <c r="Y4" s="564" t="str">
        <f>HYPERLINK("#'C-Inventario'!A29", 'C-Inventario'!A29)</f>
        <v>Consultar existencias por lote</v>
      </c>
      <c r="Z4" s="1599" t="str">
        <f>HYPERLINK("#'C-Inventario'!A30", 'C-Inventario'!A30)</f>
        <v>Establecer stock mínimo</v>
      </c>
      <c r="AA4" s="1600"/>
      <c r="AB4" s="503" t="str">
        <f>HYPERLINK("#'C-Inventario'!A31", 'C-Inventario'!A31)</f>
        <v>Emitir alerta de stock bajo</v>
      </c>
    </row>
    <row r="5" spans="1:28" ht="13.75" customHeight="1">
      <c r="A5" s="707" t="str">
        <f>HYPERLINK("#'M-Inventario'!A5", 'M-Inventario'!A5)</f>
        <v>Id</v>
      </c>
      <c r="B5" s="708" t="str">
        <f>HYPERLINK("#'M-Inventario'!A2", 'M-Inventario'!A2)</f>
        <v>Identificador unico de cada registro de inventario</v>
      </c>
      <c r="C5" s="749" t="s">
        <v>582</v>
      </c>
      <c r="D5" s="13" t="s">
        <v>99</v>
      </c>
      <c r="E5" s="13" t="s">
        <v>582</v>
      </c>
      <c r="F5" s="13"/>
      <c r="G5" s="13"/>
      <c r="H5" s="13"/>
      <c r="I5" s="13"/>
      <c r="J5" s="13"/>
      <c r="K5" s="13"/>
      <c r="L5" s="13"/>
      <c r="M5" s="13"/>
      <c r="N5" s="13" t="s">
        <v>100</v>
      </c>
      <c r="O5" s="13" t="s">
        <v>100</v>
      </c>
      <c r="P5" s="13"/>
      <c r="Q5" s="13" t="s">
        <v>100</v>
      </c>
      <c r="R5" s="13" t="s">
        <v>100</v>
      </c>
      <c r="S5" s="13" t="s">
        <v>100</v>
      </c>
      <c r="T5" s="13"/>
      <c r="U5" s="481" t="s">
        <v>582</v>
      </c>
      <c r="V5" s="748" t="s">
        <v>101</v>
      </c>
      <c r="W5" s="748" t="s">
        <v>273</v>
      </c>
      <c r="X5" s="570" t="s">
        <v>274</v>
      </c>
      <c r="Y5" s="564" t="s">
        <v>274</v>
      </c>
      <c r="Z5" s="582" t="s">
        <v>276</v>
      </c>
      <c r="AA5" s="582" t="s">
        <v>273</v>
      </c>
      <c r="AB5" s="503" t="s">
        <v>274</v>
      </c>
    </row>
    <row r="6" spans="1:28" ht="13.75" customHeight="1">
      <c r="A6" s="135" t="str">
        <f>HYPERLINK("#'M-Inventario'!B5", 'M-Inventario'!B5)</f>
        <v>CantidadTotal</v>
      </c>
      <c r="B6" s="698" t="str">
        <f>HYPERLINK("#'M-Inventario'!B2", 'M-Inventario'!B2)</f>
        <v>Cantidad Total del producto</v>
      </c>
      <c r="C6" s="13" t="s">
        <v>100</v>
      </c>
      <c r="D6" s="13" t="s">
        <v>13</v>
      </c>
      <c r="E6" s="13" t="s">
        <v>582</v>
      </c>
      <c r="F6" s="12"/>
      <c r="G6" s="12"/>
      <c r="H6" s="13">
        <v>4</v>
      </c>
      <c r="I6" s="13" t="s">
        <v>103</v>
      </c>
      <c r="J6" s="13" t="s">
        <v>363</v>
      </c>
      <c r="K6" s="36">
        <v>100000</v>
      </c>
      <c r="L6" s="13"/>
      <c r="M6" s="13" t="s">
        <v>583</v>
      </c>
      <c r="N6" s="13" t="s">
        <v>284</v>
      </c>
      <c r="O6" s="13" t="s">
        <v>100</v>
      </c>
      <c r="P6" s="13"/>
      <c r="Q6" s="13" t="s">
        <v>100</v>
      </c>
      <c r="R6" s="13" t="s">
        <v>100</v>
      </c>
      <c r="S6" s="13" t="s">
        <v>100</v>
      </c>
      <c r="T6" s="13"/>
      <c r="U6" s="481" t="s">
        <v>100</v>
      </c>
      <c r="V6" s="516" t="s">
        <v>101</v>
      </c>
      <c r="W6" s="516" t="s">
        <v>273</v>
      </c>
      <c r="X6" s="570" t="s">
        <v>278</v>
      </c>
      <c r="Y6" s="564" t="s">
        <v>278</v>
      </c>
      <c r="Z6" s="582" t="s">
        <v>276</v>
      </c>
      <c r="AA6" s="582" t="s">
        <v>273</v>
      </c>
      <c r="AB6" s="503" t="s">
        <v>278</v>
      </c>
    </row>
    <row r="7" spans="1:28" ht="13.75" customHeight="1">
      <c r="A7" s="135" t="str">
        <f>HYPERLINK("#'M-Inventario'!C5", 'M-Inventario'!C5)</f>
        <v>ProductoInterno</v>
      </c>
      <c r="B7" s="135" t="str">
        <f>HYPERLINK("#'M-Inventario'!C2", 'M-Inventario'!C2)</f>
        <v>Producto interno (ingrediente o bebida) al que corresponde este registro de inventario</v>
      </c>
      <c r="C7" s="13" t="s">
        <v>100</v>
      </c>
      <c r="D7" s="13" t="s">
        <v>38</v>
      </c>
      <c r="E7" s="13" t="s">
        <v>582</v>
      </c>
      <c r="F7" s="13"/>
      <c r="G7" s="13"/>
      <c r="H7" s="13"/>
      <c r="I7" s="13"/>
      <c r="J7" s="13"/>
      <c r="K7" s="13"/>
      <c r="L7" s="13"/>
      <c r="M7" s="13" t="s">
        <v>1198</v>
      </c>
      <c r="N7" s="13" t="s">
        <v>100</v>
      </c>
      <c r="O7" s="13" t="s">
        <v>100</v>
      </c>
      <c r="P7" s="13"/>
      <c r="Q7" s="13" t="s">
        <v>100</v>
      </c>
      <c r="R7" s="13" t="s">
        <v>100</v>
      </c>
      <c r="S7" s="13" t="s">
        <v>100</v>
      </c>
      <c r="T7" s="13"/>
      <c r="U7" s="481" t="s">
        <v>100</v>
      </c>
      <c r="V7" s="516" t="s">
        <v>101</v>
      </c>
      <c r="W7" s="516" t="s">
        <v>273</v>
      </c>
      <c r="X7" s="570" t="s">
        <v>278</v>
      </c>
      <c r="Y7" s="564" t="s">
        <v>278</v>
      </c>
      <c r="Z7" s="582" t="s">
        <v>101</v>
      </c>
      <c r="AA7" s="582" t="s">
        <v>273</v>
      </c>
      <c r="AB7" s="503" t="s">
        <v>278</v>
      </c>
    </row>
    <row r="8" spans="1:28" ht="13.75" customHeight="1">
      <c r="A8" s="135" t="str">
        <f>HYPERLINK("#'M-Inventario'!E5", 'M-Inventario'!E5)</f>
        <v>StockMinimo</v>
      </c>
      <c r="B8" s="135" t="str">
        <f>HYPERLINK("#'M-Inventario'!E2", 'M-Inventario'!E2)</f>
        <v xml:space="preserve">Cantidad minima de cada producto interno que debe haber en el inventario, expresada en la misma unidad de medida de inventario </v>
      </c>
      <c r="C8" s="72" t="s">
        <v>100</v>
      </c>
      <c r="D8" s="72" t="s">
        <v>13</v>
      </c>
      <c r="E8" s="72" t="s">
        <v>582</v>
      </c>
      <c r="F8" s="72"/>
      <c r="G8" s="72"/>
      <c r="H8" s="13">
        <v>4</v>
      </c>
      <c r="I8" s="72" t="s">
        <v>103</v>
      </c>
      <c r="J8" s="72" t="s">
        <v>104</v>
      </c>
      <c r="K8" s="36">
        <v>100000</v>
      </c>
      <c r="L8" s="72"/>
      <c r="M8" s="72" t="s">
        <v>1199</v>
      </c>
      <c r="N8" s="72" t="s">
        <v>100</v>
      </c>
      <c r="O8" s="72" t="s">
        <v>100</v>
      </c>
      <c r="P8" s="72"/>
      <c r="Q8" s="72" t="s">
        <v>100</v>
      </c>
      <c r="R8" s="72" t="s">
        <v>100</v>
      </c>
      <c r="S8" s="72" t="s">
        <v>100</v>
      </c>
      <c r="T8" s="72">
        <v>1</v>
      </c>
      <c r="U8" s="500" t="s">
        <v>100</v>
      </c>
      <c r="V8" s="516" t="s">
        <v>276</v>
      </c>
      <c r="W8" s="516" t="s">
        <v>273</v>
      </c>
      <c r="X8" s="570" t="s">
        <v>278</v>
      </c>
      <c r="Y8" s="564" t="s">
        <v>274</v>
      </c>
      <c r="Z8" s="582" t="s">
        <v>101</v>
      </c>
      <c r="AA8" s="582" t="s">
        <v>277</v>
      </c>
      <c r="AB8" s="503" t="s">
        <v>278</v>
      </c>
    </row>
    <row r="9" spans="1:28" ht="13.75" customHeight="1">
      <c r="A9" s="135" t="str">
        <f>HYPERLINK("#'M-Inventario'!D5", 'M-Inventario'!D5)</f>
        <v>UnidadMedidaInventario</v>
      </c>
      <c r="B9" s="135" t="str">
        <f>HYPERLINK("#'M-Inventario'!D2", 'M-Inventario'!D2)</f>
        <v>Unidad de medida que se maneja en el inventario</v>
      </c>
      <c r="C9" s="72" t="s">
        <v>100</v>
      </c>
      <c r="D9" s="72" t="s">
        <v>28</v>
      </c>
      <c r="E9" s="72" t="s">
        <v>15</v>
      </c>
      <c r="F9" s="72"/>
      <c r="G9" s="72"/>
      <c r="H9" s="72"/>
      <c r="I9" s="72"/>
      <c r="J9" s="72"/>
      <c r="K9" s="72"/>
      <c r="L9" s="72"/>
      <c r="M9" s="72" t="s">
        <v>584</v>
      </c>
      <c r="N9" s="72" t="s">
        <v>100</v>
      </c>
      <c r="O9" s="72" t="s">
        <v>100</v>
      </c>
      <c r="P9" s="72"/>
      <c r="Q9" s="72" t="s">
        <v>100</v>
      </c>
      <c r="R9" s="72" t="s">
        <v>100</v>
      </c>
      <c r="S9" s="72" t="s">
        <v>100</v>
      </c>
      <c r="T9" s="72"/>
      <c r="U9" s="500" t="s">
        <v>100</v>
      </c>
      <c r="V9" s="516" t="s">
        <v>101</v>
      </c>
      <c r="W9" s="516" t="s">
        <v>273</v>
      </c>
      <c r="X9" s="570" t="s">
        <v>278</v>
      </c>
      <c r="Y9" s="564" t="s">
        <v>278</v>
      </c>
      <c r="Z9" s="582" t="s">
        <v>276</v>
      </c>
      <c r="AA9" s="582" t="s">
        <v>273</v>
      </c>
      <c r="AB9" s="503" t="s">
        <v>278</v>
      </c>
    </row>
    <row r="10" spans="1:28" ht="13.75" customHeight="1">
      <c r="A10" s="154"/>
      <c r="B10" s="155"/>
      <c r="C10" s="155"/>
      <c r="D10" s="155"/>
      <c r="E10" s="155"/>
      <c r="F10" s="156"/>
      <c r="G10" s="157"/>
      <c r="H10" s="154"/>
      <c r="I10" s="155"/>
      <c r="J10" s="154"/>
      <c r="K10" s="155"/>
      <c r="L10" s="155"/>
      <c r="M10" s="155"/>
      <c r="N10" s="155"/>
      <c r="O10" s="155"/>
      <c r="P10" s="155"/>
      <c r="Q10" s="154"/>
      <c r="R10" s="155"/>
      <c r="S10" s="155"/>
      <c r="T10" s="155"/>
      <c r="U10" s="155"/>
    </row>
    <row r="11" spans="1:28" ht="13.75" customHeight="1">
      <c r="A11" s="154"/>
      <c r="B11" s="155"/>
      <c r="C11" s="155"/>
      <c r="D11" s="155"/>
      <c r="E11" s="155"/>
      <c r="F11" s="156"/>
      <c r="G11" s="157"/>
      <c r="H11" s="154"/>
      <c r="I11" s="155"/>
      <c r="J11" s="154"/>
      <c r="K11" s="155"/>
      <c r="L11" s="155"/>
      <c r="M11" s="155"/>
      <c r="N11" s="155"/>
      <c r="O11" s="155"/>
      <c r="P11" s="155"/>
      <c r="Q11" s="154"/>
      <c r="R11" s="155"/>
      <c r="S11" s="155"/>
      <c r="T11" s="155"/>
      <c r="U11" s="155"/>
    </row>
    <row r="12" spans="1:28" ht="13.75" customHeight="1"/>
    <row r="15" spans="1:28" ht="14.95" customHeight="1">
      <c r="A15" s="16" t="s">
        <v>109</v>
      </c>
      <c r="B15" s="16" t="s">
        <v>79</v>
      </c>
      <c r="C15" s="16" t="s">
        <v>110</v>
      </c>
    </row>
    <row r="16" spans="1:28" ht="14.3" customHeight="1">
      <c r="A16" s="391" t="s">
        <v>111</v>
      </c>
      <c r="B16" s="390" t="s">
        <v>585</v>
      </c>
      <c r="C16" s="139" t="str">
        <f>HYPERLINK("#'C-Inventario'!A7", 'C-Inventario'!A7)</f>
        <v>ProductoInterno</v>
      </c>
    </row>
    <row r="17" spans="1:21" ht="13.75" customHeight="1">
      <c r="C17" s="138"/>
    </row>
    <row r="22" spans="1:21" ht="13.75" customHeight="1">
      <c r="A22" s="1116" t="s">
        <v>113</v>
      </c>
      <c r="B22" s="1077"/>
      <c r="C22" s="1116" t="s">
        <v>79</v>
      </c>
      <c r="D22" s="1076"/>
      <c r="E22" s="1076"/>
      <c r="F22" s="1077"/>
      <c r="G22" s="1116" t="s">
        <v>114</v>
      </c>
      <c r="H22" s="1123"/>
      <c r="I22" s="1124"/>
      <c r="J22" s="1132" t="s">
        <v>115</v>
      </c>
      <c r="K22" s="1123"/>
      <c r="L22" s="1123"/>
      <c r="M22" s="1123"/>
      <c r="N22" s="1124"/>
      <c r="O22" s="1132" t="s">
        <v>116</v>
      </c>
      <c r="P22" s="1124"/>
      <c r="Q22" s="1132" t="s">
        <v>117</v>
      </c>
      <c r="R22" s="1124"/>
    </row>
    <row r="23" spans="1:21" ht="14.3" customHeight="1">
      <c r="A23" s="1086"/>
      <c r="B23" s="1087"/>
      <c r="C23" s="1086"/>
      <c r="D23" s="970"/>
      <c r="E23" s="970"/>
      <c r="F23" s="1087"/>
      <c r="G23" s="926" t="s">
        <v>118</v>
      </c>
      <c r="H23" s="926" t="s">
        <v>8</v>
      </c>
      <c r="I23" s="926" t="s">
        <v>79</v>
      </c>
      <c r="J23" s="691" t="s">
        <v>119</v>
      </c>
      <c r="K23" s="1595"/>
      <c r="L23" s="1076"/>
      <c r="M23" s="1076"/>
      <c r="N23" s="1077"/>
      <c r="O23" s="693" t="s">
        <v>120</v>
      </c>
      <c r="P23" s="691" t="s">
        <v>79</v>
      </c>
      <c r="Q23" s="691" t="s">
        <v>121</v>
      </c>
      <c r="R23" s="691" t="s">
        <v>122</v>
      </c>
    </row>
    <row r="24" spans="1:21" ht="33.799999999999997" customHeight="1">
      <c r="A24" s="1611" t="str">
        <f>HYPERLINK("#'C-Inventario'!V4", 'E-Inventario'!B7)</f>
        <v>Actualizar inventario</v>
      </c>
      <c r="B24" s="1611"/>
      <c r="C24" s="1075" t="str">
        <f>'E-Inventario'!C7</f>
        <v>Actualizar la existencia representada en el inventario como consecuencia de un movimiento de entrada, salida o ajuste previamente registrado.</v>
      </c>
      <c r="D24" s="1075"/>
      <c r="E24" s="1075"/>
      <c r="F24" s="1075"/>
      <c r="G24" s="1075" t="s">
        <v>123</v>
      </c>
      <c r="H24" s="1075" t="s">
        <v>195</v>
      </c>
      <c r="I24" s="1610" t="s">
        <v>586</v>
      </c>
      <c r="J24" s="1611" t="s">
        <v>56</v>
      </c>
      <c r="K24" s="1075" t="s">
        <v>587</v>
      </c>
      <c r="L24" s="1075"/>
      <c r="M24" s="1075"/>
      <c r="N24" s="1075"/>
      <c r="O24" s="846" t="str">
        <f>HYPERLINK("#'P-Inventario'!A5", 'P-Inventario'!A5)</f>
        <v>P-INV-001</v>
      </c>
      <c r="P24" s="513" t="str">
        <f>'P-Inventario'!B5</f>
        <v>Asegurar que las existencias registradas en el inventario correspondan a lotes válidos y registrados.</v>
      </c>
      <c r="Q24" s="513" t="s">
        <v>588</v>
      </c>
      <c r="R24" s="513" t="s">
        <v>589</v>
      </c>
    </row>
    <row r="25" spans="1:21" ht="50.95" customHeight="1">
      <c r="A25" s="1611"/>
      <c r="B25" s="1611"/>
      <c r="C25" s="1075"/>
      <c r="D25" s="1075"/>
      <c r="E25" s="1075"/>
      <c r="F25" s="1075"/>
      <c r="G25" s="1075"/>
      <c r="H25" s="1075"/>
      <c r="I25" s="1610"/>
      <c r="J25" s="1611"/>
      <c r="K25" s="1075"/>
      <c r="L25" s="1075"/>
      <c r="M25" s="1075"/>
      <c r="N25" s="1075"/>
      <c r="O25" s="846" t="str">
        <f>HYPERLINK("#'P-Inventario'!A6", 'P-Inventario'!A6)</f>
        <v>P-INV-002</v>
      </c>
      <c r="P25" s="513" t="str">
        <f>'P-Inventario'!B6</f>
        <v>Asegurar que la cantidad disponible de una existencia no sea inferior a cero ni superior a 100.000.</v>
      </c>
      <c r="Q25" s="513" t="s">
        <v>1715</v>
      </c>
      <c r="R25" s="513" t="s">
        <v>1716</v>
      </c>
    </row>
    <row r="26" spans="1:21" ht="25.5" customHeight="1">
      <c r="A26" s="1611"/>
      <c r="B26" s="1611"/>
      <c r="C26" s="1075"/>
      <c r="D26" s="1075"/>
      <c r="E26" s="1075"/>
      <c r="F26" s="1075"/>
      <c r="G26" s="1075"/>
      <c r="H26" s="1075"/>
      <c r="I26" s="1610"/>
      <c r="J26" s="1611"/>
      <c r="K26" s="1075"/>
      <c r="L26" s="1075"/>
      <c r="M26" s="1075"/>
      <c r="N26" s="1075"/>
      <c r="O26" s="846" t="str">
        <f>HYPERLINK("#'P-Inventario'!A9", 'P-Inventario'!A9)</f>
        <v>P-INV-005</v>
      </c>
      <c r="P26" s="513" t="str">
        <f>'P-Inventario'!B9</f>
        <v>Asegurar que no exista mas de un registro de inventario para el mismo ProductoInterno.</v>
      </c>
      <c r="Q26" s="513" t="s">
        <v>1717</v>
      </c>
      <c r="R26" s="513" t="s">
        <v>1718</v>
      </c>
    </row>
    <row r="27" spans="1:21" ht="25.5" customHeight="1">
      <c r="A27" s="1611"/>
      <c r="B27" s="1611"/>
      <c r="C27" s="1075"/>
      <c r="D27" s="1075"/>
      <c r="E27" s="1075"/>
      <c r="F27" s="1075"/>
      <c r="G27" s="1075"/>
      <c r="H27" s="1075"/>
      <c r="I27" s="1610"/>
      <c r="J27" s="1611"/>
      <c r="K27" s="1075"/>
      <c r="L27" s="1075"/>
      <c r="M27" s="1075"/>
      <c r="N27" s="1075"/>
      <c r="O27" s="846" t="str">
        <f>HYPERLINK("#'P-Inventario'!A7", 'P-Inventario'!A7)</f>
        <v>P-INV-003</v>
      </c>
      <c r="P27" s="513" t="str">
        <f>'P-Inventario'!B7</f>
        <v>Asegurar que la cantidad disponible que se va a reflejar en el inventario corresponda a la suma de las cantidades disponibles de todos los lotes asociados al mismo producto.</v>
      </c>
      <c r="Q27" s="513" t="s">
        <v>590</v>
      </c>
      <c r="R27" s="513" t="s">
        <v>591</v>
      </c>
    </row>
    <row r="28" spans="1:21" ht="25.5" customHeight="1">
      <c r="A28" s="1117" t="str">
        <f>HYPERLINK("#'C-Inventario'!X4", 'E-Inventario'!B11)</f>
        <v>Consultar inventario</v>
      </c>
      <c r="B28" s="1117"/>
      <c r="C28" s="1126" t="str">
        <f>'E-Inventario'!C11</f>
        <v>Permite visualizar el estado actual y las existencias de ingredientes y bebidas.</v>
      </c>
      <c r="D28" s="1126"/>
      <c r="E28" s="1126"/>
      <c r="F28" s="1126"/>
      <c r="G28" s="583" t="s">
        <v>123</v>
      </c>
      <c r="H28" s="583" t="s">
        <v>56</v>
      </c>
      <c r="I28" s="601" t="s">
        <v>592</v>
      </c>
      <c r="J28" s="931" t="s">
        <v>56</v>
      </c>
      <c r="K28" s="1126" t="s">
        <v>593</v>
      </c>
      <c r="L28" s="1126"/>
      <c r="M28" s="1126"/>
      <c r="N28" s="1126"/>
      <c r="O28" s="767" t="str">
        <f>HYPERLINK("#'P-Inventario'!A11", 'P-Inventario'!A11)</f>
        <v>P-INV-007</v>
      </c>
      <c r="P28" s="598" t="str">
        <f>'P-Inventario'!B11</f>
        <v>Asegurar que el inventario exista con el identificador indicado.</v>
      </c>
      <c r="Q28" s="598" t="s">
        <v>594</v>
      </c>
      <c r="R28" s="598" t="s">
        <v>595</v>
      </c>
    </row>
    <row r="29" spans="1:21" ht="25.5" customHeight="1">
      <c r="A29" s="1601" t="str">
        <f>HYPERLINK("#'C-Inventario'!Y4", 'E-Inventario'!B12)</f>
        <v>Consultar existencias por lote</v>
      </c>
      <c r="B29" s="1602"/>
      <c r="C29" s="1601" t="str">
        <f>'E-Inventario'!C12</f>
        <v>Consultar las cantidades disponibles asociadas a los lotes existentes para conocer la trazabilidad de las existencias.</v>
      </c>
      <c r="D29" s="1612"/>
      <c r="E29" s="1612"/>
      <c r="F29" s="1602"/>
      <c r="G29" s="927" t="s">
        <v>123</v>
      </c>
      <c r="H29" s="927" t="s">
        <v>56</v>
      </c>
      <c r="I29" s="928" t="s">
        <v>596</v>
      </c>
      <c r="J29" s="751" t="s">
        <v>56</v>
      </c>
      <c r="K29" s="1601" t="s">
        <v>597</v>
      </c>
      <c r="L29" s="1612"/>
      <c r="M29" s="1612"/>
      <c r="N29" s="1602"/>
      <c r="O29" s="929" t="str">
        <f>HYPERLINK("#'P-Inventario'!A5", 'P-Inventario'!A5)</f>
        <v>P-INV-001</v>
      </c>
      <c r="P29" s="930" t="str">
        <f>'P-Inventario'!B5</f>
        <v>Asegurar que las existencias registradas en el inventario correspondan a lotes válidos y registrados.</v>
      </c>
      <c r="Q29" s="930" t="s">
        <v>598</v>
      </c>
      <c r="R29" s="930" t="s">
        <v>599</v>
      </c>
      <c r="S29" s="614"/>
      <c r="T29" s="614"/>
      <c r="U29" s="614"/>
    </row>
    <row r="30" spans="1:21" ht="50.95" customHeight="1">
      <c r="A30" s="1607" t="str">
        <f>HYPERLINK("#'C-Inventario'!Z4", 'E-Inventario'!B13)</f>
        <v>Establecer stock mínimo</v>
      </c>
      <c r="B30" s="1608"/>
      <c r="C30" s="1605" t="str">
        <f>'E-Inventario'!C13</f>
        <v>Permite definir la cantidad mínima de existencias que debe mantenerse para controlar la necesidad de reposición.</v>
      </c>
      <c r="D30" s="1606"/>
      <c r="E30" s="1606"/>
      <c r="F30" s="1133"/>
      <c r="G30" s="579" t="s">
        <v>123</v>
      </c>
      <c r="H30" s="579" t="s">
        <v>56</v>
      </c>
      <c r="I30" s="705" t="s">
        <v>600</v>
      </c>
      <c r="J30" s="706" t="s">
        <v>56</v>
      </c>
      <c r="K30" s="1609" t="s">
        <v>601</v>
      </c>
      <c r="L30" s="1606"/>
      <c r="M30" s="1606"/>
      <c r="N30" s="1133"/>
      <c r="O30" s="776" t="str">
        <f>HYPERLINK("#'P-Inventario'!A8", 'P-Inventario'!A8)</f>
        <v>P-INV-004</v>
      </c>
      <c r="P30" s="512" t="str">
        <f>'P-Inventario'!B8</f>
        <v>Asegurar que el stock minimo sea mayor que cero y como maximo 100.000; si no se indica, se registra 1.</v>
      </c>
      <c r="Q30" s="512" t="s">
        <v>1719</v>
      </c>
      <c r="R30" s="512" t="s">
        <v>1720</v>
      </c>
    </row>
    <row r="31" spans="1:21" ht="38.9" customHeight="1">
      <c r="A31" s="1596" t="str">
        <f>HYPERLINK("#'C-Inventario'!AB4", 'E-Inventario'!B14)</f>
        <v>Emitir alerta de stock bajo</v>
      </c>
      <c r="B31" s="1598"/>
      <c r="C31" s="1596" t="str">
        <f>'E-Inventario'!C14</f>
        <v>Cuando la cantidad total disponible de un producto cae por debajo del stock minimo establecido, el sistema emite una alerta para que el administrador gestione la compra de reposicion.</v>
      </c>
      <c r="D31" s="1597"/>
      <c r="E31" s="1597"/>
      <c r="F31" s="1598"/>
      <c r="G31" s="581" t="s">
        <v>123</v>
      </c>
      <c r="H31" s="581" t="s">
        <v>56</v>
      </c>
      <c r="I31" s="501" t="s">
        <v>602</v>
      </c>
      <c r="J31" s="752" t="s">
        <v>56</v>
      </c>
      <c r="K31" s="1596" t="s">
        <v>603</v>
      </c>
      <c r="L31" s="1597"/>
      <c r="M31" s="1597"/>
      <c r="N31" s="1598"/>
      <c r="O31" s="847" t="str">
        <f>HYPERLINK("#'P-Inventario'!A10", 'P-Inventario'!A10)</f>
        <v>P-INV-006</v>
      </c>
      <c r="P31" s="502" t="str">
        <f>'P-Inventario'!B10</f>
        <v>Asegurar que se emita una alerta cuando la cantidad total disponible de un producto sea inferior o se este acercando  al stock minimo establecido.</v>
      </c>
      <c r="Q31" s="502" t="s">
        <v>604</v>
      </c>
      <c r="R31" s="502" t="s">
        <v>605</v>
      </c>
      <c r="S31" s="614"/>
      <c r="T31" s="614"/>
      <c r="U31" s="614"/>
    </row>
    <row r="32" spans="1:21" ht="25.5" customHeight="1">
      <c r="A32" s="614"/>
      <c r="C32" s="614"/>
      <c r="K32" s="614"/>
    </row>
  </sheetData>
  <mergeCells count="30">
    <mergeCell ref="A30:B30"/>
    <mergeCell ref="K30:N30"/>
    <mergeCell ref="I24:I27"/>
    <mergeCell ref="J24:J27"/>
    <mergeCell ref="C28:F28"/>
    <mergeCell ref="C29:F29"/>
    <mergeCell ref="K29:N29"/>
    <mergeCell ref="A24:B27"/>
    <mergeCell ref="G24:G27"/>
    <mergeCell ref="B2:U2"/>
    <mergeCell ref="O22:P22"/>
    <mergeCell ref="G22:I22"/>
    <mergeCell ref="Q22:R22"/>
    <mergeCell ref="J22:N22"/>
    <mergeCell ref="K23:N23"/>
    <mergeCell ref="B3:U3"/>
    <mergeCell ref="K31:N31"/>
    <mergeCell ref="C31:F31"/>
    <mergeCell ref="Z4:AA4"/>
    <mergeCell ref="A29:B29"/>
    <mergeCell ref="A28:B28"/>
    <mergeCell ref="H24:H27"/>
    <mergeCell ref="C24:F27"/>
    <mergeCell ref="A31:B31"/>
    <mergeCell ref="K24:N27"/>
    <mergeCell ref="V4:W4"/>
    <mergeCell ref="C22:F23"/>
    <mergeCell ref="C30:F30"/>
    <mergeCell ref="A22:B23"/>
    <mergeCell ref="K28:N28"/>
  </mergeCells>
  <hyperlinks>
    <hyperlink ref="A1" location="'Modelo de dominio'!A1" display="&lt;&lt;&lt;Modelo de Dominio" xr:uid="{00000000-0004-0000-1E00-000000000000}"/>
    <hyperlink ref="B1" location="'Objetos de dominio'!A1" display="&lt;&lt;&lt;Objetos de Dominio" xr:uid="{00000000-0004-0000-1E00-000001000000}"/>
  </hyperlink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58">
    <outlinePr summaryBelow="0" summaryRight="0"/>
  </sheetPr>
  <dimension ref="A1:WQJ995"/>
  <sheetViews>
    <sheetView topLeftCell="D1" zoomScale="64" workbookViewId="0">
      <selection activeCell="J14" sqref="D14:J14"/>
    </sheetView>
  </sheetViews>
  <sheetFormatPr baseColWidth="10" defaultColWidth="12.625" defaultRowHeight="12.9"/>
  <cols>
    <col min="1" max="1" width="17" bestFit="1" customWidth="1"/>
    <col min="2" max="2" width="25.125" bestFit="1" customWidth="1"/>
    <col min="3" max="3" width="119.125" bestFit="1" customWidth="1"/>
    <col min="4" max="4" width="32.375" customWidth="1"/>
    <col min="5" max="5" width="45.625" customWidth="1"/>
    <col min="6" max="6" width="122.375" bestFit="1" customWidth="1"/>
    <col min="7" max="7" width="17.375" bestFit="1" customWidth="1"/>
    <col min="8" max="8" width="13.75" bestFit="1" customWidth="1"/>
    <col min="9" max="9" width="23.625" customWidth="1"/>
    <col min="10" max="10" width="19.875" bestFit="1" customWidth="1"/>
  </cols>
  <sheetData>
    <row r="1" spans="1:25 16000:16000">
      <c r="A1" s="49" t="s">
        <v>0</v>
      </c>
      <c r="B1" s="50" t="s">
        <v>1</v>
      </c>
      <c r="C1" s="73"/>
      <c r="D1" s="73"/>
      <c r="E1" s="73"/>
      <c r="F1" s="73"/>
      <c r="G1" s="73"/>
      <c r="H1" s="73"/>
      <c r="I1" s="73"/>
      <c r="J1" s="73"/>
      <c r="K1" s="73"/>
      <c r="L1" s="73"/>
      <c r="M1" s="73"/>
      <c r="N1" s="73"/>
      <c r="O1" s="73"/>
      <c r="P1" s="73"/>
      <c r="Q1" s="73"/>
      <c r="R1" s="73"/>
      <c r="S1" s="73"/>
      <c r="T1" s="73"/>
      <c r="U1" s="73"/>
      <c r="V1" s="73"/>
      <c r="W1" s="73"/>
      <c r="X1" s="73"/>
      <c r="Y1" s="73"/>
    </row>
    <row r="2" spans="1:25 16000:16000" ht="13.75" customHeight="1">
      <c r="A2" s="51" t="s">
        <v>209</v>
      </c>
      <c r="B2" s="466" t="s">
        <v>56</v>
      </c>
      <c r="C2" s="614"/>
      <c r="K2" s="73"/>
      <c r="L2" s="73"/>
      <c r="M2" s="73"/>
      <c r="N2" s="73"/>
      <c r="O2" s="73"/>
      <c r="P2" s="73"/>
      <c r="Q2" s="73"/>
      <c r="R2" s="73"/>
      <c r="S2" s="73"/>
      <c r="T2" s="73"/>
      <c r="U2" s="73"/>
      <c r="V2" s="73"/>
      <c r="W2" s="73"/>
      <c r="X2" s="73"/>
      <c r="Y2" s="73"/>
    </row>
    <row r="3" spans="1:25 16000:16000" ht="13.75" customHeight="1">
      <c r="A3" s="465" t="s">
        <v>210</v>
      </c>
      <c r="B3" s="1139" t="str">
        <f>'C-Inventario'!B3</f>
        <v>Es la cantidad que hay disponible de cada insumo o producto que la pizzería necesita para trabajar y vender.</v>
      </c>
      <c r="C3" s="1124"/>
      <c r="K3" s="73"/>
      <c r="L3" s="73"/>
      <c r="M3" s="73"/>
      <c r="N3" s="73"/>
      <c r="O3" s="73"/>
      <c r="P3" s="73"/>
      <c r="Q3" s="73"/>
      <c r="R3" s="73"/>
      <c r="S3" s="73"/>
      <c r="T3" s="73"/>
      <c r="U3" s="73"/>
      <c r="V3" s="73"/>
      <c r="W3" s="73"/>
      <c r="X3" s="73"/>
      <c r="Y3" s="73"/>
    </row>
    <row r="4" spans="1:25 16000:16000" ht="13.75" customHeight="1">
      <c r="A4" s="575" t="s">
        <v>211</v>
      </c>
      <c r="B4" s="1260" t="s">
        <v>212</v>
      </c>
      <c r="C4" s="1261"/>
      <c r="D4" s="226" t="s">
        <v>213</v>
      </c>
      <c r="E4" s="1262" t="s">
        <v>214</v>
      </c>
      <c r="F4" s="1263"/>
      <c r="G4" s="53" t="s">
        <v>215</v>
      </c>
      <c r="H4" s="381" t="s">
        <v>216</v>
      </c>
      <c r="I4" s="377" t="s">
        <v>217</v>
      </c>
      <c r="J4" s="380" t="s">
        <v>218</v>
      </c>
      <c r="K4" s="73"/>
      <c r="L4" s="73"/>
      <c r="M4" s="73"/>
      <c r="N4" s="73"/>
      <c r="O4" s="73"/>
      <c r="P4" s="73"/>
      <c r="Q4" s="73"/>
      <c r="R4" s="73"/>
      <c r="S4" s="73"/>
      <c r="T4" s="73"/>
      <c r="U4" s="73"/>
      <c r="V4" s="73"/>
      <c r="W4" s="73"/>
      <c r="X4" s="73"/>
      <c r="Y4" s="73"/>
    </row>
    <row r="5" spans="1:25 16000:16000" ht="13.75" customHeight="1">
      <c r="A5" s="575" t="s">
        <v>211</v>
      </c>
      <c r="B5" s="378" t="s">
        <v>219</v>
      </c>
      <c r="C5" s="378" t="s">
        <v>79</v>
      </c>
      <c r="D5" s="576" t="s">
        <v>220</v>
      </c>
      <c r="E5" s="1264" t="s">
        <v>221</v>
      </c>
      <c r="F5" s="1261"/>
      <c r="G5" s="53" t="s">
        <v>222</v>
      </c>
      <c r="H5" s="381" t="s">
        <v>223</v>
      </c>
      <c r="I5" s="377" t="s">
        <v>224</v>
      </c>
      <c r="J5" s="380" t="s">
        <v>225</v>
      </c>
      <c r="K5" s="73"/>
      <c r="L5" s="73"/>
      <c r="M5" s="73"/>
      <c r="N5" s="73"/>
      <c r="O5" s="73"/>
      <c r="P5" s="73"/>
      <c r="Q5" s="73"/>
      <c r="R5" s="73"/>
      <c r="S5" s="73"/>
      <c r="T5" s="73"/>
      <c r="U5" s="73"/>
      <c r="V5" s="73"/>
      <c r="W5" s="73"/>
      <c r="X5" s="73"/>
      <c r="Y5" s="73"/>
    </row>
    <row r="6" spans="1:25 16000:16000" ht="13.75" customHeight="1">
      <c r="E6" s="126" t="s">
        <v>226</v>
      </c>
      <c r="F6" s="126" t="s">
        <v>79</v>
      </c>
      <c r="G6" s="127" t="s">
        <v>227</v>
      </c>
      <c r="K6" s="73"/>
      <c r="L6" s="73"/>
      <c r="M6" s="73"/>
      <c r="N6" s="73"/>
      <c r="O6" s="73"/>
      <c r="P6" s="73"/>
      <c r="Q6" s="73"/>
      <c r="R6" s="73"/>
      <c r="S6" s="73"/>
      <c r="T6" s="73"/>
      <c r="U6" s="73"/>
      <c r="V6" s="73"/>
      <c r="W6" s="73"/>
      <c r="X6" s="73"/>
      <c r="Y6" s="73"/>
    </row>
    <row r="7" spans="1:25 16000:16000" ht="25.5" customHeight="1">
      <c r="A7" s="1542" t="s">
        <v>509</v>
      </c>
      <c r="B7" s="1542" t="s">
        <v>606</v>
      </c>
      <c r="C7" s="1046" t="s">
        <v>607</v>
      </c>
      <c r="D7" s="1046" t="s">
        <v>56</v>
      </c>
      <c r="E7" s="1046" t="s">
        <v>608</v>
      </c>
      <c r="F7" s="1046" t="s">
        <v>609</v>
      </c>
      <c r="G7" s="779" t="str">
        <f>HYPERLINK("#'P-Inventario'!A5", "P-INV-001")</f>
        <v>P-INV-001</v>
      </c>
      <c r="H7" s="1046"/>
      <c r="I7" s="1046" t="s">
        <v>587</v>
      </c>
      <c r="J7" s="1046"/>
      <c r="K7" s="73"/>
      <c r="L7" s="73"/>
      <c r="M7" s="73"/>
      <c r="N7" s="73"/>
      <c r="O7" s="73"/>
      <c r="P7" s="73"/>
      <c r="Q7" s="73"/>
      <c r="R7" s="73"/>
      <c r="S7" s="73"/>
      <c r="T7" s="73"/>
      <c r="U7" s="73"/>
      <c r="V7" s="73"/>
      <c r="W7" s="73"/>
      <c r="X7" s="73"/>
      <c r="Y7" s="73"/>
    </row>
    <row r="8" spans="1:25 16000:16000">
      <c r="A8" s="1362"/>
      <c r="B8" s="1362"/>
      <c r="C8" s="1047"/>
      <c r="D8" s="1047"/>
      <c r="E8" s="1047"/>
      <c r="F8" s="1047"/>
      <c r="G8" s="779" t="str">
        <f>HYPERLINK("#'P-Inventario'!A6", "P-INV-002")</f>
        <v>P-INV-002</v>
      </c>
      <c r="H8" s="1047"/>
      <c r="I8" s="1047"/>
      <c r="J8" s="1047"/>
      <c r="K8" s="73"/>
      <c r="L8" s="73"/>
      <c r="M8" s="73"/>
      <c r="N8" s="73"/>
      <c r="O8" s="73"/>
      <c r="P8" s="73"/>
      <c r="Q8" s="73"/>
      <c r="R8" s="73"/>
      <c r="S8" s="73"/>
      <c r="T8" s="73"/>
      <c r="U8" s="73"/>
      <c r="V8" s="73"/>
      <c r="W8" s="73"/>
      <c r="X8" s="73"/>
      <c r="Y8" s="73"/>
    </row>
    <row r="9" spans="1:25 16000:16000">
      <c r="A9" s="1362"/>
      <c r="B9" s="1362"/>
      <c r="C9" s="1047"/>
      <c r="D9" s="1047"/>
      <c r="E9" s="1047"/>
      <c r="F9" s="1047"/>
      <c r="G9" s="779" t="str">
        <f>HYPERLINK("#'P-Inventario'!A9", "P-INV-005")</f>
        <v>P-INV-005</v>
      </c>
      <c r="H9" s="1047"/>
      <c r="I9" s="1047"/>
      <c r="J9" s="1047"/>
    </row>
    <row r="10" spans="1:25 16000:16000" ht="25.5" customHeight="1">
      <c r="A10" s="1363"/>
      <c r="B10" s="1363"/>
      <c r="C10" s="1048"/>
      <c r="D10" s="1048"/>
      <c r="E10" s="1048"/>
      <c r="F10" s="1048"/>
      <c r="G10" s="779" t="str">
        <f>HYPERLINK("#'P-Inventario'!A7", "P-INV-003")</f>
        <v>P-INV-003</v>
      </c>
      <c r="H10" s="1048"/>
      <c r="I10" s="1048"/>
      <c r="J10" s="1048"/>
      <c r="K10" s="73"/>
      <c r="L10" s="73"/>
      <c r="M10" s="73"/>
      <c r="N10" s="73"/>
      <c r="O10" s="73"/>
      <c r="P10" s="73"/>
      <c r="Q10" s="73"/>
      <c r="R10" s="73"/>
      <c r="S10" s="73"/>
      <c r="T10" s="73"/>
      <c r="U10" s="73"/>
      <c r="V10" s="73"/>
      <c r="W10" s="73"/>
      <c r="X10" s="73"/>
      <c r="Y10" s="73"/>
    </row>
    <row r="11" spans="1:25 16000:16000" ht="26.15" customHeight="1">
      <c r="A11" s="606" t="s">
        <v>228</v>
      </c>
      <c r="B11" s="606" t="s">
        <v>610</v>
      </c>
      <c r="C11" s="606" t="s">
        <v>611</v>
      </c>
      <c r="D11" s="566" t="s">
        <v>56</v>
      </c>
      <c r="E11" s="566" t="s">
        <v>612</v>
      </c>
      <c r="F11" s="566" t="s">
        <v>613</v>
      </c>
      <c r="G11" s="794" t="str">
        <f>HYPERLINK("#'P-Inventario'!A11", "P-INV-007")</f>
        <v>P-INV-007</v>
      </c>
      <c r="H11" s="566"/>
      <c r="I11" s="566" t="s">
        <v>614</v>
      </c>
      <c r="J11" s="566"/>
      <c r="K11" s="73"/>
      <c r="L11" s="73"/>
      <c r="M11" s="73"/>
      <c r="N11" s="73"/>
      <c r="O11" s="73"/>
      <c r="P11" s="73"/>
      <c r="Q11" s="73"/>
      <c r="R11" s="73"/>
      <c r="S11" s="73"/>
      <c r="T11" s="73"/>
      <c r="U11" s="73"/>
      <c r="V11" s="73"/>
      <c r="W11" s="73"/>
      <c r="X11" s="73"/>
      <c r="Y11" s="73"/>
    </row>
    <row r="12" spans="1:25 16000:16000" ht="25.5" customHeight="1">
      <c r="A12" s="547" t="s">
        <v>228</v>
      </c>
      <c r="B12" s="547" t="s">
        <v>615</v>
      </c>
      <c r="C12" s="567" t="s">
        <v>616</v>
      </c>
      <c r="D12" s="567" t="s">
        <v>56</v>
      </c>
      <c r="E12" s="567" t="s">
        <v>617</v>
      </c>
      <c r="F12" s="567" t="s">
        <v>618</v>
      </c>
      <c r="G12" s="779" t="str">
        <f>HYPERLINK("#'P-Inventario'!A5", "P-INV-001")</f>
        <v>P-INV-001</v>
      </c>
      <c r="H12" s="567"/>
      <c r="I12" s="567" t="s">
        <v>597</v>
      </c>
      <c r="J12" s="567"/>
      <c r="K12" s="297"/>
      <c r="L12" s="73"/>
      <c r="M12" s="73"/>
      <c r="N12" s="73"/>
      <c r="O12" s="73"/>
      <c r="P12" s="73"/>
      <c r="Q12" s="73"/>
      <c r="R12" s="73"/>
      <c r="S12" s="73"/>
      <c r="T12" s="73"/>
      <c r="U12" s="73"/>
      <c r="V12" s="73"/>
      <c r="W12" s="73"/>
      <c r="X12" s="73"/>
      <c r="Y12" s="73"/>
    </row>
    <row r="13" spans="1:25 16000:16000">
      <c r="A13" s="606" t="s">
        <v>228</v>
      </c>
      <c r="B13" s="606" t="s">
        <v>619</v>
      </c>
      <c r="C13" s="606" t="s">
        <v>620</v>
      </c>
      <c r="D13" s="606" t="s">
        <v>56</v>
      </c>
      <c r="E13" s="606"/>
      <c r="F13" s="606"/>
      <c r="G13" s="822" t="str">
        <f>HYPERLINK("#'P-Inventario'!A8", "P-INV-004")</f>
        <v>P-INV-004</v>
      </c>
      <c r="H13" s="606"/>
      <c r="I13" s="606" t="s">
        <v>621</v>
      </c>
      <c r="J13" s="606"/>
      <c r="K13" s="73"/>
      <c r="L13" s="73"/>
      <c r="M13" s="73"/>
      <c r="N13" s="73"/>
      <c r="O13" s="73"/>
      <c r="P13" s="73"/>
      <c r="Q13" s="73"/>
      <c r="R13" s="73"/>
      <c r="S13" s="73"/>
      <c r="T13" s="73"/>
      <c r="U13" s="73"/>
      <c r="V13" s="73"/>
      <c r="W13" s="73"/>
      <c r="X13" s="73"/>
      <c r="Y13" s="73"/>
    </row>
    <row r="14" spans="1:25 16000:16000" s="248" customFormat="1" ht="25.5" customHeight="1">
      <c r="A14" s="547" t="s">
        <v>509</v>
      </c>
      <c r="B14" s="547" t="s">
        <v>622</v>
      </c>
      <c r="C14" s="567" t="s">
        <v>623</v>
      </c>
      <c r="D14" s="566" t="s">
        <v>56</v>
      </c>
      <c r="E14" s="566"/>
      <c r="F14" s="566"/>
      <c r="G14" s="794" t="str">
        <f>HYPERLINK("#'P-Inventario'!A10", "P-INV-006")</f>
        <v>P-INV-006</v>
      </c>
      <c r="H14" s="566"/>
      <c r="I14" s="566" t="s">
        <v>603</v>
      </c>
      <c r="J14" s="566"/>
      <c r="K14" s="521"/>
      <c r="L14" s="521"/>
      <c r="M14" s="521"/>
      <c r="N14" s="521"/>
      <c r="O14" s="521"/>
      <c r="P14" s="521"/>
      <c r="Q14" s="521"/>
      <c r="R14" s="521"/>
      <c r="S14" s="521"/>
      <c r="T14" s="521"/>
      <c r="U14" s="521"/>
      <c r="V14" s="521"/>
      <c r="W14" s="521"/>
      <c r="X14" s="521"/>
      <c r="Y14" s="521"/>
      <c r="WQJ14"/>
    </row>
    <row r="15" spans="1:25 16000:16000">
      <c r="A15" s="73"/>
      <c r="B15" s="73"/>
      <c r="C15" s="73"/>
      <c r="D15" s="73"/>
      <c r="E15" s="73"/>
      <c r="F15" s="73"/>
      <c r="G15" s="73"/>
      <c r="H15" s="73"/>
      <c r="I15" s="73"/>
      <c r="J15" s="73"/>
      <c r="K15" s="73"/>
      <c r="L15" s="73"/>
      <c r="M15" s="73"/>
      <c r="N15" s="73"/>
      <c r="O15" s="73"/>
      <c r="P15" s="73"/>
      <c r="Q15" s="73"/>
      <c r="R15" s="73"/>
      <c r="S15" s="73"/>
      <c r="T15" s="73"/>
      <c r="U15" s="73"/>
      <c r="V15" s="73"/>
      <c r="W15" s="73"/>
      <c r="X15" s="73"/>
      <c r="Y15" s="73"/>
    </row>
    <row r="16" spans="1:25 16000:16000">
      <c r="A16" s="73"/>
      <c r="B16" s="73"/>
      <c r="C16" s="73"/>
      <c r="D16" s="73"/>
      <c r="E16" s="73"/>
      <c r="F16" s="73"/>
      <c r="G16" s="73"/>
      <c r="H16" s="73"/>
      <c r="I16" s="73"/>
      <c r="J16" s="73"/>
      <c r="K16" s="73"/>
      <c r="L16" s="73"/>
      <c r="M16" s="73"/>
      <c r="N16" s="73"/>
      <c r="O16" s="73"/>
      <c r="P16" s="73"/>
      <c r="Q16" s="73"/>
      <c r="R16" s="73"/>
      <c r="S16" s="73"/>
      <c r="T16" s="73"/>
      <c r="U16" s="73"/>
      <c r="V16" s="73"/>
      <c r="W16" s="73"/>
      <c r="X16" s="73"/>
      <c r="Y16" s="73"/>
    </row>
    <row r="17" spans="1:25">
      <c r="A17" s="73"/>
      <c r="B17" s="73"/>
      <c r="C17" s="73"/>
      <c r="D17" s="73"/>
      <c r="E17" s="73"/>
      <c r="F17" s="73"/>
      <c r="G17" s="73"/>
      <c r="H17" s="73"/>
      <c r="I17" s="73"/>
      <c r="J17" s="73"/>
      <c r="K17" s="73"/>
      <c r="L17" s="73"/>
      <c r="M17" s="73"/>
      <c r="N17" s="73"/>
      <c r="O17" s="73"/>
      <c r="P17" s="73"/>
      <c r="Q17" s="73"/>
      <c r="R17" s="73"/>
      <c r="S17" s="73"/>
      <c r="T17" s="73"/>
      <c r="U17" s="73"/>
      <c r="V17" s="73"/>
      <c r="W17" s="73"/>
      <c r="X17" s="73"/>
      <c r="Y17" s="73"/>
    </row>
    <row r="18" spans="1:25">
      <c r="A18" s="73"/>
      <c r="B18" s="73"/>
      <c r="C18" s="73"/>
      <c r="D18" s="73"/>
      <c r="E18" s="73"/>
      <c r="F18" s="73"/>
      <c r="G18" s="73"/>
      <c r="H18" s="73"/>
      <c r="I18" s="73"/>
      <c r="J18" s="73"/>
      <c r="K18" s="73"/>
      <c r="L18" s="73"/>
      <c r="M18" s="73"/>
      <c r="N18" s="73"/>
      <c r="O18" s="73"/>
      <c r="P18" s="73"/>
      <c r="Q18" s="73"/>
      <c r="R18" s="73"/>
      <c r="S18" s="73"/>
      <c r="T18" s="73"/>
      <c r="U18" s="73"/>
      <c r="V18" s="73"/>
      <c r="W18" s="73"/>
      <c r="X18" s="73"/>
      <c r="Y18" s="73"/>
    </row>
    <row r="19" spans="1:25">
      <c r="A19" s="73"/>
      <c r="B19" s="73"/>
      <c r="C19" s="73"/>
      <c r="D19" s="73"/>
      <c r="E19" s="73"/>
      <c r="F19" s="73"/>
      <c r="G19" s="73"/>
      <c r="H19" s="73"/>
      <c r="I19" s="73"/>
      <c r="J19" s="73"/>
      <c r="K19" s="73"/>
      <c r="L19" s="73"/>
      <c r="M19" s="73"/>
      <c r="N19" s="73"/>
      <c r="O19" s="73"/>
      <c r="P19" s="73"/>
      <c r="Q19" s="73"/>
      <c r="R19" s="73"/>
      <c r="S19" s="73"/>
      <c r="T19" s="73"/>
      <c r="U19" s="73"/>
      <c r="V19" s="73"/>
      <c r="W19" s="73"/>
      <c r="X19" s="73"/>
      <c r="Y19" s="73"/>
    </row>
    <row r="20" spans="1:25">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spans="1:25">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spans="1:25">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spans="1:25">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spans="1:25">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spans="1:25">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spans="1:25">
      <c r="A26" s="73"/>
      <c r="B26" s="73"/>
      <c r="C26" s="73"/>
      <c r="D26" s="73"/>
      <c r="E26" s="73"/>
      <c r="F26" s="73"/>
      <c r="G26" s="73"/>
      <c r="H26" s="73"/>
      <c r="I26" s="73"/>
      <c r="J26" s="73"/>
      <c r="K26" s="73"/>
      <c r="L26" s="73"/>
      <c r="M26" s="73"/>
      <c r="N26" s="73"/>
      <c r="O26" s="73"/>
      <c r="P26" s="73"/>
      <c r="Q26" s="73"/>
      <c r="R26" s="73"/>
      <c r="S26" s="73"/>
      <c r="T26" s="73"/>
      <c r="U26" s="73"/>
      <c r="V26" s="73"/>
      <c r="W26" s="73"/>
      <c r="X26" s="73"/>
      <c r="Y26" s="73"/>
    </row>
    <row r="27" spans="1:25">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spans="1:25">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spans="1:25">
      <c r="A29" s="73"/>
      <c r="B29" s="73"/>
      <c r="C29" s="73"/>
      <c r="D29" s="73"/>
      <c r="E29" s="73"/>
      <c r="F29" s="73"/>
      <c r="G29" s="73"/>
      <c r="H29" s="73"/>
      <c r="I29" s="73"/>
      <c r="J29" s="73"/>
      <c r="K29" s="73"/>
      <c r="L29" s="73"/>
      <c r="M29" s="73"/>
      <c r="N29" s="73"/>
      <c r="O29" s="73"/>
      <c r="P29" s="73"/>
      <c r="Q29" s="73"/>
      <c r="R29" s="73"/>
      <c r="S29" s="73"/>
      <c r="T29" s="73"/>
      <c r="U29" s="73"/>
      <c r="V29" s="73"/>
      <c r="W29" s="73"/>
      <c r="X29" s="73"/>
      <c r="Y29" s="73"/>
    </row>
    <row r="30" spans="1:25">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spans="1:25">
      <c r="A31" s="73"/>
      <c r="B31" s="73"/>
      <c r="C31" s="73"/>
      <c r="D31" s="73"/>
      <c r="E31" s="73"/>
      <c r="F31" s="73"/>
      <c r="G31" s="73"/>
      <c r="H31" s="73"/>
      <c r="I31" s="73"/>
      <c r="J31" s="73"/>
      <c r="K31" s="73"/>
      <c r="L31" s="73"/>
      <c r="M31" s="73"/>
      <c r="N31" s="73"/>
      <c r="O31" s="73"/>
      <c r="P31" s="73"/>
      <c r="Q31" s="73"/>
      <c r="R31" s="73"/>
      <c r="S31" s="73"/>
      <c r="T31" s="73"/>
      <c r="U31" s="73"/>
      <c r="V31" s="73"/>
      <c r="W31" s="73"/>
      <c r="X31" s="73"/>
      <c r="Y31" s="73"/>
    </row>
    <row r="32" spans="1:25">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spans="1:25">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spans="1:25">
      <c r="A34" s="73"/>
      <c r="B34" s="73"/>
      <c r="C34" s="73"/>
      <c r="D34" s="73"/>
      <c r="E34" s="73"/>
      <c r="F34" s="73"/>
      <c r="G34" s="73"/>
      <c r="H34" s="73"/>
      <c r="I34" s="73"/>
      <c r="J34" s="73"/>
      <c r="K34" s="73"/>
      <c r="L34" s="73"/>
      <c r="M34" s="73"/>
      <c r="N34" s="73"/>
      <c r="O34" s="73"/>
      <c r="P34" s="73"/>
      <c r="Q34" s="73"/>
      <c r="R34" s="73"/>
      <c r="S34" s="73"/>
      <c r="T34" s="73"/>
      <c r="U34" s="73"/>
      <c r="V34" s="73"/>
      <c r="W34" s="73"/>
      <c r="X34" s="73"/>
      <c r="Y34" s="73"/>
    </row>
    <row r="35" spans="1:25">
      <c r="A35" s="73"/>
      <c r="B35" s="73"/>
      <c r="C35" s="73"/>
      <c r="D35" s="73"/>
      <c r="E35" s="73"/>
      <c r="F35" s="73"/>
      <c r="G35" s="73"/>
      <c r="H35" s="73"/>
      <c r="I35" s="73"/>
      <c r="J35" s="73"/>
      <c r="K35" s="73"/>
      <c r="L35" s="73"/>
      <c r="M35" s="73"/>
      <c r="N35" s="73"/>
      <c r="O35" s="73"/>
      <c r="P35" s="73"/>
      <c r="Q35" s="73"/>
      <c r="R35" s="73"/>
      <c r="S35" s="73"/>
      <c r="T35" s="73"/>
      <c r="U35" s="73"/>
      <c r="V35" s="73"/>
      <c r="W35" s="73"/>
      <c r="X35" s="73"/>
      <c r="Y35" s="73"/>
    </row>
    <row r="36" spans="1:25">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spans="1:25">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spans="1:25">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spans="1:25">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spans="1:25">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spans="1:25">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spans="1:25">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spans="1:25">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spans="1:25">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spans="1:2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5">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spans="1:25">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spans="1:25">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spans="1:25">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spans="1:25">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spans="1:25">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spans="1:25">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spans="1:25">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spans="1:2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spans="1:25">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5">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spans="1:25">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spans="1:25">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spans="1:25">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spans="1:25">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spans="1:25">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spans="1:25">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spans="1:25">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spans="1:2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spans="1:25">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spans="1:25">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5">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spans="1:25">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spans="1:25">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spans="1:25">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spans="1:25">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spans="1:25">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spans="1:25">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spans="1:2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spans="1:25">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spans="1:25">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spans="1:25">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spans="1:25">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spans="1:25">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spans="1:25">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spans="1:25">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spans="1:25">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spans="1:25">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spans="1:2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spans="1:25">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spans="1:25">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spans="1:25">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spans="1:25">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spans="1:25">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spans="1:25">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spans="1:25">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spans="1:25">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spans="1:25">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spans="1:2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spans="1:25">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spans="1:25">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spans="1:25">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spans="1:25">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spans="1: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spans="1: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spans="1: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spans="1: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spans="1: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spans="1: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spans="1: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spans="1: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spans="1: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spans="1: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spans="1: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spans="1: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spans="1: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spans="1: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spans="1: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spans="1: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spans="1: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spans="1: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spans="1: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spans="1: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spans="1: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spans="1: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spans="1: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spans="1: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spans="1: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spans="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spans="1: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spans="1: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spans="1: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spans="1: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spans="1: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spans="1: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spans="1: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spans="1: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spans="1: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spans="1: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spans="1: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spans="1: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spans="1: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spans="1: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spans="1: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spans="1: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spans="1: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spans="1: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spans="1: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spans="1: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spans="1: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spans="1: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spans="1: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spans="1: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spans="1: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spans="1: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spans="1: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spans="1: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spans="1: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spans="1: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spans="1: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spans="1: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spans="1: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spans="1: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spans="1: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spans="1: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spans="1: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spans="1: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spans="1: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spans="1: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spans="1: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spans="1: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spans="1: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spans="1: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spans="1: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spans="1: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spans="1: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spans="1: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spans="1: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spans="1: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spans="1: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spans="1: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spans="1: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spans="1: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spans="1: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spans="1: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spans="1: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spans="1: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spans="1: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spans="1: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spans="1: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spans="1: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spans="1: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spans="1: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spans="1: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spans="1:25">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spans="1:25">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spans="1:25">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spans="1:25">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spans="1:2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spans="1:25">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spans="1:25">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spans="1:2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spans="1:2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spans="1:2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spans="1:2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spans="1:2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spans="1:2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spans="1:2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spans="1:2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spans="1:2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spans="1:2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spans="1:2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spans="1:2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spans="1:2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spans="1:2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spans="1:2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spans="1:2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spans="1:2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spans="1:2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spans="1:2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spans="1:2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spans="1:2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spans="1:2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spans="1:2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spans="1:2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spans="1:2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spans="1:2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spans="1:2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spans="1: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spans="1:2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spans="1:2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spans="1:2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spans="1:2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spans="1:2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spans="1:2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spans="1:2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spans="1:2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spans="1:2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spans="1:2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spans="1:2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spans="1:2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spans="1:2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spans="1:2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spans="1:2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spans="1:2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spans="1:2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spans="1:2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spans="1:2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spans="1:2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spans="1:2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spans="1:2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spans="1:2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spans="1:2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spans="1:2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spans="1:2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spans="1:2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spans="1:2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spans="1:2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spans="1:2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spans="1:2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spans="1:2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spans="1:2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spans="1:2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spans="1:2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spans="1:2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spans="1:2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spans="1:2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spans="1:25">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spans="1:2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spans="1:25">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spans="1:25">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spans="1:25">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spans="1:25">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spans="1:25">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spans="1:25">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spans="1:25">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spans="1:25">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spans="1:25">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spans="1:2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spans="1:25">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spans="1:25">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spans="1:25">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spans="1:25">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spans="1:25">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spans="1:25">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spans="1:25">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spans="1:25">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spans="1:25">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spans="1:2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spans="1:25">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spans="1:25">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spans="1:25">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spans="1:25">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spans="1:25">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spans="1:25">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spans="1:25">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spans="1:25">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spans="1:25">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spans="1:2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spans="1:25">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spans="1:25">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spans="1:25">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spans="1:25">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spans="1:25">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spans="1:25">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spans="1:25">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spans="1:25">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spans="1:25">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spans="1:2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spans="1:25">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spans="1:25">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spans="1:25">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spans="1:25">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spans="1:25">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spans="1:25">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spans="1:25">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spans="1:25">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spans="1:25">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spans="1:2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spans="1:25">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spans="1:25">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spans="1:25">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spans="1:25">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spans="1:25">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spans="1:25">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spans="1:25">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spans="1:25">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spans="1:25">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spans="1: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spans="1:25">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spans="1:25">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spans="1:25">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spans="1:25">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spans="1:25">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spans="1:25">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spans="1:25">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spans="1:25">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spans="1:25">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spans="1:2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spans="1:25">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spans="1:25">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spans="1:25">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spans="1:25">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spans="1:25">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spans="1:25">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spans="1:25">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spans="1:25">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spans="1:25">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spans="1:2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spans="1:25">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spans="1:25">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spans="1:25">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spans="1:25">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spans="1:25">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spans="1:25">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spans="1:25">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spans="1:25">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spans="1:25">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spans="1:2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spans="1:25">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spans="1:25">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spans="1:25">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spans="1:25">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spans="1:25">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spans="1:25">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spans="1:25">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spans="1:25">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spans="1:25">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spans="1:2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spans="1:25">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spans="1:25">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spans="1:25">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spans="1:25">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spans="1:25">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spans="1:25">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spans="1:2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spans="1:2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spans="1:2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spans="1:2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spans="1:2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spans="1:2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spans="1:2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spans="1:2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spans="1:2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spans="1:2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spans="1:2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spans="1:2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spans="1:2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spans="1:2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spans="1:2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spans="1:2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spans="1:2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spans="1:2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spans="1:2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spans="1:2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spans="1:2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spans="1:2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spans="1:2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spans="1:2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spans="1:2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spans="1:2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spans="1:2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spans="1:2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spans="1:2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spans="1:2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spans="1:2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spans="1:2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spans="1:2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spans="1:2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spans="1:2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spans="1:2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spans="1:2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spans="1:2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spans="1:2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spans="1:2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spans="1:2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spans="1:2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spans="1:2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spans="1:2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spans="1:2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spans="1:2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spans="1:2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spans="1:2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spans="1:2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spans="1:2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spans="1:2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spans="1:2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spans="1:2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spans="1: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spans="1:2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spans="1:2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spans="1:2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spans="1:2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spans="1:2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spans="1:2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spans="1:2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spans="1:2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spans="1:2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spans="1:2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spans="1:2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spans="1:2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spans="1:2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spans="1:2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spans="1:2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spans="1:2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spans="1:2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spans="1:2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spans="1:2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spans="1:2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spans="1:2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spans="1:2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spans="1:2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spans="1:2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spans="1:2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spans="1:2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spans="1:2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spans="1:2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spans="1:2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spans="1:2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spans="1:2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spans="1:2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spans="1:2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spans="1:2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spans="1:2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spans="1:2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spans="1:2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spans="1:2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spans="1:2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spans="1:2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spans="1:2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spans="1:2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spans="1:2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spans="1:2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spans="1:2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spans="1:2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spans="1:2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spans="1:2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spans="1:2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spans="1:2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spans="1:2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spans="1:2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spans="1:2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spans="1:2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spans="1:2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spans="1:2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spans="1:2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spans="1:2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spans="1:2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spans="1:2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spans="1:2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spans="1:2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spans="1:2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spans="1:2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spans="1:2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spans="1:2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spans="1:2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spans="1:2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spans="1:2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spans="1:2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spans="1:2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spans="1:2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spans="1:2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spans="1:2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spans="1:2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spans="1:2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spans="1:2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spans="1:2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spans="1:2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spans="1:2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spans="1:2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spans="1:2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spans="1:2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spans="1:2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spans="1:2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spans="1:2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spans="1:2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spans="1:2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spans="1:2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spans="1:2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spans="1:2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spans="1:2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spans="1:2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spans="1:2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spans="1:2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spans="1:2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spans="1:2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spans="1:2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spans="1:2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spans="1: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spans="1:2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spans="1:2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spans="1:2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spans="1:2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spans="1:2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spans="1:2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spans="1:2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spans="1:2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spans="1:2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spans="1:2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spans="1:2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spans="1:2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spans="1:2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spans="1:2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spans="1:2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spans="1:2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spans="1:2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spans="1:2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spans="1:2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spans="1:2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spans="1:2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spans="1:2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spans="1:2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spans="1:2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spans="1:2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spans="1:2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spans="1:2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spans="1:2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spans="1:2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spans="1:2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spans="1:2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spans="1:2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spans="1:2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spans="1:2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spans="1:2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spans="1:2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spans="1:2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spans="1:2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spans="1:2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spans="1:2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spans="1:2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spans="1:2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spans="1:2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spans="1:2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spans="1:2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spans="1:2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spans="1:2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spans="1:2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spans="1:2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spans="1:2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spans="1:2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spans="1:2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spans="1:2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spans="1:2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spans="1:2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spans="1:2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spans="1:2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spans="1:2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spans="1:2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spans="1:2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spans="1:2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spans="1:2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spans="1:2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spans="1:2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spans="1:2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spans="1:2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spans="1:2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spans="1:2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spans="1:2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spans="1:2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spans="1:2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spans="1:2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spans="1:2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spans="1:2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spans="1:2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spans="1:2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spans="1:2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spans="1:2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spans="1:2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spans="1:2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spans="1:2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spans="1:2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spans="1:2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spans="1:2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spans="1:2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spans="1:2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spans="1:2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spans="1:2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spans="1:2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spans="1:2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spans="1:2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spans="1:2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spans="1:2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spans="1:2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spans="1:2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spans="1:2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spans="1:2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spans="1:2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spans="1:2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spans="1: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spans="1:2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spans="1:2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spans="1:2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spans="1:2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spans="1:2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spans="1:2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spans="1:2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spans="1:2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spans="1:2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spans="1:2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spans="1:2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spans="1:2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spans="1:2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spans="1:2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spans="1:2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spans="1:2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spans="1:2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spans="1:2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spans="1:2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spans="1:2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spans="1:2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spans="1:2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spans="1:2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spans="1:2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spans="1:2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spans="1:2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spans="1:2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spans="1:2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spans="1:2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spans="1:2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spans="1:2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spans="1:2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spans="1:2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spans="1:2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spans="1:2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spans="1:2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spans="1:2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spans="1:2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spans="1:2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spans="1:2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spans="1:2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spans="1:2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spans="1:2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spans="1:2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spans="1:2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spans="1:2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spans="1:2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spans="1:2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spans="1:2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spans="1:2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spans="1:2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spans="1:2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spans="1:2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spans="1:2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spans="1:2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spans="1:2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spans="1:2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spans="1:2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spans="1:2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spans="1:2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spans="1:2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spans="1:2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spans="1:2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spans="1:2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spans="1:2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spans="1:2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spans="1:2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spans="1:2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spans="1:2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spans="1:2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spans="1:2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spans="1:2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spans="1:2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spans="1:2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spans="1:2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spans="1:2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spans="1:2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spans="1:2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spans="1:2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spans="1:2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spans="1:2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spans="1:2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spans="1:2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spans="1:2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spans="1:2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spans="1:2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spans="1:2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spans="1:2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spans="1:2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spans="1:2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spans="1:2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spans="1:2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spans="1:2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spans="1:2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spans="1:2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spans="1:2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spans="1:2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spans="1:2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spans="1:2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spans="1: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spans="1:2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spans="1:2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spans="1:2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spans="1:2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spans="1:2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spans="1:2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spans="1:2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spans="1:2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spans="1:2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spans="1:2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spans="1:2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spans="1:2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spans="1:2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spans="1:2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spans="1:2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spans="1:2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spans="1:2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spans="1:2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spans="1:2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spans="1:2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spans="1:2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spans="1:2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spans="1:2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spans="1:2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spans="1:2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spans="1:2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spans="1:2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spans="1:2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spans="1:2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spans="1:2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spans="1:2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spans="1:2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spans="1:2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spans="1:2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spans="1:2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spans="1:2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spans="1:2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spans="1:2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spans="1:2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spans="1:2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spans="1:2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spans="1:2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spans="1:2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spans="1:2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spans="1:2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spans="1:2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spans="1:2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spans="1:2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spans="1:2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spans="1:2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spans="1:2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spans="1:2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spans="1:2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spans="1:2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spans="1:2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spans="1:2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spans="1:2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spans="1:2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spans="1:2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spans="1:2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spans="1:2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spans="1:2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spans="1:2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spans="1:2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spans="1:2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spans="1:2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spans="1:2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spans="1:2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spans="1:2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spans="1:2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spans="1:2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spans="1:2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spans="1:2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spans="1:2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spans="1:2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spans="1:2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spans="1:2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spans="1:2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spans="1:2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spans="1:2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spans="1:2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spans="1:2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spans="1:2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spans="1:2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spans="1:2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spans="1:2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spans="1:2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spans="1:2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spans="1:2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spans="1:2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spans="1:2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spans="1:2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spans="1:2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spans="1:2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spans="1:2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spans="1:2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spans="1:2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spans="1:2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spans="1:2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spans="1: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spans="1:2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spans="1:2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spans="1:2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spans="1:2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spans="1:2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spans="1:2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spans="1:2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spans="1:2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spans="1:2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spans="1:2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spans="1:2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spans="1:2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spans="1:2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spans="1:2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spans="1:2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spans="1:2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spans="1:2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spans="1:2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spans="1:2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spans="1:2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spans="1:2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spans="1:2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spans="1:2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spans="1:2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spans="1:2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spans="1:2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spans="1:2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spans="1:2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spans="1:2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spans="1:2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spans="1:2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spans="1:2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spans="1:2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spans="1:2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spans="1:2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spans="1:2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spans="1:2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spans="1:2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spans="1:2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spans="1:2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spans="1:2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spans="1:2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spans="1:2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spans="1:2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spans="1:2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spans="1:2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spans="1:2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spans="1:2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spans="1:2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spans="1:2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spans="1:2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spans="1:2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spans="1:2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spans="1:2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spans="1:2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spans="1:2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spans="1:2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spans="1:2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spans="1:2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spans="1:2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spans="1:2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spans="1:2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spans="1:2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spans="1:2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spans="1:2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spans="1:2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spans="1:2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spans="1:2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spans="1:2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spans="1:2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spans="1:2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spans="1:2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spans="1:2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spans="1:2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spans="1:2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spans="1:2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spans="1:2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spans="1:2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spans="1:2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spans="1:2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spans="1:2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spans="1:2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spans="1:2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spans="1:2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spans="1:2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spans="1:2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spans="1:2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spans="1:2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spans="1:2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spans="1:2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spans="1:2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spans="1:2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spans="1:2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spans="1:2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spans="1:2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spans="1:2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spans="1:2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spans="1:2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spans="1:2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spans="1: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spans="1:2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spans="1:2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spans="1:2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spans="1:2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spans="1:2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spans="1:2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spans="1:2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spans="1:2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spans="1:2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spans="1:2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spans="1:2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spans="1:2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spans="1:2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spans="1:2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spans="1:2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spans="1:2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spans="1:2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spans="1:2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spans="1:2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spans="1:2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spans="1:2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spans="1:2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spans="1:2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spans="1:2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spans="1:2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spans="1:2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spans="1:2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spans="1:2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spans="1:2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spans="1:2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spans="1:2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spans="1:2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spans="1:2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spans="1:2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spans="1:2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spans="1:2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spans="1:2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spans="1:2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spans="1:2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spans="1:2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spans="1:2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spans="1:2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spans="1:2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spans="1:2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spans="1:2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spans="1:2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spans="1:2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spans="1:2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spans="1:2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spans="1:2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spans="1:2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spans="1:2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spans="1:2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spans="1:2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spans="1:2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spans="1:2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spans="1:2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spans="1:2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spans="1:2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spans="1:2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spans="1:2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spans="1:2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spans="1:2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spans="1:2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spans="1:2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spans="1:2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spans="1:2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spans="1:2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spans="1:2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spans="1:2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sheetData>
  <mergeCells count="13">
    <mergeCell ref="B3:C3"/>
    <mergeCell ref="E5:F5"/>
    <mergeCell ref="E4:F4"/>
    <mergeCell ref="B4:C4"/>
    <mergeCell ref="A7:A10"/>
    <mergeCell ref="D7:D10"/>
    <mergeCell ref="H7:H10"/>
    <mergeCell ref="B7:B10"/>
    <mergeCell ref="F7:F10"/>
    <mergeCell ref="J7:J10"/>
    <mergeCell ref="C7:C10"/>
    <mergeCell ref="E7:E10"/>
    <mergeCell ref="I7:I10"/>
  </mergeCells>
  <hyperlinks>
    <hyperlink ref="A1" location="'Modelo de dominio'!A1" display="&lt;&lt;&lt;Modelo de Dominio" xr:uid="{00000000-0004-0000-1F00-000000000000}"/>
    <hyperlink ref="B1" location="'Objetos de dominio'!A1" display="&lt;&lt;&lt;Objetos de Dominio" xr:uid="{00000000-0004-0000-1F00-000001000000}"/>
    <hyperlink ref="B3" location="'Objetos de dominio'!B20" display="Objeto de dominio que representa el inventario de una pizzeria, incluyendo la cantidad total disponible de un producto y el stock mínimo establecido para dicho producto." xr:uid="{00000000-0004-0000-1F00-000002000000}"/>
  </hyperlink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59">
    <outlinePr summaryBelow="0" summaryRight="0"/>
  </sheetPr>
  <dimension ref="A1:Z998"/>
  <sheetViews>
    <sheetView zoomScale="98" zoomScaleNormal="130" workbookViewId="0">
      <selection sqref="A1:XFD1048576"/>
    </sheetView>
  </sheetViews>
  <sheetFormatPr baseColWidth="10" defaultColWidth="12.625" defaultRowHeight="12.9"/>
  <cols>
    <col min="1" max="1" width="18" bestFit="1" customWidth="1"/>
    <col min="2" max="2" width="144.75" bestFit="1" customWidth="1"/>
    <col min="3" max="3" width="19.875" bestFit="1" customWidth="1"/>
    <col min="4" max="4" width="19.5" bestFit="1"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ht="13.6">
      <c r="A2" s="54" t="s">
        <v>233</v>
      </c>
      <c r="B2" s="1112" t="s">
        <v>56</v>
      </c>
      <c r="C2" s="1033"/>
      <c r="E2" s="73"/>
      <c r="F2" s="73"/>
      <c r="G2" s="73"/>
      <c r="H2" s="73"/>
      <c r="I2" s="73"/>
      <c r="J2" s="73"/>
      <c r="K2" s="73"/>
      <c r="L2" s="73"/>
      <c r="M2" s="73"/>
      <c r="N2" s="73"/>
      <c r="O2" s="73"/>
      <c r="P2" s="73"/>
      <c r="Q2" s="73"/>
      <c r="R2" s="73"/>
      <c r="S2" s="73"/>
      <c r="T2" s="73"/>
      <c r="U2" s="73"/>
      <c r="V2" s="73"/>
      <c r="W2" s="73"/>
      <c r="X2" s="73"/>
      <c r="Y2" s="73"/>
      <c r="Z2" s="73"/>
    </row>
    <row r="3" spans="1:26" ht="13.6">
      <c r="A3" s="54" t="s">
        <v>21</v>
      </c>
      <c r="B3" s="1111" t="str">
        <f>'C-Inventario'!B3</f>
        <v>Es la cantidad que hay disponible de cada insumo o producto que la pizzería necesita para trabajar y vender.</v>
      </c>
      <c r="C3" s="1033"/>
      <c r="E3" s="73"/>
      <c r="F3" s="73"/>
      <c r="G3" s="73"/>
      <c r="H3" s="73"/>
      <c r="I3" s="73"/>
      <c r="J3" s="73"/>
      <c r="K3" s="73"/>
      <c r="L3" s="73"/>
      <c r="M3" s="73"/>
      <c r="N3" s="73"/>
      <c r="O3" s="73"/>
      <c r="P3" s="73"/>
      <c r="Q3" s="73"/>
      <c r="R3" s="73"/>
      <c r="S3" s="73"/>
      <c r="T3" s="73"/>
      <c r="U3" s="73"/>
      <c r="V3" s="73"/>
      <c r="W3" s="73"/>
      <c r="X3" s="73"/>
      <c r="Y3" s="73"/>
      <c r="Z3" s="73"/>
    </row>
    <row r="4" spans="1:26" ht="13.6">
      <c r="A4" s="55" t="s">
        <v>234</v>
      </c>
      <c r="B4" s="55" t="s">
        <v>235</v>
      </c>
      <c r="C4" s="55" t="s">
        <v>236</v>
      </c>
      <c r="D4" s="55" t="s">
        <v>237</v>
      </c>
      <c r="E4" s="73"/>
      <c r="F4" s="73"/>
      <c r="G4" s="73"/>
      <c r="H4" s="73"/>
      <c r="I4" s="73"/>
      <c r="J4" s="73"/>
      <c r="K4" s="73"/>
      <c r="L4" s="73"/>
      <c r="M4" s="73"/>
      <c r="N4" s="73"/>
      <c r="O4" s="73"/>
      <c r="P4" s="73"/>
      <c r="Q4" s="73"/>
      <c r="R4" s="73"/>
      <c r="S4" s="73"/>
      <c r="T4" s="73"/>
      <c r="U4" s="73"/>
      <c r="V4" s="73"/>
      <c r="W4" s="73"/>
      <c r="X4" s="73"/>
      <c r="Y4" s="73"/>
      <c r="Z4" s="73"/>
    </row>
    <row r="5" spans="1:26">
      <c r="A5" s="114" t="s">
        <v>624</v>
      </c>
      <c r="B5" s="114" t="s">
        <v>625</v>
      </c>
      <c r="C5" s="114" t="s">
        <v>12</v>
      </c>
      <c r="D5" s="802" t="str">
        <f>HYPERLINK("#'P-Lote'!A12", 'P-Lote'!A12)</f>
        <v>P-LOT-008</v>
      </c>
      <c r="E5" s="73"/>
      <c r="F5" s="73"/>
      <c r="G5" s="73"/>
      <c r="H5" s="73"/>
      <c r="I5" s="73"/>
      <c r="J5" s="73"/>
      <c r="K5" s="73"/>
      <c r="L5" s="73"/>
      <c r="M5" s="73"/>
      <c r="N5" s="73"/>
      <c r="O5" s="73"/>
      <c r="P5" s="73"/>
      <c r="Q5" s="73"/>
      <c r="R5" s="73"/>
      <c r="S5" s="73"/>
      <c r="T5" s="73"/>
      <c r="U5" s="73"/>
      <c r="V5" s="73"/>
      <c r="W5" s="73"/>
      <c r="X5" s="73"/>
      <c r="Y5" s="73"/>
      <c r="Z5" s="73"/>
    </row>
    <row r="6" spans="1:26">
      <c r="A6" s="114" t="s">
        <v>626</v>
      </c>
      <c r="B6" s="114" t="s">
        <v>1712</v>
      </c>
      <c r="C6" s="114" t="s">
        <v>56</v>
      </c>
      <c r="D6" s="114"/>
      <c r="E6" s="73"/>
      <c r="F6" s="73"/>
      <c r="G6" s="73"/>
      <c r="H6" s="73"/>
      <c r="I6" s="73"/>
      <c r="J6" s="73"/>
      <c r="K6" s="73"/>
      <c r="L6" s="73"/>
      <c r="M6" s="73"/>
      <c r="N6" s="73"/>
      <c r="O6" s="73"/>
      <c r="P6" s="73"/>
      <c r="Q6" s="73"/>
      <c r="R6" s="73"/>
      <c r="S6" s="73"/>
      <c r="T6" s="73"/>
      <c r="U6" s="73"/>
      <c r="V6" s="73"/>
      <c r="W6" s="73"/>
      <c r="X6" s="73"/>
      <c r="Y6" s="73"/>
      <c r="Z6" s="73"/>
    </row>
    <row r="7" spans="1:26">
      <c r="A7" s="114" t="s">
        <v>627</v>
      </c>
      <c r="B7" s="114" t="s">
        <v>628</v>
      </c>
      <c r="C7" s="114" t="s">
        <v>56</v>
      </c>
      <c r="D7" s="134"/>
      <c r="E7" s="73"/>
      <c r="F7" s="73"/>
      <c r="G7" s="73"/>
      <c r="H7" s="73"/>
      <c r="I7" s="73"/>
      <c r="J7" s="73"/>
      <c r="K7" s="73"/>
      <c r="L7" s="73"/>
      <c r="M7" s="73"/>
      <c r="N7" s="73"/>
      <c r="O7" s="73"/>
      <c r="P7" s="73"/>
      <c r="Q7" s="73"/>
      <c r="R7" s="73"/>
      <c r="S7" s="73"/>
      <c r="T7" s="73"/>
      <c r="U7" s="73"/>
      <c r="V7" s="73"/>
      <c r="W7" s="73"/>
      <c r="X7" s="73"/>
      <c r="Y7" s="73"/>
      <c r="Z7" s="73"/>
    </row>
    <row r="8" spans="1:26">
      <c r="A8" s="114" t="s">
        <v>629</v>
      </c>
      <c r="B8" s="114" t="s">
        <v>1713</v>
      </c>
      <c r="C8" s="114" t="s">
        <v>56</v>
      </c>
      <c r="D8" s="134"/>
      <c r="E8" s="73"/>
      <c r="F8" s="73"/>
      <c r="G8" s="73"/>
      <c r="H8" s="73"/>
      <c r="I8" s="73"/>
      <c r="J8" s="73"/>
      <c r="K8" s="73"/>
      <c r="L8" s="73"/>
      <c r="M8" s="73"/>
      <c r="N8" s="73"/>
      <c r="O8" s="73"/>
      <c r="P8" s="73"/>
      <c r="Q8" s="73"/>
      <c r="R8" s="73"/>
      <c r="S8" s="73"/>
      <c r="T8" s="73"/>
      <c r="U8" s="73"/>
      <c r="V8" s="73"/>
      <c r="W8" s="73"/>
      <c r="X8" s="73"/>
      <c r="Y8" s="73"/>
      <c r="Z8" s="73"/>
    </row>
    <row r="9" spans="1:26">
      <c r="A9" s="114" t="s">
        <v>630</v>
      </c>
      <c r="B9" s="131" t="s">
        <v>1714</v>
      </c>
      <c r="C9" s="114" t="s">
        <v>56</v>
      </c>
      <c r="D9" s="114"/>
      <c r="E9" s="73"/>
      <c r="F9" s="73"/>
      <c r="G9" s="73"/>
      <c r="H9" s="73"/>
      <c r="I9" s="73"/>
      <c r="J9" s="73"/>
      <c r="K9" s="73"/>
      <c r="L9" s="73"/>
      <c r="M9" s="73"/>
      <c r="N9" s="73"/>
      <c r="O9" s="73"/>
      <c r="P9" s="73"/>
      <c r="Q9" s="73"/>
      <c r="R9" s="73"/>
      <c r="S9" s="73"/>
      <c r="T9" s="73"/>
      <c r="U9" s="73"/>
      <c r="V9" s="73"/>
      <c r="W9" s="73"/>
      <c r="X9" s="73"/>
      <c r="Y9" s="73"/>
      <c r="Z9" s="73"/>
    </row>
    <row r="10" spans="1:26">
      <c r="A10" s="114" t="s">
        <v>631</v>
      </c>
      <c r="B10" s="114" t="s">
        <v>632</v>
      </c>
      <c r="C10" s="114" t="s">
        <v>56</v>
      </c>
      <c r="D10" s="114"/>
      <c r="E10" s="73"/>
      <c r="F10" s="73"/>
      <c r="G10" s="73"/>
      <c r="H10" s="73"/>
      <c r="I10" s="73"/>
      <c r="J10" s="73"/>
      <c r="K10" s="73"/>
      <c r="L10" s="73"/>
      <c r="M10" s="73"/>
      <c r="N10" s="73"/>
      <c r="O10" s="73"/>
      <c r="P10" s="73"/>
      <c r="Q10" s="73"/>
      <c r="R10" s="73"/>
      <c r="S10" s="73"/>
      <c r="T10" s="73"/>
      <c r="U10" s="73"/>
      <c r="V10" s="73"/>
      <c r="W10" s="73"/>
      <c r="X10" s="73"/>
      <c r="Y10" s="73"/>
      <c r="Z10" s="73"/>
    </row>
    <row r="11" spans="1:26">
      <c r="A11" s="114" t="s">
        <v>633</v>
      </c>
      <c r="B11" s="114" t="s">
        <v>634</v>
      </c>
      <c r="C11" s="114" t="s">
        <v>56</v>
      </c>
      <c r="D11" s="59"/>
      <c r="E11" s="73"/>
      <c r="F11" s="73"/>
      <c r="G11" s="73"/>
      <c r="H11" s="73"/>
      <c r="I11" s="73"/>
      <c r="J11" s="73"/>
      <c r="K11" s="73"/>
      <c r="L11" s="73"/>
      <c r="M11" s="73"/>
      <c r="N11" s="73"/>
      <c r="O11" s="73"/>
      <c r="P11" s="73"/>
      <c r="Q11" s="73"/>
      <c r="R11" s="73"/>
      <c r="S11" s="73"/>
      <c r="T11" s="73"/>
      <c r="U11" s="73"/>
      <c r="V11" s="73"/>
      <c r="W11" s="73"/>
      <c r="X11" s="73"/>
      <c r="Y11" s="73"/>
      <c r="Z11" s="73"/>
    </row>
    <row r="12" spans="1:26">
      <c r="A12" s="114"/>
      <c r="B12" s="114"/>
      <c r="C12" s="392"/>
      <c r="D12" s="573"/>
      <c r="E12" s="73"/>
      <c r="F12" s="73"/>
      <c r="G12" s="73"/>
      <c r="H12" s="73"/>
      <c r="I12" s="73"/>
      <c r="J12" s="73"/>
      <c r="K12" s="73"/>
      <c r="L12" s="73"/>
      <c r="M12" s="73"/>
      <c r="N12" s="73"/>
      <c r="O12" s="73"/>
      <c r="P12" s="73"/>
      <c r="Q12" s="73"/>
      <c r="R12" s="73"/>
      <c r="S12" s="73"/>
      <c r="T12" s="73"/>
      <c r="U12" s="73"/>
      <c r="V12" s="73"/>
      <c r="W12" s="73"/>
      <c r="X12" s="73"/>
      <c r="Y12" s="73"/>
      <c r="Z12" s="73"/>
    </row>
    <row r="13" spans="1:26">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3.6">
      <c r="A998" s="73"/>
      <c r="B998" s="73"/>
      <c r="C998" s="73"/>
      <c r="D998" s="27"/>
      <c r="E998" s="73"/>
      <c r="F998" s="73"/>
      <c r="G998" s="73"/>
      <c r="H998" s="73"/>
      <c r="I998" s="73"/>
      <c r="J998" s="73"/>
      <c r="K998" s="73"/>
      <c r="L998" s="73"/>
      <c r="M998" s="73"/>
      <c r="N998" s="73"/>
      <c r="O998" s="73"/>
      <c r="P998" s="73"/>
      <c r="Q998" s="73"/>
      <c r="R998" s="73"/>
      <c r="S998" s="73"/>
      <c r="T998" s="73"/>
      <c r="U998" s="73"/>
      <c r="V998" s="73"/>
      <c r="W998" s="73"/>
      <c r="X998" s="73"/>
      <c r="Y998" s="73"/>
      <c r="Z998" s="73"/>
    </row>
  </sheetData>
  <mergeCells count="2">
    <mergeCell ref="B3:C3"/>
    <mergeCell ref="B2:C2"/>
  </mergeCells>
  <hyperlinks>
    <hyperlink ref="A1" location="'Modelo de dominio'!A1" display="&lt;&lt;&lt;Modelo de Dominio" xr:uid="{00000000-0004-0000-2000-000000000000}"/>
    <hyperlink ref="B1" location="'Objetos de dominio'!A1" display="&lt;&lt;&lt;Objetos de Dominio" xr:uid="{00000000-0004-0000-2000-000001000000}"/>
    <hyperlink ref="B3" location="'Objetos de dominio'!B20" display="Objeto de dominio que representa el inventario de una pizzeria, incluyendo la cantidad total disponible de un producto y el stock mínimo establecido para dicho producto." xr:uid="{00000000-0004-0000-2000-000002000000}"/>
  </hyperlink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32"/>
  <sheetViews>
    <sheetView workbookViewId="0">
      <selection activeCell="B32" sqref="A8:B32"/>
    </sheetView>
  </sheetViews>
  <sheetFormatPr baseColWidth="10" defaultRowHeight="12.9"/>
  <cols>
    <col min="1" max="1" width="19.625" customWidth="1"/>
    <col min="2" max="2" width="24.625" customWidth="1"/>
  </cols>
  <sheetData>
    <row r="1" spans="1:2">
      <c r="A1" s="76" t="s">
        <v>0</v>
      </c>
      <c r="B1" s="132" t="s">
        <v>1</v>
      </c>
    </row>
    <row r="2" spans="1:2" ht="38.25" customHeight="1">
      <c r="A2" s="232" t="s">
        <v>1117</v>
      </c>
      <c r="B2" s="232" t="s">
        <v>959</v>
      </c>
    </row>
    <row r="3" spans="1:2">
      <c r="A3" s="1146" t="s">
        <v>8</v>
      </c>
      <c r="B3" s="1145" t="s">
        <v>34</v>
      </c>
    </row>
    <row r="4" spans="1:2">
      <c r="A4" s="1090"/>
      <c r="B4" s="1090"/>
    </row>
    <row r="5" spans="1:2">
      <c r="A5" s="1089"/>
      <c r="B5" s="1089"/>
    </row>
    <row r="6" spans="1:2">
      <c r="A6" s="211" t="s">
        <v>14</v>
      </c>
      <c r="B6" s="211" t="s">
        <v>15</v>
      </c>
    </row>
    <row r="7" spans="1:2">
      <c r="A7" s="234" t="s">
        <v>16</v>
      </c>
      <c r="B7" s="369" t="s">
        <v>34</v>
      </c>
    </row>
    <row r="8" spans="1:2">
      <c r="A8" s="287">
        <v>99</v>
      </c>
      <c r="B8" s="302" t="str">
        <f>HYPERLINK("#'M-CategoriaOrigen'!B8", 'M-CategoriaOrigen'!B8)</f>
        <v>Compra</v>
      </c>
    </row>
    <row r="9" spans="1:2">
      <c r="A9" s="287">
        <v>100</v>
      </c>
      <c r="B9" s="302" t="str">
        <f>HYPERLINK("#'M-CategoriaOrigen'!B8", 'M-CategoriaOrigen'!B8)</f>
        <v>Compra</v>
      </c>
    </row>
    <row r="10" spans="1:2">
      <c r="A10" s="287">
        <v>101</v>
      </c>
      <c r="B10" s="302" t="str">
        <f>HYPERLINK("#'M-CategoriaOrigen'!B8", 'M-CategoriaOrigen'!B8)</f>
        <v>Compra</v>
      </c>
    </row>
    <row r="11" spans="1:2">
      <c r="A11" s="287">
        <v>102</v>
      </c>
      <c r="B11" s="302" t="str">
        <f>HYPERLINK("#'M-CategoriaOrigen'!B8", 'M-CategoriaOrigen'!B8)</f>
        <v>Compra</v>
      </c>
    </row>
    <row r="12" spans="1:2">
      <c r="A12" s="287">
        <v>103</v>
      </c>
      <c r="B12" s="302" t="str">
        <f>HYPERLINK("#'M-CategoriaOrigen'!B8", 'M-CategoriaOrigen'!B8)</f>
        <v>Compra</v>
      </c>
    </row>
    <row r="13" spans="1:2">
      <c r="A13" s="287">
        <v>104</v>
      </c>
      <c r="B13" s="302" t="str">
        <f>HYPERLINK("#'M-CategoriaOrigen'!B8", 'M-CategoriaOrigen'!B8)</f>
        <v>Compra</v>
      </c>
    </row>
    <row r="14" spans="1:2">
      <c r="A14" s="287">
        <v>105</v>
      </c>
      <c r="B14" s="302" t="str">
        <f>HYPERLINK("#'M-CategoriaOrigen'!B8", 'M-CategoriaOrigen'!B8)</f>
        <v>Compra</v>
      </c>
    </row>
    <row r="15" spans="1:2">
      <c r="A15" s="287">
        <v>106</v>
      </c>
      <c r="B15" s="302" t="str">
        <f>HYPERLINK("#'M-CategoriaOrigen'!B8", 'M-CategoriaOrigen'!B8)</f>
        <v>Compra</v>
      </c>
    </row>
    <row r="16" spans="1:2">
      <c r="A16" s="287">
        <v>107</v>
      </c>
      <c r="B16" s="302" t="str">
        <f>HYPERLINK("#'M-CategoriaOrigen'!B8", 'M-CategoriaOrigen'!B8)</f>
        <v>Compra</v>
      </c>
    </row>
    <row r="17" spans="1:2">
      <c r="A17" s="287">
        <v>108</v>
      </c>
      <c r="B17" s="302" t="str">
        <f>HYPERLINK("#'M-CategoriaOrigen'!B8", 'M-CategoriaOrigen'!B8)</f>
        <v>Compra</v>
      </c>
    </row>
    <row r="18" spans="1:2">
      <c r="A18" s="287">
        <v>109</v>
      </c>
      <c r="B18" s="302" t="str">
        <f>HYPERLINK("#'M-CategoriaOrigen'!B8", 'M-CategoriaOrigen'!B8)</f>
        <v>Compra</v>
      </c>
    </row>
    <row r="19" spans="1:2">
      <c r="A19" s="287">
        <v>110</v>
      </c>
      <c r="B19" s="302" t="str">
        <f>HYPERLINK("#'M-CategoriaOrigen'!B8", 'M-CategoriaOrigen'!B8)</f>
        <v>Compra</v>
      </c>
    </row>
    <row r="20" spans="1:2">
      <c r="A20" s="287">
        <v>111</v>
      </c>
      <c r="B20" s="302" t="str">
        <f>HYPERLINK("#'M-CategoriaOrigen'!B8", 'M-CategoriaOrigen'!B8)</f>
        <v>Compra</v>
      </c>
    </row>
    <row r="21" spans="1:2">
      <c r="A21" s="287">
        <v>112</v>
      </c>
      <c r="B21" s="302" t="str">
        <f>HYPERLINK("#'M-CategoriaOrigen'!B8", 'M-CategoriaOrigen'!B8)</f>
        <v>Compra</v>
      </c>
    </row>
    <row r="22" spans="1:2">
      <c r="A22" s="287">
        <v>150</v>
      </c>
      <c r="B22" s="302" t="str">
        <f>HYPERLINK("#'M-CategoriaOrigen'!B9", 'M-CategoriaOrigen'!B9)</f>
        <v>Venta</v>
      </c>
    </row>
    <row r="23" spans="1:2">
      <c r="A23" s="287">
        <v>151</v>
      </c>
      <c r="B23" s="302" t="str">
        <f>HYPERLINK("#'M-CategoriaOrigen'!B9", 'M-CategoriaOrigen'!B9)</f>
        <v>Venta</v>
      </c>
    </row>
    <row r="24" spans="1:2">
      <c r="A24" s="287">
        <v>152</v>
      </c>
      <c r="B24" s="302" t="str">
        <f>HYPERLINK("#'M-CategoriaOrigen'!B9", 'M-CategoriaOrigen'!B9)</f>
        <v>Venta</v>
      </c>
    </row>
    <row r="25" spans="1:2">
      <c r="A25" s="287">
        <v>153</v>
      </c>
      <c r="B25" s="302" t="str">
        <f>HYPERLINK("#'M-CategoriaOrigen'!B9", 'M-CategoriaOrigen'!B9)</f>
        <v>Venta</v>
      </c>
    </row>
    <row r="26" spans="1:2">
      <c r="A26" s="287">
        <v>154</v>
      </c>
      <c r="B26" s="302" t="str">
        <f>HYPERLINK("#'M-CategoriaOrigen'!B9", 'M-CategoriaOrigen'!B9)</f>
        <v>Venta</v>
      </c>
    </row>
    <row r="27" spans="1:2">
      <c r="A27" s="287">
        <v>155</v>
      </c>
      <c r="B27" s="302" t="str">
        <f>HYPERLINK("#'M-CategoriaOrigen'!B9", 'M-CategoriaOrigen'!B9)</f>
        <v>Venta</v>
      </c>
    </row>
    <row r="28" spans="1:2">
      <c r="A28" s="287">
        <v>156</v>
      </c>
      <c r="B28" s="302" t="str">
        <f>HYPERLINK("#'M-CategoriaOrigen'!B9", 'M-CategoriaOrigen'!B9)</f>
        <v>Venta</v>
      </c>
    </row>
    <row r="29" spans="1:2">
      <c r="A29" s="287">
        <v>157</v>
      </c>
      <c r="B29" s="302" t="str">
        <f>HYPERLINK("#'M-CategoriaOrigen'!B9", 'M-CategoriaOrigen'!B9)</f>
        <v>Venta</v>
      </c>
    </row>
    <row r="30" spans="1:2">
      <c r="A30" s="287">
        <v>158</v>
      </c>
      <c r="B30" s="302" t="str">
        <f>HYPERLINK("#'M-CategoriaOrigen'!B9", 'M-CategoriaOrigen'!B9)</f>
        <v>Venta</v>
      </c>
    </row>
    <row r="31" spans="1:2">
      <c r="A31" s="287">
        <v>200</v>
      </c>
      <c r="B31" s="302" t="str">
        <f>HYPERLINK("#'M-CategoriaOrigen'!B10", 'M-CategoriaOrigen'!B10)</f>
        <v>Cambio</v>
      </c>
    </row>
    <row r="32" spans="1:2">
      <c r="A32" s="287">
        <v>201</v>
      </c>
      <c r="B32" s="302" t="str">
        <f>HYPERLINK("#'M-CategoriaOrigen'!B10", 'M-CategoriaOrigen'!B10)</f>
        <v>Cambio</v>
      </c>
    </row>
  </sheetData>
  <mergeCells count="2">
    <mergeCell ref="B3:B5"/>
    <mergeCell ref="A3:A5"/>
  </mergeCells>
  <hyperlinks>
    <hyperlink ref="A1" location="'Modelo de dominio'!A1" display="&lt;&lt;&lt;Modelo de Dominio" xr:uid="{00000000-0004-0000-4200-000000000000}"/>
    <hyperlink ref="B1" location="'Objetos de dominio'!A1" display="&lt;&lt;&lt;Objetos de Dominio" xr:uid="{00000000-0004-0000-4200-000001000000}"/>
    <hyperlink ref="B7" location="'M-CategoriaOrigen'!A1" display="CategoriaOrigen" xr:uid="{00000000-0004-0000-4200-000002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2192-8DDF-4C14-998B-E0AF34AE7A92}">
  <dimension ref="A1:W27"/>
  <sheetViews>
    <sheetView topLeftCell="Q1" zoomScaleNormal="100" workbookViewId="0">
      <selection activeCell="B9" sqref="B9"/>
    </sheetView>
  </sheetViews>
  <sheetFormatPr baseColWidth="10" defaultRowHeight="12.9"/>
  <cols>
    <col min="1" max="1" width="27.75" bestFit="1" customWidth="1"/>
    <col min="2" max="2" width="108.6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9.25" bestFit="1" customWidth="1"/>
    <col min="10" max="10" width="23.25" bestFit="1" customWidth="1"/>
    <col min="11" max="11" width="21.75" bestFit="1" customWidth="1"/>
    <col min="12" max="12" width="18.75" bestFit="1" customWidth="1"/>
    <col min="13" max="13" width="109.25" bestFit="1" customWidth="1"/>
    <col min="14" max="14" width="15.375" bestFit="1" customWidth="1"/>
    <col min="15" max="15" width="31.25" bestFit="1" customWidth="1"/>
    <col min="16" max="16" width="28.25" bestFit="1" customWidth="1"/>
    <col min="17" max="17" width="69.625" bestFit="1" customWidth="1"/>
    <col min="18" max="18" width="48.875" bestFit="1" customWidth="1"/>
    <col min="19" max="19" width="23.875" bestFit="1" customWidth="1"/>
    <col min="20" max="20" width="27.375" bestFit="1" customWidth="1"/>
    <col min="21" max="21" width="15.25" bestFit="1" customWidth="1"/>
    <col min="22" max="22" width="39.25" customWidth="1"/>
    <col min="23" max="23" width="27.875" bestFit="1" customWidth="1"/>
  </cols>
  <sheetData>
    <row r="1" spans="1:23" ht="18.7" customHeight="1">
      <c r="A1" s="76" t="s">
        <v>0</v>
      </c>
      <c r="B1" s="132" t="s">
        <v>1</v>
      </c>
      <c r="C1" s="25"/>
      <c r="D1" s="25"/>
      <c r="E1" s="25"/>
      <c r="F1" s="25"/>
      <c r="G1" s="25"/>
      <c r="H1" s="25"/>
      <c r="I1" s="25"/>
      <c r="J1" s="25"/>
      <c r="K1" s="25"/>
      <c r="L1" s="25"/>
      <c r="M1" s="25"/>
      <c r="N1" s="25"/>
      <c r="O1" s="25"/>
      <c r="P1" s="25"/>
      <c r="Q1" s="25"/>
      <c r="R1" s="25"/>
      <c r="S1" s="25"/>
      <c r="T1" s="25"/>
      <c r="U1" s="25"/>
    </row>
    <row r="2" spans="1:23" ht="14.95" customHeight="1">
      <c r="A2" s="7" t="s">
        <v>20</v>
      </c>
      <c r="B2" s="585" t="s">
        <v>10</v>
      </c>
    </row>
    <row r="3" spans="1:23" ht="14.95" customHeight="1">
      <c r="A3" s="459" t="s">
        <v>79</v>
      </c>
      <c r="B3" s="848" t="str">
        <f>HYPERLINK("#'Objetos de dominio'!B21", 'Objetos de dominio'!B12)</f>
        <v>Es el código de una operación concreta que mueve el inventario (cada detalle de compra, consumo de una venta o cambio tiene el suyo). Pertenece a una CategoriaOrigen y lo comparten la operación y los movimientos que genera.</v>
      </c>
    </row>
    <row r="4" spans="1:23" ht="14.3">
      <c r="A4" s="696" t="s">
        <v>80</v>
      </c>
      <c r="B4" s="750"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6" t="str">
        <f>HYPERLINK("#'C-TipoMovimiento'!A19", 'C-TipoMovimiento'!A19)</f>
        <v>Generar tipo de movimiento</v>
      </c>
      <c r="W4" s="936" t="str">
        <f>HYPERLINK("#'C-TipoMovimiento'!A21", 'C-TipoMovimiento'!A21)</f>
        <v>Consultar tipo de movimiento</v>
      </c>
    </row>
    <row r="5" spans="1:23" ht="27.2">
      <c r="A5" s="780" t="str">
        <f>HYPERLINK("#'M-TipoMovimiento'!A7", 'M-TipoMovimiento'!A7)</f>
        <v>Id</v>
      </c>
      <c r="B5" s="937" t="str">
        <f>HYPERLINK("#'M-TipoMovimiento'!A2", 'M-TipoMovimiento'!A2)</f>
        <v>Codigo unico de una operacion concreta que genera movimientos de inventario (cada detalle de compra, consumo de venta o cambio tiene el suyo)</v>
      </c>
      <c r="C5" s="697" t="s">
        <v>15</v>
      </c>
      <c r="D5" s="9" t="s">
        <v>99</v>
      </c>
      <c r="E5" s="9" t="s">
        <v>15</v>
      </c>
      <c r="F5" s="9"/>
      <c r="G5" s="9"/>
      <c r="H5" s="9"/>
      <c r="I5" s="9"/>
      <c r="J5" s="9"/>
      <c r="K5" s="9"/>
      <c r="L5" s="9"/>
      <c r="M5" s="9" t="s">
        <v>1242</v>
      </c>
      <c r="N5" s="9" t="s">
        <v>100</v>
      </c>
      <c r="O5" s="9" t="s">
        <v>100</v>
      </c>
      <c r="P5" s="9"/>
      <c r="Q5" s="9" t="s">
        <v>100</v>
      </c>
      <c r="R5" s="9" t="s">
        <v>100</v>
      </c>
      <c r="S5" s="9" t="s">
        <v>100</v>
      </c>
      <c r="T5" s="9"/>
      <c r="U5" s="112" t="s">
        <v>15</v>
      </c>
      <c r="V5" s="684" t="s">
        <v>276</v>
      </c>
      <c r="W5" s="687" t="s">
        <v>101</v>
      </c>
    </row>
    <row r="6" spans="1:23" ht="14.3" customHeight="1">
      <c r="A6" s="782" t="str">
        <f>HYPERLINK("#'M-TipoMovimiento'!B7", 'M-TipoMovimiento'!B7)</f>
        <v>CategoriaOrigen</v>
      </c>
      <c r="B6" s="938" t="str">
        <f>HYPERLINK("#'M-TipoMovimiento'!B2", 'M-TipoMovimiento'!B2)</f>
        <v>Categoria de origen a la que pertenece la operacion. Cada TipoMovimiento pertenece a una sola CategoriaOrigen</v>
      </c>
      <c r="C6" s="697" t="s">
        <v>100</v>
      </c>
      <c r="D6" s="9" t="s">
        <v>34</v>
      </c>
      <c r="E6" s="9" t="s">
        <v>15</v>
      </c>
      <c r="F6" s="11"/>
      <c r="G6" s="12"/>
      <c r="H6" s="13"/>
      <c r="I6" s="9"/>
      <c r="J6" s="13"/>
      <c r="K6" s="9"/>
      <c r="L6" s="9"/>
      <c r="M6" s="9" t="s">
        <v>1243</v>
      </c>
      <c r="N6" s="9" t="s">
        <v>100</v>
      </c>
      <c r="O6" s="9" t="s">
        <v>100</v>
      </c>
      <c r="P6" s="9"/>
      <c r="Q6" s="13" t="s">
        <v>100</v>
      </c>
      <c r="R6" s="9" t="s">
        <v>100</v>
      </c>
      <c r="S6" s="9" t="s">
        <v>100</v>
      </c>
      <c r="T6" s="9"/>
      <c r="U6" s="112" t="s">
        <v>100</v>
      </c>
      <c r="V6" s="582" t="s">
        <v>101</v>
      </c>
      <c r="W6" s="557" t="s">
        <v>276</v>
      </c>
    </row>
    <row r="7" spans="1:23" ht="14.3" customHeight="1">
      <c r="A7" s="698"/>
      <c r="B7" s="698"/>
      <c r="C7" s="9"/>
      <c r="D7" s="9"/>
      <c r="E7" s="9"/>
      <c r="F7" s="11"/>
      <c r="G7" s="12"/>
      <c r="H7" s="13"/>
      <c r="I7" s="9"/>
      <c r="J7" s="13"/>
      <c r="K7" s="9"/>
      <c r="L7" s="9"/>
      <c r="M7" s="9"/>
      <c r="N7" s="9"/>
      <c r="O7" s="9"/>
      <c r="P7" s="9"/>
      <c r="Q7" s="13"/>
      <c r="R7" s="9"/>
      <c r="S7" s="9"/>
      <c r="T7" s="9"/>
      <c r="U7" s="112"/>
      <c r="V7" s="582"/>
      <c r="W7" s="557"/>
    </row>
    <row r="8" spans="1:23" ht="14.3" customHeight="1">
      <c r="A8" s="154"/>
      <c r="B8" s="155"/>
      <c r="C8" s="155"/>
      <c r="D8" s="155"/>
      <c r="E8" s="155"/>
      <c r="F8" s="156"/>
      <c r="G8" s="157"/>
      <c r="H8" s="154"/>
      <c r="I8" s="155"/>
      <c r="J8" s="154"/>
      <c r="K8" s="155"/>
      <c r="L8" s="155"/>
      <c r="M8" s="155"/>
      <c r="N8" s="155"/>
      <c r="O8" s="155"/>
      <c r="P8" s="155"/>
      <c r="Q8" s="154"/>
      <c r="R8" s="155"/>
      <c r="S8" s="155"/>
      <c r="T8" s="155"/>
      <c r="U8" s="155"/>
    </row>
    <row r="12" spans="1:23" ht="14.95" customHeight="1">
      <c r="A12" s="16" t="s">
        <v>109</v>
      </c>
      <c r="B12" s="16" t="s">
        <v>79</v>
      </c>
      <c r="C12" s="16" t="s">
        <v>110</v>
      </c>
    </row>
    <row r="13" spans="1:23" ht="14.3" customHeight="1">
      <c r="A13" s="391" t="s">
        <v>907</v>
      </c>
      <c r="B13" s="390" t="s">
        <v>1244</v>
      </c>
      <c r="C13" s="139"/>
    </row>
    <row r="16" spans="1:23" ht="13.75" customHeight="1"/>
    <row r="17" spans="1:18" ht="14.95" customHeight="1">
      <c r="A17" s="1116" t="s">
        <v>113</v>
      </c>
      <c r="B17" s="1077"/>
      <c r="C17" s="1116" t="s">
        <v>79</v>
      </c>
      <c r="D17" s="1076"/>
      <c r="E17" s="1076"/>
      <c r="F17" s="1077"/>
      <c r="G17" s="1116" t="s">
        <v>114</v>
      </c>
      <c r="H17" s="1123"/>
      <c r="I17" s="1124"/>
      <c r="J17" s="1132" t="s">
        <v>115</v>
      </c>
      <c r="K17" s="1123"/>
      <c r="L17" s="1123"/>
      <c r="M17" s="1123"/>
      <c r="N17" s="1124"/>
      <c r="O17" s="1132" t="s">
        <v>116</v>
      </c>
      <c r="P17" s="1124"/>
      <c r="Q17" s="1132" t="s">
        <v>117</v>
      </c>
      <c r="R17" s="1124"/>
    </row>
    <row r="18" spans="1:18" ht="30.25" customHeight="1">
      <c r="A18" s="1086"/>
      <c r="B18" s="1087"/>
      <c r="C18" s="1086"/>
      <c r="D18" s="970"/>
      <c r="E18" s="970"/>
      <c r="F18" s="1087"/>
      <c r="G18" s="926" t="s">
        <v>118</v>
      </c>
      <c r="H18" s="926" t="s">
        <v>8</v>
      </c>
      <c r="I18" s="926" t="s">
        <v>79</v>
      </c>
      <c r="J18" s="691" t="s">
        <v>119</v>
      </c>
      <c r="K18" s="1595" t="s">
        <v>79</v>
      </c>
      <c r="L18" s="1076"/>
      <c r="M18" s="1076"/>
      <c r="N18" s="1077"/>
      <c r="O18" s="691" t="s">
        <v>120</v>
      </c>
      <c r="P18" s="691" t="s">
        <v>79</v>
      </c>
      <c r="Q18" s="691" t="s">
        <v>121</v>
      </c>
      <c r="R18" s="691" t="s">
        <v>122</v>
      </c>
    </row>
    <row r="19" spans="1:18" ht="50.95" customHeight="1">
      <c r="A19" s="1615" t="str">
        <f>HYPERLINK("#'C-TipoMovimiento'!V4", 'E-TipoMovimiento'!B7)</f>
        <v>Generar tipo de movimiento</v>
      </c>
      <c r="B19" s="1615"/>
      <c r="C19" s="1122" t="str">
        <f>'E-TipoMovimiento'!C7</f>
        <v>Genera un nuevo codigo de operacion con su categoria de origen cada vez que se registra un detalle de compra, un consumo de venta o un cambio.</v>
      </c>
      <c r="D19" s="1122"/>
      <c r="E19" s="1122"/>
      <c r="F19" s="1122"/>
      <c r="G19" s="1616" t="s">
        <v>123</v>
      </c>
      <c r="H19" s="1616" t="s">
        <v>34</v>
      </c>
      <c r="I19" s="1617" t="s">
        <v>1245</v>
      </c>
      <c r="J19" s="1615" t="s">
        <v>10</v>
      </c>
      <c r="K19" s="977" t="s">
        <v>1246</v>
      </c>
      <c r="L19" s="977"/>
      <c r="M19" s="977"/>
      <c r="N19" s="977"/>
      <c r="O19" s="932" t="str">
        <f>HYPERLINK("#'P-TipoMovimiento'!A5", 'P-TipoMovimiento'!A5)</f>
        <v>P-TMV-001</v>
      </c>
      <c r="P19" s="512" t="str">
        <f>'P-TipoMovimiento'!B5</f>
        <v>Asegurar que la categoria de origen indicada exista (Compra, Venta o Cambio).</v>
      </c>
      <c r="Q19" s="512" t="s">
        <v>1247</v>
      </c>
      <c r="R19" s="512" t="s">
        <v>1248</v>
      </c>
    </row>
    <row r="20" spans="1:18" s="614" customFormat="1" ht="50.95" customHeight="1">
      <c r="A20" s="1615"/>
      <c r="B20" s="1615"/>
      <c r="C20" s="1122"/>
      <c r="D20" s="1122"/>
      <c r="E20" s="1122"/>
      <c r="F20" s="1122"/>
      <c r="G20" s="1616"/>
      <c r="H20" s="1616"/>
      <c r="I20" s="1617"/>
      <c r="J20" s="1615"/>
      <c r="K20" s="977"/>
      <c r="L20" s="977"/>
      <c r="M20" s="977"/>
      <c r="N20" s="977"/>
      <c r="O20" s="932" t="str">
        <f>HYPERLINK("#'P-TipoMovimiento'!A6", 'P-TipoMovimiento'!A6)</f>
        <v>P-TMV-002</v>
      </c>
      <c r="P20" s="512" t="str">
        <f>'P-TipoMovimiento'!B6</f>
        <v>Asegurar que el identificador generado para el tipo de movimiento no exista previamente.</v>
      </c>
      <c r="Q20" s="512" t="s">
        <v>1249</v>
      </c>
      <c r="R20" s="512" t="s">
        <v>661</v>
      </c>
    </row>
    <row r="21" spans="1:18" s="614" customFormat="1" ht="50.95" customHeight="1">
      <c r="A21" s="1613" t="str">
        <f>HYPERLINK("#'C-TipoMovimiento'!W4", 'E-TipoMovimiento'!B9)</f>
        <v>Consultar tipo de movimiento</v>
      </c>
      <c r="B21" s="1613"/>
      <c r="C21" s="1613" t="str">
        <f>'E-TipoMovimiento'!C9</f>
        <v>Permite consultar un tipo de movimiento para conocer la categoria de origen de la operacion.</v>
      </c>
      <c r="D21" s="1613"/>
      <c r="E21" s="1613"/>
      <c r="F21" s="1613"/>
      <c r="G21" s="933" t="s">
        <v>16</v>
      </c>
      <c r="H21" s="933" t="s">
        <v>299</v>
      </c>
      <c r="I21" s="934" t="s">
        <v>1250</v>
      </c>
      <c r="J21" s="935" t="s">
        <v>10</v>
      </c>
      <c r="K21" s="1614" t="s">
        <v>1251</v>
      </c>
      <c r="L21" s="1614"/>
      <c r="M21" s="1614"/>
      <c r="N21" s="1614"/>
      <c r="O21" s="793" t="str">
        <f>HYPERLINK("#'P-TipoMovimiento'!A7", 'P-TipoMovimiento'!A7)</f>
        <v>P-TMV-003</v>
      </c>
      <c r="P21" s="587" t="str">
        <f>'P-TipoMovimiento'!B7</f>
        <v>Asegurar que el tipo de movimiento exista con el identificador indicado.</v>
      </c>
      <c r="Q21" s="587" t="s">
        <v>1252</v>
      </c>
      <c r="R21" s="587" t="s">
        <v>1253</v>
      </c>
    </row>
    <row r="22" spans="1:18">
      <c r="O22" s="439"/>
    </row>
    <row r="23" spans="1:18">
      <c r="A23" s="375"/>
      <c r="B23" s="375"/>
      <c r="C23" s="375"/>
      <c r="D23" s="375"/>
      <c r="E23" s="375"/>
      <c r="F23" s="375"/>
      <c r="G23" s="375"/>
      <c r="H23" s="375"/>
      <c r="I23" s="375"/>
      <c r="J23" s="375"/>
      <c r="K23" s="375"/>
      <c r="L23" s="375"/>
      <c r="M23" s="375"/>
      <c r="N23" s="375"/>
      <c r="O23" s="352"/>
      <c r="P23" s="353"/>
      <c r="Q23" s="375"/>
      <c r="R23" s="375"/>
    </row>
    <row r="24" spans="1:18">
      <c r="A24" s="354"/>
      <c r="B24" s="375"/>
      <c r="C24" s="352"/>
      <c r="D24" s="375"/>
      <c r="E24" s="375"/>
      <c r="F24" s="375"/>
      <c r="G24" s="354"/>
      <c r="H24" s="354"/>
      <c r="I24" s="352"/>
      <c r="J24" s="352"/>
      <c r="K24" s="352"/>
      <c r="L24" s="375"/>
      <c r="M24" s="375"/>
      <c r="N24" s="375"/>
      <c r="O24" s="352"/>
      <c r="P24" s="353"/>
      <c r="Q24" s="353"/>
      <c r="R24" s="353"/>
    </row>
    <row r="25" spans="1:18">
      <c r="A25" s="375"/>
      <c r="B25" s="375"/>
      <c r="C25" s="375"/>
      <c r="D25" s="375"/>
      <c r="E25" s="375"/>
      <c r="F25" s="375"/>
      <c r="G25" s="375"/>
      <c r="H25" s="375"/>
      <c r="I25" s="375"/>
      <c r="J25" s="375"/>
      <c r="K25" s="375"/>
      <c r="L25" s="375"/>
      <c r="M25" s="375"/>
      <c r="N25" s="375"/>
      <c r="O25" s="352"/>
      <c r="P25" s="353"/>
      <c r="Q25" s="375"/>
      <c r="R25" s="375"/>
    </row>
    <row r="26" spans="1:18">
      <c r="A26" s="354"/>
      <c r="B26" s="375"/>
      <c r="C26" s="352"/>
      <c r="D26" s="375"/>
      <c r="E26" s="375"/>
      <c r="F26" s="375"/>
      <c r="G26" s="354"/>
      <c r="H26" s="354"/>
      <c r="I26" s="352"/>
      <c r="J26" s="352"/>
      <c r="K26" s="352"/>
      <c r="L26" s="375"/>
      <c r="M26" s="375"/>
      <c r="N26" s="375"/>
      <c r="O26" s="352"/>
      <c r="P26" s="353"/>
      <c r="Q26" s="353"/>
      <c r="R26" s="353"/>
    </row>
    <row r="27" spans="1:18">
      <c r="A27" s="375"/>
      <c r="B27" s="375"/>
      <c r="C27" s="375"/>
      <c r="D27" s="375"/>
      <c r="E27" s="375"/>
      <c r="F27" s="375"/>
      <c r="G27" s="375"/>
      <c r="H27" s="375"/>
      <c r="I27" s="375"/>
      <c r="J27" s="375"/>
      <c r="K27" s="375"/>
      <c r="L27" s="375"/>
      <c r="M27" s="375"/>
      <c r="N27" s="375"/>
      <c r="O27" s="352"/>
      <c r="P27" s="353"/>
      <c r="Q27" s="375"/>
      <c r="R27" s="375"/>
    </row>
  </sheetData>
  <mergeCells count="17">
    <mergeCell ref="Q17:R17"/>
    <mergeCell ref="K18:N18"/>
    <mergeCell ref="A17:B18"/>
    <mergeCell ref="C17:F18"/>
    <mergeCell ref="G17:I17"/>
    <mergeCell ref="J17:N17"/>
    <mergeCell ref="O17:P17"/>
    <mergeCell ref="A21:B21"/>
    <mergeCell ref="C21:F21"/>
    <mergeCell ref="K21:N21"/>
    <mergeCell ref="A19:B20"/>
    <mergeCell ref="C19:F20"/>
    <mergeCell ref="K19:N20"/>
    <mergeCell ref="G19:G20"/>
    <mergeCell ref="H19:H20"/>
    <mergeCell ref="I19:I20"/>
    <mergeCell ref="J19:J20"/>
  </mergeCells>
  <hyperlinks>
    <hyperlink ref="A1" location="'Modelo de dominio'!A1" display="&lt;&lt;&lt;Modelo de Dominio" xr:uid="{AE83495B-288F-4F1C-86BF-23B2BAFE2346}"/>
    <hyperlink ref="B1" location="'Objetos de dominio'!A1" display="&lt;&lt;&lt;Objetos de Dominio" xr:uid="{C3420918-D0B5-42A8-B8FC-DCDA6F9519F9}"/>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DC9E-9BA8-4B8F-ADBA-6584EDDB60EB}">
  <dimension ref="A1:J13"/>
  <sheetViews>
    <sheetView workbookViewId="0">
      <selection activeCell="K7" sqref="K7"/>
    </sheetView>
  </sheetViews>
  <sheetFormatPr baseColWidth="10" defaultRowHeight="12.9"/>
  <cols>
    <col min="1" max="1" width="17" bestFit="1" customWidth="1"/>
    <col min="2" max="2" width="24.375" bestFit="1" customWidth="1"/>
    <col min="3" max="3" width="73.125" bestFit="1" customWidth="1"/>
    <col min="4" max="4" width="26.375" bestFit="1" customWidth="1"/>
    <col min="5" max="6" width="10.375" bestFit="1" customWidth="1"/>
    <col min="7" max="7" width="17.375" bestFit="1" customWidth="1"/>
    <col min="8" max="8" width="13.75" bestFit="1" customWidth="1"/>
    <col min="9" max="9" width="25.625" bestFit="1" customWidth="1"/>
    <col min="10" max="10" width="19.875" bestFit="1" customWidth="1"/>
  </cols>
  <sheetData>
    <row r="1" spans="1:10" ht="18.7" customHeight="1">
      <c r="A1" s="49" t="s">
        <v>0</v>
      </c>
      <c r="B1" s="50" t="s">
        <v>1</v>
      </c>
      <c r="C1" s="73"/>
      <c r="D1" s="73"/>
      <c r="E1" s="73"/>
      <c r="F1" s="73"/>
      <c r="G1" s="73"/>
      <c r="H1" s="73"/>
      <c r="I1" s="73"/>
      <c r="J1" s="73"/>
    </row>
    <row r="2" spans="1:10" ht="13.75" customHeight="1">
      <c r="A2" s="333" t="s">
        <v>209</v>
      </c>
      <c r="B2" s="1147" t="s">
        <v>10</v>
      </c>
      <c r="C2" s="1123"/>
      <c r="D2" s="1123"/>
      <c r="E2" s="1123"/>
      <c r="F2" s="1123"/>
      <c r="G2" s="1123"/>
      <c r="H2" s="1123"/>
      <c r="I2" s="1123"/>
      <c r="J2" s="1124"/>
    </row>
    <row r="3" spans="1:10" ht="13.75" customHeight="1">
      <c r="A3" s="334" t="s">
        <v>210</v>
      </c>
      <c r="B3" s="1148" t="str">
        <f>'C-TipoMovimiento'!B3</f>
        <v>Es el código de una operación concreta que mueve el inventario (cada detalle de compra, consumo de una venta o cambio tiene el suyo). Pertenece a una CategoriaOrigen y lo comparten la operación y los movimientos que genera.</v>
      </c>
      <c r="C3" s="1123"/>
      <c r="D3" s="1123"/>
      <c r="E3" s="1123"/>
      <c r="F3" s="1123"/>
      <c r="G3" s="1123"/>
      <c r="H3" s="1123"/>
      <c r="I3" s="1123"/>
      <c r="J3" s="1124"/>
    </row>
    <row r="4" spans="1:10" ht="13.75" customHeight="1">
      <c r="A4" s="355" t="s">
        <v>211</v>
      </c>
      <c r="B4" s="1151" t="s">
        <v>212</v>
      </c>
      <c r="C4" s="1124"/>
      <c r="D4" s="356" t="s">
        <v>213</v>
      </c>
      <c r="E4" s="1142" t="s">
        <v>214</v>
      </c>
      <c r="F4" s="1124"/>
      <c r="G4" s="357" t="s">
        <v>215</v>
      </c>
      <c r="H4" s="358" t="s">
        <v>216</v>
      </c>
      <c r="I4" s="359" t="s">
        <v>217</v>
      </c>
      <c r="J4" s="360" t="s">
        <v>218</v>
      </c>
    </row>
    <row r="5" spans="1:10" ht="13.75" customHeight="1">
      <c r="A5" s="355" t="s">
        <v>211</v>
      </c>
      <c r="B5" s="604" t="s">
        <v>219</v>
      </c>
      <c r="C5" s="604" t="s">
        <v>79</v>
      </c>
      <c r="D5" s="356" t="s">
        <v>220</v>
      </c>
      <c r="E5" s="1142" t="s">
        <v>221</v>
      </c>
      <c r="F5" s="1124"/>
      <c r="G5" s="357" t="s">
        <v>222</v>
      </c>
      <c r="H5" s="358" t="s">
        <v>223</v>
      </c>
      <c r="I5" s="359" t="s">
        <v>224</v>
      </c>
      <c r="J5" s="360" t="s">
        <v>225</v>
      </c>
    </row>
    <row r="6" spans="1:10" ht="13.75" customHeight="1">
      <c r="A6" s="559"/>
      <c r="B6" s="559"/>
      <c r="C6" s="559"/>
      <c r="D6" s="559"/>
      <c r="E6" s="603" t="s">
        <v>226</v>
      </c>
      <c r="F6" s="603" t="s">
        <v>79</v>
      </c>
      <c r="G6" s="699" t="s">
        <v>227</v>
      </c>
      <c r="H6" s="559"/>
      <c r="I6" s="559"/>
      <c r="J6" s="559"/>
    </row>
    <row r="7" spans="1:10" ht="12.9" customHeight="1">
      <c r="A7" s="1046" t="s">
        <v>509</v>
      </c>
      <c r="B7" s="1046" t="s">
        <v>1254</v>
      </c>
      <c r="C7" s="1046" t="s">
        <v>1255</v>
      </c>
      <c r="D7" s="1046" t="s">
        <v>10</v>
      </c>
      <c r="E7" s="1046" t="s">
        <v>1256</v>
      </c>
      <c r="F7" s="1618" t="s">
        <v>1257</v>
      </c>
      <c r="G7" s="809" t="str">
        <f>HYPERLINK("#'P-TipoMovimiento'!A5", "P-TMV-001")</f>
        <v>P-TMV-001</v>
      </c>
      <c r="H7" s="1620"/>
      <c r="I7" s="1046" t="s">
        <v>1258</v>
      </c>
      <c r="J7" s="1046"/>
    </row>
    <row r="8" spans="1:10">
      <c r="A8" s="1047"/>
      <c r="B8" s="1047"/>
      <c r="C8" s="1047"/>
      <c r="D8" s="1047"/>
      <c r="E8" s="1047"/>
      <c r="F8" s="1619"/>
      <c r="G8" s="809" t="str">
        <f>HYPERLINK("#'P-TipoMovimiento'!A6", "P-TMV-002")</f>
        <v>P-TMV-002</v>
      </c>
      <c r="H8" s="1621"/>
      <c r="I8" s="1047"/>
      <c r="J8" s="1047"/>
    </row>
    <row r="9" spans="1:10" s="614" customFormat="1">
      <c r="A9" s="1104" t="s">
        <v>228</v>
      </c>
      <c r="B9" s="1104" t="s">
        <v>1259</v>
      </c>
      <c r="C9" s="1104" t="s">
        <v>1260</v>
      </c>
      <c r="D9" s="1104" t="s">
        <v>10</v>
      </c>
      <c r="E9" s="1104" t="s">
        <v>1261</v>
      </c>
      <c r="F9" s="1104" t="s">
        <v>1250</v>
      </c>
      <c r="G9" s="1622" t="str">
        <f>HYPERLINK("#'P-TipoMovimiento'!A7", "P-TMV-003")</f>
        <v>P-TMV-003</v>
      </c>
      <c r="H9" s="1104"/>
      <c r="I9" s="1104" t="s">
        <v>1262</v>
      </c>
      <c r="J9" s="1104"/>
    </row>
    <row r="10" spans="1:10" s="614" customFormat="1">
      <c r="A10" s="1104"/>
      <c r="B10" s="1104"/>
      <c r="C10" s="1104"/>
      <c r="D10" s="1104"/>
      <c r="E10" s="1104"/>
      <c r="F10" s="1104"/>
      <c r="G10" s="1623"/>
      <c r="H10" s="1104"/>
      <c r="I10" s="1104"/>
      <c r="J10" s="1104"/>
    </row>
    <row r="11" spans="1:10">
      <c r="A11" s="367"/>
      <c r="B11" s="367"/>
      <c r="C11" s="367"/>
      <c r="D11" s="367"/>
      <c r="E11" s="367"/>
      <c r="F11" s="367"/>
      <c r="G11" s="368"/>
      <c r="H11" s="367"/>
      <c r="I11" s="367"/>
      <c r="J11" s="367"/>
    </row>
    <row r="12" spans="1:10">
      <c r="A12" s="375"/>
      <c r="B12" s="375"/>
      <c r="C12" s="375"/>
      <c r="D12" s="375"/>
      <c r="E12" s="375"/>
      <c r="F12" s="375"/>
      <c r="G12" s="368"/>
      <c r="H12" s="375"/>
      <c r="I12" s="375"/>
      <c r="J12" s="375"/>
    </row>
    <row r="13" spans="1:10">
      <c r="A13" s="367"/>
      <c r="B13" s="367"/>
      <c r="C13" s="367"/>
      <c r="D13" s="367"/>
      <c r="E13" s="367"/>
      <c r="F13" s="367"/>
      <c r="G13" s="368"/>
      <c r="H13" s="367"/>
      <c r="I13" s="367"/>
      <c r="J13" s="367"/>
    </row>
  </sheetData>
  <mergeCells count="24">
    <mergeCell ref="A7:A8"/>
    <mergeCell ref="B7:B8"/>
    <mergeCell ref="C7:C8"/>
    <mergeCell ref="D7:D8"/>
    <mergeCell ref="E7:E8"/>
    <mergeCell ref="B2:J2"/>
    <mergeCell ref="B3:J3"/>
    <mergeCell ref="B4:C4"/>
    <mergeCell ref="E4:F4"/>
    <mergeCell ref="E5:F5"/>
    <mergeCell ref="A9:A10"/>
    <mergeCell ref="B9:B10"/>
    <mergeCell ref="C9:C10"/>
    <mergeCell ref="D9:D10"/>
    <mergeCell ref="E9:E10"/>
    <mergeCell ref="H9:H10"/>
    <mergeCell ref="I9:I10"/>
    <mergeCell ref="J9:J10"/>
    <mergeCell ref="F7:F8"/>
    <mergeCell ref="H7:H8"/>
    <mergeCell ref="I7:I8"/>
    <mergeCell ref="J7:J8"/>
    <mergeCell ref="F9:F10"/>
    <mergeCell ref="G9:G10"/>
  </mergeCells>
  <hyperlinks>
    <hyperlink ref="A1" location="'Modelo de dominio'!A1" display="&lt;&lt;&lt;Modelo de Dominio" xr:uid="{2B0C3AA4-3566-45B6-A9CD-61D6FB4816AB}"/>
    <hyperlink ref="B1" location="'Objetos de dominio'!A1" display="&lt;&lt;&lt;Objetos de Dominio" xr:uid="{477C9A79-5F40-4FC9-9A21-29F8D963BF2C}"/>
    <hyperlink ref="B3" location="'Objetos de dominio'!B24" display="Objeto de dominio que representa la clasificacion de cada movimiento de inventario, indicando si corresponde a una entrada o una salida de existencias." xr:uid="{A9958F29-B4D5-4F7A-A8DD-4E0F7996DDEB}"/>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3412-94F5-454D-AA25-32AD9F2EE08A}">
  <dimension ref="A1:D7"/>
  <sheetViews>
    <sheetView workbookViewId="0"/>
  </sheetViews>
  <sheetFormatPr baseColWidth="10" defaultRowHeight="12.9"/>
  <cols>
    <col min="1" max="1" width="17.625" bestFit="1" customWidth="1"/>
    <col min="2" max="2" width="131.25" bestFit="1" customWidth="1"/>
    <col min="3" max="3" width="19.375" bestFit="1" customWidth="1"/>
    <col min="4" max="4" width="19.125" bestFit="1" customWidth="1"/>
  </cols>
  <sheetData>
    <row r="1" spans="1:4" ht="18.7" customHeight="1">
      <c r="A1" s="49" t="s">
        <v>0</v>
      </c>
      <c r="B1" s="50" t="s">
        <v>1</v>
      </c>
      <c r="C1" s="73"/>
      <c r="D1" s="73"/>
    </row>
    <row r="2" spans="1:4" ht="14.3" customHeight="1">
      <c r="A2" s="189" t="s">
        <v>233</v>
      </c>
      <c r="B2" s="1143" t="s">
        <v>10</v>
      </c>
      <c r="C2" s="1144"/>
      <c r="D2" s="540"/>
    </row>
    <row r="3" spans="1:4" ht="14.3" customHeight="1">
      <c r="A3" s="190" t="s">
        <v>21</v>
      </c>
      <c r="B3" s="1111" t="str">
        <f>'C-TipoMovimiento'!B3</f>
        <v>Es el código de una operación concreta que mueve el inventario (cada detalle de compra, consumo de una venta o cambio tiene el suyo). Pertenece a una CategoriaOrigen y lo comparten la operación y los movimientos que genera.</v>
      </c>
      <c r="C3" s="1033"/>
      <c r="D3" s="541"/>
    </row>
    <row r="4" spans="1:4" ht="14.3" customHeight="1">
      <c r="A4" s="191" t="s">
        <v>234</v>
      </c>
      <c r="B4" s="55" t="s">
        <v>235</v>
      </c>
      <c r="C4" s="55" t="s">
        <v>236</v>
      </c>
      <c r="D4" s="192" t="s">
        <v>237</v>
      </c>
    </row>
    <row r="5" spans="1:4">
      <c r="A5" s="193" t="s">
        <v>1263</v>
      </c>
      <c r="B5" s="114" t="s">
        <v>1264</v>
      </c>
      <c r="C5" s="114" t="s">
        <v>34</v>
      </c>
      <c r="D5" s="194"/>
    </row>
    <row r="6" spans="1:4">
      <c r="A6" s="193" t="s">
        <v>1265</v>
      </c>
      <c r="B6" s="114" t="s">
        <v>1266</v>
      </c>
      <c r="C6" s="114" t="s">
        <v>10</v>
      </c>
      <c r="D6" s="194"/>
    </row>
    <row r="7" spans="1:4">
      <c r="A7" s="193" t="s">
        <v>1267</v>
      </c>
      <c r="B7" s="114" t="s">
        <v>958</v>
      </c>
      <c r="C7" s="114" t="s">
        <v>10</v>
      </c>
      <c r="D7" s="194"/>
    </row>
  </sheetData>
  <mergeCells count="2">
    <mergeCell ref="B2:C2"/>
    <mergeCell ref="B3:C3"/>
  </mergeCells>
  <hyperlinks>
    <hyperlink ref="A1" location="'Modelo de dominio'!A1" display="&lt;&lt;&lt;Modelo de Dominio" xr:uid="{681CB107-0D08-427E-8E0D-B2FB2448A5EB}"/>
    <hyperlink ref="B1" location="'Objetos de dominio'!A1" display="&lt;&lt;&lt;Objetos de Dominio" xr:uid="{BF9FD145-2A7A-461A-8A77-DF5FD2771903}"/>
    <hyperlink ref="B3" location="'Objetos de dominio'!B24" display="Objeto de dominio que representa la clasificacion de cada movimiento de inventario, indicando si corresponde a una entrada o una salida de existencias." xr:uid="{4CC60BAB-BCA6-4E56-A4D9-C24271FFCC69}"/>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4"/>
  <sheetViews>
    <sheetView workbookViewId="0">
      <selection activeCell="H14" sqref="A6:H14"/>
    </sheetView>
  </sheetViews>
  <sheetFormatPr baseColWidth="10" defaultColWidth="12.625" defaultRowHeight="15.8" customHeight="1"/>
  <cols>
    <col min="1" max="1" width="8.625" customWidth="1"/>
    <col min="2" max="2" width="44.625" customWidth="1"/>
    <col min="3" max="3" width="20.625" customWidth="1"/>
    <col min="4" max="5" width="20.625" style="614" customWidth="1"/>
    <col min="6" max="6" width="18.625" customWidth="1"/>
    <col min="7" max="7" width="58.625" customWidth="1"/>
    <col min="8" max="8" width="18.125" bestFit="1" customWidth="1"/>
  </cols>
  <sheetData>
    <row r="1" spans="1:8" ht="12.75" customHeight="1">
      <c r="A1" s="76" t="s">
        <v>0</v>
      </c>
      <c r="B1" s="132" t="s">
        <v>1</v>
      </c>
    </row>
    <row r="2" spans="1:8" ht="36.700000000000003" customHeight="1">
      <c r="A2" s="95" t="s">
        <v>344</v>
      </c>
      <c r="B2" s="95" t="s">
        <v>345</v>
      </c>
      <c r="C2" s="95" t="s">
        <v>346</v>
      </c>
      <c r="D2" s="637" t="s">
        <v>1118</v>
      </c>
      <c r="E2" s="637" t="s">
        <v>1119</v>
      </c>
      <c r="F2" s="95" t="s">
        <v>347</v>
      </c>
      <c r="G2" s="455"/>
    </row>
    <row r="3" spans="1:8" ht="12.75" customHeight="1">
      <c r="A3" s="592" t="s">
        <v>8</v>
      </c>
      <c r="B3" s="428" t="s">
        <v>49</v>
      </c>
      <c r="C3" s="428" t="s">
        <v>38</v>
      </c>
      <c r="D3" s="636" t="s">
        <v>1156</v>
      </c>
      <c r="E3" s="636" t="s">
        <v>28</v>
      </c>
      <c r="F3" s="428" t="s">
        <v>10</v>
      </c>
      <c r="G3" s="455"/>
    </row>
    <row r="4" spans="1:8" ht="12.75" customHeight="1">
      <c r="A4" s="429" t="s">
        <v>14</v>
      </c>
      <c r="B4" s="430" t="s">
        <v>15</v>
      </c>
      <c r="C4" s="429" t="s">
        <v>15</v>
      </c>
      <c r="D4" s="638" t="s">
        <v>15</v>
      </c>
      <c r="E4" s="638" t="s">
        <v>15</v>
      </c>
      <c r="F4" s="429" t="s">
        <v>15</v>
      </c>
      <c r="G4" s="455"/>
    </row>
    <row r="5" spans="1:8" ht="12.75" customHeight="1">
      <c r="A5" s="624" t="s">
        <v>16</v>
      </c>
      <c r="B5" s="431" t="s">
        <v>49</v>
      </c>
      <c r="C5" s="625" t="s">
        <v>38</v>
      </c>
      <c r="D5" s="639" t="s">
        <v>76</v>
      </c>
      <c r="E5" s="639" t="s">
        <v>28</v>
      </c>
      <c r="F5" s="431" t="s">
        <v>10</v>
      </c>
      <c r="G5" s="626" t="s">
        <v>1129</v>
      </c>
      <c r="H5" s="626" t="s">
        <v>1142</v>
      </c>
    </row>
    <row r="6" spans="1:8" ht="12.75" customHeight="1">
      <c r="A6" s="307">
        <v>1</v>
      </c>
      <c r="B6" s="302" t="str">
        <f>HYPERLINK("#'M-DetalleVenta'!G6", 'M-DetalleVenta'!G6)</f>
        <v>FV-000001  Margarita Grande</v>
      </c>
      <c r="C6" s="302" t="str">
        <f>HYPERLINK("#'M-ProductoInterno'!B6", 'M-ProductoInterno'!B6)</f>
        <v>Masa de Pizza</v>
      </c>
      <c r="D6" s="302">
        <f>'M-DetalleVenta'!C6*'M-DetalleReceta'!C6</f>
        <v>350</v>
      </c>
      <c r="E6" s="302" t="str">
        <f>HYPERLINK("#'M-DetalleReceta'!D6", 'M-DetalleReceta'!D6)</f>
        <v>g</v>
      </c>
      <c r="F6" s="302">
        <f>HYPERLINK("#'M-TipoMovimiento'!A25", 'M-TipoMovimiento'!A25)</f>
        <v>153</v>
      </c>
      <c r="G6" s="520" t="str">
        <f t="shared" ref="G6:G14" si="0">B6&amp;" "&amp;C6</f>
        <v>FV-000001  Margarita Grande Masa de Pizza</v>
      </c>
      <c r="H6" s="520">
        <f t="shared" ref="H6:H14" si="1">F6</f>
        <v>153</v>
      </c>
    </row>
    <row r="7" spans="1:8" ht="12.75" customHeight="1">
      <c r="A7" s="307">
        <v>2</v>
      </c>
      <c r="B7" s="302" t="str">
        <f>HYPERLINK("#'M-DetalleVenta'!G6", 'M-DetalleVenta'!G6)</f>
        <v>FV-000001  Margarita Grande</v>
      </c>
      <c r="C7" s="302" t="str">
        <f>HYPERLINK("#'M-ProductoInterno'!B7", 'M-ProductoInterno'!B7)</f>
        <v>Salsa de Tomate</v>
      </c>
      <c r="D7" s="302">
        <f>'M-DetalleVenta'!C6*'M-DetalleReceta'!C7</f>
        <v>300</v>
      </c>
      <c r="E7" s="302" t="str">
        <f>HYPERLINK("#'M-DetalleReceta'!D7", 'M-DetalleReceta'!D7)</f>
        <v>g</v>
      </c>
      <c r="F7" s="302">
        <f>HYPERLINK("#'M-TipoMovimiento'!A26", 'M-TipoMovimiento'!A26)</f>
        <v>154</v>
      </c>
      <c r="G7" s="520" t="str">
        <f t="shared" si="0"/>
        <v>FV-000001  Margarita Grande Salsa de Tomate</v>
      </c>
      <c r="H7" s="520">
        <f t="shared" si="1"/>
        <v>154</v>
      </c>
    </row>
    <row r="8" spans="1:8" ht="12.75" customHeight="1">
      <c r="A8" s="307">
        <v>3</v>
      </c>
      <c r="B8" s="302" t="str">
        <f>HYPERLINK("#'M-DetalleVenta'!G6", 'M-DetalleVenta'!G6)</f>
        <v>FV-000001  Margarita Grande</v>
      </c>
      <c r="C8" s="302" t="str">
        <f>HYPERLINK("#'M-ProductoInterno'!B8", 'M-ProductoInterno'!B8)</f>
        <v>Aceite de oliva</v>
      </c>
      <c r="D8" s="302">
        <f>'M-DetalleVenta'!C6*'M-DetalleReceta'!C8</f>
        <v>2</v>
      </c>
      <c r="E8" s="302" t="str">
        <f>HYPERLINK("#'M-DetalleReceta'!D8", 'M-DetalleReceta'!D8)</f>
        <v>ml</v>
      </c>
      <c r="F8" s="302">
        <f>HYPERLINK("#'M-TipoMovimiento'!A27", 'M-TipoMovimiento'!A27)</f>
        <v>155</v>
      </c>
      <c r="G8" s="520" t="str">
        <f t="shared" si="0"/>
        <v>FV-000001  Margarita Grande Aceite de oliva</v>
      </c>
      <c r="H8" s="520">
        <f t="shared" si="1"/>
        <v>155</v>
      </c>
    </row>
    <row r="9" spans="1:8" ht="12.75" customHeight="1">
      <c r="A9" s="307">
        <v>4</v>
      </c>
      <c r="B9" s="302" t="str">
        <f>HYPERLINK("#'M-DetalleVenta'!G6", 'M-DetalleVenta'!G6)</f>
        <v>FV-000001  Margarita Grande</v>
      </c>
      <c r="C9" s="302" t="str">
        <f>HYPERLINK("#'M-ProductoInterno'!B9", 'M-ProductoInterno'!B9)</f>
        <v>Queso</v>
      </c>
      <c r="D9" s="302">
        <f>'M-DetalleVenta'!C6*'M-DetalleReceta'!C9</f>
        <v>100</v>
      </c>
      <c r="E9" s="302" t="str">
        <f>HYPERLINK("#'M-DetalleReceta'!D9", 'M-DetalleReceta'!D9)</f>
        <v>g</v>
      </c>
      <c r="F9" s="302">
        <f>HYPERLINK("#'M-TipoMovimiento'!A28", 'M-TipoMovimiento'!A28)</f>
        <v>156</v>
      </c>
      <c r="G9" s="520" t="str">
        <f t="shared" si="0"/>
        <v>FV-000001  Margarita Grande Queso</v>
      </c>
      <c r="H9" s="520">
        <f t="shared" si="1"/>
        <v>156</v>
      </c>
    </row>
    <row r="10" spans="1:8" ht="12.75" customHeight="1">
      <c r="A10" s="307">
        <v>5</v>
      </c>
      <c r="B10" s="302" t="str">
        <f>HYPERLINK("#'M-DetalleVenta'!G6", 'M-DetalleVenta'!G6)</f>
        <v>FV-000001  Margarita Grande</v>
      </c>
      <c r="C10" s="302" t="str">
        <f>HYPERLINK("#'M-ProductoInterno'!B10", 'M-ProductoInterno'!B10)</f>
        <v>Albahaca</v>
      </c>
      <c r="D10" s="302">
        <f>'M-DetalleVenta'!C6*'M-DetalleReceta'!C10</f>
        <v>50</v>
      </c>
      <c r="E10" s="302" t="str">
        <f>HYPERLINK("#'M-DetalleReceta'!D10", 'M-DetalleReceta'!D10)</f>
        <v>g</v>
      </c>
      <c r="F10" s="302">
        <f>HYPERLINK("#'M-TipoMovimiento'!A29", 'M-TipoMovimiento'!A29)</f>
        <v>157</v>
      </c>
      <c r="G10" s="520" t="str">
        <f t="shared" si="0"/>
        <v>FV-000001  Margarita Grande Albahaca</v>
      </c>
      <c r="H10" s="520">
        <f t="shared" si="1"/>
        <v>157</v>
      </c>
    </row>
    <row r="11" spans="1:8" ht="12.75" customHeight="1">
      <c r="A11" s="307">
        <v>6</v>
      </c>
      <c r="B11" s="302" t="str">
        <f>HYPERLINK("#'M-DetalleVenta'!G7", 'M-DetalleVenta'!G7)</f>
        <v>FV-000002  Peperoni Mediana</v>
      </c>
      <c r="C11" s="302" t="str">
        <f>HYPERLINK("#'M-ProductoInterno'!B12", 'M-ProductoInterno'!B12)</f>
        <v>Peperoni</v>
      </c>
      <c r="D11" s="302">
        <f>'M-DetalleVenta'!C7*'M-DetalleReceta'!C17</f>
        <v>160</v>
      </c>
      <c r="E11" s="302" t="str">
        <f>HYPERLINK("#'M-DetalleReceta'!D17", 'M-DetalleReceta'!D17)</f>
        <v>g</v>
      </c>
      <c r="F11" s="302">
        <f>HYPERLINK("#'M-TipoMovimiento'!A30", 'M-TipoMovimiento'!A30)</f>
        <v>158</v>
      </c>
      <c r="G11" s="520" t="str">
        <f t="shared" si="0"/>
        <v>FV-000002  Peperoni Mediana Peperoni</v>
      </c>
      <c r="H11" s="520">
        <f t="shared" si="1"/>
        <v>158</v>
      </c>
    </row>
    <row r="12" spans="1:8" ht="12.75" customHeight="1">
      <c r="A12" s="307">
        <v>7</v>
      </c>
      <c r="B12" s="302" t="str">
        <f>HYPERLINK("#'M-DetalleVenta'!G10", 'M-DetalleVenta'!G10)</f>
        <v>FV-000004  Hawaiana Grande</v>
      </c>
      <c r="C12" s="302" t="str">
        <f>HYPERLINK("#'M-ProductoInterno'!B9", 'M-ProductoInterno'!B9)</f>
        <v>Queso</v>
      </c>
      <c r="D12" s="302">
        <f>'M-DetalleVenta'!C10*'M-DetalleReceta'!C28</f>
        <v>500</v>
      </c>
      <c r="E12" s="302" t="str">
        <f>HYPERLINK("#'M-DetalleReceta'!D28", 'M-DetalleReceta'!D28)</f>
        <v>g</v>
      </c>
      <c r="F12" s="302">
        <f>HYPERLINK("#'M-TipoMovimiento'!A22", 'M-TipoMovimiento'!A22)</f>
        <v>150</v>
      </c>
      <c r="G12" s="520" t="str">
        <f t="shared" si="0"/>
        <v>FV-000004  Hawaiana Grande Queso</v>
      </c>
      <c r="H12" s="520">
        <f t="shared" si="1"/>
        <v>150</v>
      </c>
    </row>
    <row r="13" spans="1:8" ht="12.75" customHeight="1">
      <c r="A13" s="307">
        <v>8</v>
      </c>
      <c r="B13" s="302" t="str">
        <f>HYPERLINK("#'M-DetalleVenta'!G10", 'M-DetalleVenta'!G10)</f>
        <v>FV-000004  Hawaiana Grande</v>
      </c>
      <c r="C13" s="302" t="str">
        <f>HYPERLINK("#'M-ProductoInterno'!B21", 'M-ProductoInterno'!B21)</f>
        <v>Jamón</v>
      </c>
      <c r="D13" s="302">
        <f>'M-DetalleVenta'!C10*'M-DetalleReceta'!C29</f>
        <v>100</v>
      </c>
      <c r="E13" s="302" t="str">
        <f>HYPERLINK("#'M-DetalleReceta'!D29", 'M-DetalleReceta'!D29)</f>
        <v>g</v>
      </c>
      <c r="F13" s="302">
        <f>HYPERLINK("#'M-TipoMovimiento'!A23", 'M-TipoMovimiento'!A23)</f>
        <v>151</v>
      </c>
      <c r="G13" s="520" t="str">
        <f t="shared" si="0"/>
        <v>FV-000004  Hawaiana Grande Jamón</v>
      </c>
      <c r="H13" s="520">
        <f t="shared" si="1"/>
        <v>151</v>
      </c>
    </row>
    <row r="14" spans="1:8" ht="12.75" customHeight="1">
      <c r="A14" s="307">
        <v>9</v>
      </c>
      <c r="B14" s="302" t="str">
        <f>HYPERLINK("#'M-DetalleVenta'!G10", 'M-DetalleVenta'!G10)</f>
        <v>FV-000004  Hawaiana Grande</v>
      </c>
      <c r="C14" s="302" t="str">
        <f>HYPERLINK("#'M-ProductoInterno'!B13", 'M-ProductoInterno'!B13)</f>
        <v>Piña</v>
      </c>
      <c r="D14" s="302">
        <f>'M-DetalleVenta'!C10*'M-DetalleReceta'!C30</f>
        <v>80</v>
      </c>
      <c r="E14" s="302" t="str">
        <f>HYPERLINK("#'M-DetalleReceta'!D30", 'M-DetalleReceta'!D30)</f>
        <v>g</v>
      </c>
      <c r="F14" s="302">
        <f>HYPERLINK("#'M-TipoMovimiento'!A24", 'M-TipoMovimiento'!A24)</f>
        <v>152</v>
      </c>
      <c r="G14" s="520" t="str">
        <f t="shared" si="0"/>
        <v>FV-000004  Hawaiana Grande Piña</v>
      </c>
      <c r="H14" s="520">
        <f t="shared" si="1"/>
        <v>152</v>
      </c>
    </row>
  </sheetData>
  <hyperlinks>
    <hyperlink ref="A1" location="'Modelo de dominio'!A1" display="&lt;&lt;&lt;Modelo de Dominio" xr:uid="{00000000-0004-0000-0C00-000000000000}"/>
    <hyperlink ref="B1" location="'Objetos de dominio'!A1" display="&lt;&lt;&lt;Objetos de Dominio" xr:uid="{00000000-0004-0000-0C00-000001000000}"/>
    <hyperlink ref="B5" location="'M-DetalleVenta'!A1" display="DetalleVenta" xr:uid="{00000000-0004-0000-0C00-000002000000}"/>
    <hyperlink ref="C5" location="'M-ProductoInterno'!A1" display="ProductoInterno" xr:uid="{00000000-0004-0000-0C00-000003000000}"/>
    <hyperlink ref="F5" location="'M-TipoMovimiento'!A1" display="TipoMovimiento" xr:uid="{00000000-0004-0000-0C00-000004000000}"/>
  </hyperlink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2CFA-D36B-474E-BF10-1CA816098BFF}">
  <dimension ref="A1:WQJ34"/>
  <sheetViews>
    <sheetView topLeftCell="I1" zoomScale="78" workbookViewId="0">
      <selection activeCell="W12" sqref="W12"/>
    </sheetView>
  </sheetViews>
  <sheetFormatPr baseColWidth="10" defaultRowHeight="12.9"/>
  <cols>
    <col min="1" max="1" width="27.75" bestFit="1" customWidth="1"/>
    <col min="2" max="2" width="108.6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9.25" bestFit="1" customWidth="1"/>
    <col min="10" max="10" width="23.25" bestFit="1" customWidth="1"/>
    <col min="11" max="11" width="21.75" bestFit="1" customWidth="1"/>
    <col min="12" max="12" width="18.75" bestFit="1" customWidth="1"/>
    <col min="13" max="13" width="109.25" bestFit="1" customWidth="1"/>
    <col min="14" max="14" width="15.375" bestFit="1" customWidth="1"/>
    <col min="15" max="15" width="31.25" bestFit="1" customWidth="1"/>
    <col min="16" max="16" width="28.25" bestFit="1" customWidth="1"/>
    <col min="17" max="17" width="69.625" bestFit="1" customWidth="1"/>
    <col min="18" max="18" width="48.875" bestFit="1" customWidth="1"/>
    <col min="19" max="19" width="23.875" bestFit="1" customWidth="1"/>
    <col min="20" max="20" width="27.375" bestFit="1" customWidth="1"/>
    <col min="21" max="21" width="15.25" bestFit="1" customWidth="1"/>
    <col min="22" max="22" width="39.25" customWidth="1"/>
    <col min="23" max="23" width="40.125" bestFit="1" customWidth="1"/>
  </cols>
  <sheetData>
    <row r="1" spans="1:23" ht="18.7" customHeight="1">
      <c r="A1" s="76" t="s">
        <v>0</v>
      </c>
      <c r="B1" s="132" t="s">
        <v>1</v>
      </c>
      <c r="C1" s="25"/>
      <c r="D1" s="25"/>
      <c r="E1" s="25"/>
      <c r="F1" s="25"/>
      <c r="G1" s="25"/>
      <c r="H1" s="25"/>
      <c r="I1" s="25"/>
      <c r="J1" s="25"/>
      <c r="K1" s="25"/>
      <c r="L1" s="25"/>
      <c r="M1" s="25"/>
      <c r="N1" s="25"/>
      <c r="O1" s="25"/>
      <c r="P1" s="25"/>
      <c r="Q1" s="25"/>
      <c r="R1" s="25"/>
      <c r="S1" s="25"/>
      <c r="T1" s="25"/>
      <c r="U1" s="25"/>
    </row>
    <row r="2" spans="1:23" ht="14.95" customHeight="1">
      <c r="A2" s="7" t="s">
        <v>20</v>
      </c>
      <c r="B2" s="585" t="s">
        <v>58</v>
      </c>
    </row>
    <row r="3" spans="1:23" ht="14.95" customHeight="1">
      <c r="A3" s="459" t="s">
        <v>79</v>
      </c>
      <c r="B3" s="848" t="str">
        <f>HYPERLINK("#'Objetos de dominio'!B22", 'Objetos de dominio'!B22)</f>
        <v>Son los productos internos que se deben consumir por cada detalle de venta, según la receta del producto vendido. Cada consumo tiene su propio TipoMovimiento.</v>
      </c>
    </row>
    <row r="4" spans="1:23" ht="14.95" customHeight="1">
      <c r="A4" s="696" t="s">
        <v>80</v>
      </c>
      <c r="B4" s="750"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6" t="str">
        <f>HYPERLINK("#'C-ConsumoVenta'!A23", 'C-ConsumoVenta'!A23)</f>
        <v>Registrar consumo de venta</v>
      </c>
      <c r="W4" s="939" t="str">
        <f>HYPERLINK("#'C-ConsumoVenta'!A28", 'C-ConsumoVenta'!A28)</f>
        <v>Consultar consumos de un detalle de venta</v>
      </c>
    </row>
    <row r="5" spans="1:23" ht="14.3" customHeight="1">
      <c r="A5" s="780" t="str">
        <f>HYPERLINK("#'M-ConsumoVenta'!A5", 'M-ConsumoVenta'!A5)</f>
        <v>Id</v>
      </c>
      <c r="B5" s="781" t="str">
        <f>HYPERLINK("#'M-ConsumoVenta'!A2", 'M-ConsumoVenta'!A2)</f>
        <v>Identificador unico de cada consumo de venta</v>
      </c>
      <c r="C5" s="697" t="s">
        <v>15</v>
      </c>
      <c r="D5" s="9" t="s">
        <v>99</v>
      </c>
      <c r="E5" s="9" t="s">
        <v>15</v>
      </c>
      <c r="F5" s="9"/>
      <c r="G5" s="9"/>
      <c r="H5" s="9"/>
      <c r="I5" s="9"/>
      <c r="J5" s="9"/>
      <c r="K5" s="9"/>
      <c r="L5" s="9"/>
      <c r="M5" s="9"/>
      <c r="N5" s="9" t="s">
        <v>100</v>
      </c>
      <c r="O5" s="9" t="s">
        <v>100</v>
      </c>
      <c r="P5" s="9"/>
      <c r="Q5" s="9" t="s">
        <v>100</v>
      </c>
      <c r="R5" s="9" t="s">
        <v>100</v>
      </c>
      <c r="S5" s="9" t="s">
        <v>100</v>
      </c>
      <c r="T5" s="9"/>
      <c r="U5" s="112" t="s">
        <v>15</v>
      </c>
      <c r="V5" s="684" t="s">
        <v>276</v>
      </c>
      <c r="W5" s="527" t="s">
        <v>276</v>
      </c>
    </row>
    <row r="6" spans="1:23" ht="14.3" customHeight="1">
      <c r="A6" s="780" t="str">
        <f>HYPERLINK("#'M-ConsumoVenta'!B5", 'M-ConsumoVenta'!B5)</f>
        <v>DetalleVenta</v>
      </c>
      <c r="B6" s="781" t="str">
        <f>HYPERLINK("#'M-ConsumoVenta'!B2", 'M-ConsumoVenta'!B2)</f>
        <v>Detalle de venta (renglon de la venta) que origina el consumo</v>
      </c>
      <c r="C6" s="697" t="s">
        <v>100</v>
      </c>
      <c r="D6" s="9" t="s">
        <v>49</v>
      </c>
      <c r="E6" s="9" t="s">
        <v>15</v>
      </c>
      <c r="F6" s="11"/>
      <c r="G6" s="12"/>
      <c r="H6" s="13"/>
      <c r="I6" s="9"/>
      <c r="J6" s="13"/>
      <c r="K6" s="9"/>
      <c r="L6" s="9"/>
      <c r="M6" s="9" t="s">
        <v>1268</v>
      </c>
      <c r="N6" s="9" t="s">
        <v>100</v>
      </c>
      <c r="O6" s="9" t="s">
        <v>100</v>
      </c>
      <c r="P6" s="9"/>
      <c r="Q6" s="13" t="s">
        <v>100</v>
      </c>
      <c r="R6" s="9" t="s">
        <v>100</v>
      </c>
      <c r="S6" s="9" t="s">
        <v>100</v>
      </c>
      <c r="T6" s="9"/>
      <c r="U6" s="112" t="s">
        <v>100</v>
      </c>
      <c r="V6" s="582" t="s">
        <v>101</v>
      </c>
      <c r="W6" s="570" t="s">
        <v>101</v>
      </c>
    </row>
    <row r="7" spans="1:23" s="614" customFormat="1" ht="14.3" customHeight="1">
      <c r="A7" s="780" t="str">
        <f>HYPERLINK("#'M-ConsumoVenta'!C5", 'M-ConsumoVenta'!C5)</f>
        <v>ProductoInterno</v>
      </c>
      <c r="B7" s="781" t="str">
        <f>HYPERLINK("#'M-ConsumoVenta'!C2", 'M-ConsumoVenta'!C2)</f>
        <v>Producto interno que se debe consumir segun la receta del producto vendido</v>
      </c>
      <c r="C7" s="697" t="s">
        <v>100</v>
      </c>
      <c r="D7" s="642" t="s">
        <v>38</v>
      </c>
      <c r="E7" s="642" t="s">
        <v>15</v>
      </c>
      <c r="F7" s="683"/>
      <c r="G7" s="643"/>
      <c r="H7" s="641"/>
      <c r="I7" s="642"/>
      <c r="J7" s="641"/>
      <c r="K7" s="642"/>
      <c r="L7" s="642"/>
      <c r="M7" s="642" t="s">
        <v>1269</v>
      </c>
      <c r="N7" s="642" t="s">
        <v>100</v>
      </c>
      <c r="O7" s="642" t="s">
        <v>100</v>
      </c>
      <c r="P7" s="642"/>
      <c r="Q7" s="641" t="s">
        <v>100</v>
      </c>
      <c r="R7" s="642" t="s">
        <v>100</v>
      </c>
      <c r="S7" s="642" t="s">
        <v>100</v>
      </c>
      <c r="T7" s="642"/>
      <c r="U7" s="112" t="s">
        <v>100</v>
      </c>
      <c r="V7" s="582" t="s">
        <v>276</v>
      </c>
      <c r="W7" s="570" t="s">
        <v>276</v>
      </c>
    </row>
    <row r="8" spans="1:23" s="614" customFormat="1" ht="14.3" customHeight="1">
      <c r="A8" s="780" t="str">
        <f>HYPERLINK("#'M-ConsumoVenta'!D5", 'M-ConsumoVenta'!D5)</f>
        <v>Cantidad</v>
      </c>
      <c r="B8" s="781" t="str">
        <f>HYPERLINK("#'M-ConsumoVenta'!D2", 'M-ConsumoVenta'!D2)</f>
        <v>Cantidad del producto interno que se consume: cantidad vendida por la cantidad de la receta, en la unidad de la receta</v>
      </c>
      <c r="C8" s="697" t="s">
        <v>100</v>
      </c>
      <c r="D8" s="642" t="s">
        <v>13</v>
      </c>
      <c r="E8" s="642" t="s">
        <v>15</v>
      </c>
      <c r="F8" s="683"/>
      <c r="G8" s="643"/>
      <c r="H8" s="641">
        <v>4</v>
      </c>
      <c r="I8" s="642"/>
      <c r="J8" s="641" t="s">
        <v>104</v>
      </c>
      <c r="K8" s="642">
        <v>1000000</v>
      </c>
      <c r="L8" s="642"/>
      <c r="M8" s="642" t="s">
        <v>1270</v>
      </c>
      <c r="N8" s="642" t="s">
        <v>15</v>
      </c>
      <c r="O8" s="642" t="s">
        <v>100</v>
      </c>
      <c r="P8" s="642"/>
      <c r="Q8" s="641" t="s">
        <v>100</v>
      </c>
      <c r="R8" s="642" t="s">
        <v>100</v>
      </c>
      <c r="S8" s="642" t="s">
        <v>100</v>
      </c>
      <c r="T8" s="642"/>
      <c r="U8" s="112" t="s">
        <v>100</v>
      </c>
      <c r="V8" s="582" t="s">
        <v>276</v>
      </c>
      <c r="W8" s="570" t="s">
        <v>276</v>
      </c>
    </row>
    <row r="9" spans="1:23" s="614" customFormat="1" ht="14.3" customHeight="1">
      <c r="A9" s="780" t="str">
        <f>HYPERLINK("#'M-ConsumoVenta'!E5", 'M-ConsumoVenta'!E5)</f>
        <v>UnidadMedida</v>
      </c>
      <c r="B9" s="781" t="str">
        <f>HYPERLINK("#'M-ConsumoVenta'!E2", 'M-ConsumoVenta'!E2)</f>
        <v>Unidad de medida de la cantidad; es la misma de la receta y queda guardada aunque la receta cambie despues</v>
      </c>
      <c r="C9" s="697" t="s">
        <v>100</v>
      </c>
      <c r="D9" s="642" t="s">
        <v>28</v>
      </c>
      <c r="E9" s="642" t="s">
        <v>15</v>
      </c>
      <c r="F9" s="683"/>
      <c r="G9" s="643"/>
      <c r="H9" s="641"/>
      <c r="I9" s="642"/>
      <c r="J9" s="641"/>
      <c r="K9" s="642"/>
      <c r="L9" s="642"/>
      <c r="M9" s="642" t="s">
        <v>1271</v>
      </c>
      <c r="N9" s="642" t="s">
        <v>15</v>
      </c>
      <c r="O9" s="642" t="s">
        <v>100</v>
      </c>
      <c r="P9" s="642"/>
      <c r="Q9" s="641" t="s">
        <v>100</v>
      </c>
      <c r="R9" s="642" t="s">
        <v>100</v>
      </c>
      <c r="S9" s="642" t="s">
        <v>100</v>
      </c>
      <c r="T9" s="642"/>
      <c r="U9" s="112" t="s">
        <v>100</v>
      </c>
      <c r="V9" s="582" t="s">
        <v>276</v>
      </c>
      <c r="W9" s="570" t="s">
        <v>276</v>
      </c>
    </row>
    <row r="10" spans="1:23" s="614" customFormat="1" ht="14.3" customHeight="1">
      <c r="A10" s="782" t="str">
        <f>HYPERLINK("#'M-ConsumoVenta'!F5", 'M-ConsumoVenta'!F5)</f>
        <v>TipoMovimiento</v>
      </c>
      <c r="B10" s="783" t="str">
        <f>HYPERLINK("#'M-ConsumoVenta'!F2", 'M-ConsumoVenta'!F2)</f>
        <v>Codigo de la operacion (TipoMovimiento) propio de este consumo; es el mismo que lleva su movimiento de salida</v>
      </c>
      <c r="C10" s="697" t="s">
        <v>100</v>
      </c>
      <c r="D10" s="642" t="s">
        <v>10</v>
      </c>
      <c r="E10" s="642" t="s">
        <v>15</v>
      </c>
      <c r="F10" s="683"/>
      <c r="G10" s="643"/>
      <c r="H10" s="641"/>
      <c r="I10" s="642"/>
      <c r="J10" s="641"/>
      <c r="K10" s="642"/>
      <c r="L10" s="642"/>
      <c r="M10" s="642" t="s">
        <v>1272</v>
      </c>
      <c r="N10" s="642" t="s">
        <v>100</v>
      </c>
      <c r="O10" s="642" t="s">
        <v>100</v>
      </c>
      <c r="P10" s="642"/>
      <c r="Q10" s="641" t="s">
        <v>100</v>
      </c>
      <c r="R10" s="642" t="s">
        <v>100</v>
      </c>
      <c r="S10" s="642" t="s">
        <v>100</v>
      </c>
      <c r="T10" s="642"/>
      <c r="U10" s="112" t="s">
        <v>15</v>
      </c>
      <c r="V10" s="582" t="s">
        <v>276</v>
      </c>
      <c r="W10" s="570" t="s">
        <v>276</v>
      </c>
    </row>
    <row r="11" spans="1:23" ht="14.3" customHeight="1">
      <c r="A11" s="698"/>
      <c r="B11" s="698"/>
      <c r="C11" s="9"/>
      <c r="D11" s="9"/>
      <c r="E11" s="9"/>
      <c r="F11" s="11"/>
      <c r="G11" s="12"/>
      <c r="H11" s="13"/>
      <c r="I11" s="9"/>
      <c r="J11" s="13"/>
      <c r="K11" s="9"/>
      <c r="L11" s="9"/>
      <c r="M11" s="9"/>
      <c r="N11" s="9"/>
      <c r="O11" s="9"/>
      <c r="P11" s="9"/>
      <c r="Q11" s="13"/>
      <c r="R11" s="9"/>
      <c r="S11" s="9"/>
      <c r="T11" s="9"/>
      <c r="U11" s="112"/>
      <c r="V11" s="582"/>
      <c r="W11" s="940"/>
    </row>
    <row r="12" spans="1:23" ht="14.3" customHeight="1">
      <c r="A12" s="154"/>
      <c r="B12" s="155"/>
      <c r="C12" s="155"/>
      <c r="D12" s="155"/>
      <c r="E12" s="155"/>
      <c r="F12" s="156"/>
      <c r="G12" s="157"/>
      <c r="H12" s="154"/>
      <c r="I12" s="155"/>
      <c r="J12" s="154"/>
      <c r="K12" s="155"/>
      <c r="L12" s="155"/>
      <c r="M12" s="155"/>
      <c r="N12" s="155"/>
      <c r="O12" s="155"/>
      <c r="P12" s="155"/>
      <c r="Q12" s="154"/>
      <c r="R12" s="155"/>
      <c r="S12" s="155"/>
      <c r="T12" s="155"/>
      <c r="U12" s="155"/>
    </row>
    <row r="16" spans="1:23" ht="14.95" customHeight="1">
      <c r="A16" s="16" t="s">
        <v>109</v>
      </c>
      <c r="B16" s="16" t="s">
        <v>79</v>
      </c>
      <c r="C16" s="111" t="s">
        <v>110</v>
      </c>
    </row>
    <row r="17" spans="1:18 16000:16000" ht="14.3" customHeight="1">
      <c r="A17" s="391" t="s">
        <v>111</v>
      </c>
      <c r="B17" s="754" t="s">
        <v>1273</v>
      </c>
      <c r="C17" s="849" t="str">
        <f>HYPERLINK("#'C-ConsumoVenta'!A6", 'C-ConsumoVenta'!A6)</f>
        <v>DetalleVenta</v>
      </c>
    </row>
    <row r="18" spans="1:18 16000:16000" ht="13.6">
      <c r="A18" s="391"/>
      <c r="B18" s="754"/>
      <c r="C18" s="849" t="str">
        <f>HYPERLINK("#'C-ConsumoVenta'!A7", 'C-ConsumoVenta'!A7)</f>
        <v>ProductoInterno</v>
      </c>
    </row>
    <row r="19" spans="1:18 16000:16000" ht="13.6">
      <c r="A19" s="391" t="s">
        <v>1061</v>
      </c>
      <c r="B19" s="754" t="s">
        <v>1274</v>
      </c>
      <c r="C19" s="850" t="str">
        <f>HYPERLINK("#'C-ConsumoVenta'!A10", 'C-ConsumoVenta'!A10)</f>
        <v>TipoMovimiento</v>
      </c>
    </row>
    <row r="20" spans="1:18 16000:16000" ht="13.75" customHeight="1"/>
    <row r="21" spans="1:18 16000:16000" ht="14.95" customHeight="1">
      <c r="A21" s="1116" t="s">
        <v>113</v>
      </c>
      <c r="B21" s="1077"/>
      <c r="C21" s="1116" t="s">
        <v>79</v>
      </c>
      <c r="D21" s="1076"/>
      <c r="E21" s="1076"/>
      <c r="F21" s="1077"/>
      <c r="G21" s="1116" t="s">
        <v>114</v>
      </c>
      <c r="H21" s="1123"/>
      <c r="I21" s="1124"/>
      <c r="J21" s="1132" t="s">
        <v>115</v>
      </c>
      <c r="K21" s="1123"/>
      <c r="L21" s="1123"/>
      <c r="M21" s="1123"/>
      <c r="N21" s="1124"/>
      <c r="O21" s="1132" t="s">
        <v>116</v>
      </c>
      <c r="P21" s="1124"/>
      <c r="Q21" s="1132" t="s">
        <v>117</v>
      </c>
      <c r="R21" s="1124"/>
    </row>
    <row r="22" spans="1:18 16000:16000" ht="30.25" customHeight="1">
      <c r="A22" s="1086"/>
      <c r="B22" s="1087"/>
      <c r="C22" s="1086"/>
      <c r="D22" s="970"/>
      <c r="E22" s="970"/>
      <c r="F22" s="1087"/>
      <c r="G22" s="926" t="s">
        <v>118</v>
      </c>
      <c r="H22" s="926" t="s">
        <v>8</v>
      </c>
      <c r="I22" s="926" t="s">
        <v>79</v>
      </c>
      <c r="J22" s="691" t="s">
        <v>119</v>
      </c>
      <c r="K22" s="1595" t="s">
        <v>79</v>
      </c>
      <c r="L22" s="1076"/>
      <c r="M22" s="1076"/>
      <c r="N22" s="1077"/>
      <c r="O22" s="691" t="s">
        <v>120</v>
      </c>
      <c r="P22" s="691" t="s">
        <v>79</v>
      </c>
      <c r="Q22" s="691" t="s">
        <v>121</v>
      </c>
      <c r="R22" s="691" t="s">
        <v>122</v>
      </c>
    </row>
    <row r="23" spans="1:18 16000:16000" ht="50.95" customHeight="1">
      <c r="A23" s="1615" t="str">
        <f>HYPERLINK("#'C-ConsumoVenta'!V4", 'E-ConsumoVenta'!B7)</f>
        <v>Registrar consumo de venta</v>
      </c>
      <c r="B23" s="1615"/>
      <c r="C23" s="1122" t="str">
        <f>'E-ConsumoVenta'!C7</f>
        <v>Al confirmar una venta, registra por cada detalle de venta los productos internos que se consumen segun la receta del producto vendido.</v>
      </c>
      <c r="D23" s="1122"/>
      <c r="E23" s="1122"/>
      <c r="F23" s="1122"/>
      <c r="G23" s="1616" t="s">
        <v>123</v>
      </c>
      <c r="H23" s="1616" t="s">
        <v>49</v>
      </c>
      <c r="I23" s="1617" t="s">
        <v>1275</v>
      </c>
      <c r="J23" s="1615" t="s">
        <v>1276</v>
      </c>
      <c r="K23" s="977" t="s">
        <v>1277</v>
      </c>
      <c r="L23" s="977"/>
      <c r="M23" s="977"/>
      <c r="N23" s="977"/>
      <c r="O23" s="932" t="str">
        <f>HYPERLINK("#'P-ConsumoVenta'!A5", 'P-ConsumoVenta'!A5)</f>
        <v>P-CV-001</v>
      </c>
      <c r="P23" s="512" t="str">
        <f>'P-ConsumoVenta'!B5</f>
        <v>Asegurar que el detalle de venta exista.</v>
      </c>
      <c r="Q23" s="512" t="s">
        <v>1278</v>
      </c>
      <c r="R23" s="512" t="s">
        <v>1279</v>
      </c>
    </row>
    <row r="24" spans="1:18 16000:16000" s="614" customFormat="1" ht="50.95" customHeight="1">
      <c r="A24" s="1615"/>
      <c r="B24" s="1615"/>
      <c r="C24" s="1122"/>
      <c r="D24" s="1122"/>
      <c r="E24" s="1122"/>
      <c r="F24" s="1122"/>
      <c r="G24" s="1616"/>
      <c r="H24" s="1616"/>
      <c r="I24" s="1617"/>
      <c r="J24" s="1615"/>
      <c r="K24" s="977"/>
      <c r="L24" s="977"/>
      <c r="M24" s="977"/>
      <c r="N24" s="977"/>
      <c r="O24" s="932" t="str">
        <f>HYPERLINK("#'P-ConsumoVenta'!A6", 'P-ConsumoVenta'!A6)</f>
        <v>P-CV-002</v>
      </c>
      <c r="P24" s="512" t="str">
        <f>'P-ConsumoVenta'!B6</f>
        <v>Asegurar que los productos internos a consumir se obtengan de la receta del producto vendido, o del producto interno asociado cuando el producto se vende directo del inventario.</v>
      </c>
      <c r="Q24" s="512" t="s">
        <v>1280</v>
      </c>
      <c r="R24" s="512" t="s">
        <v>1281</v>
      </c>
      <c r="WQJ24"/>
    </row>
    <row r="25" spans="1:18 16000:16000" s="614" customFormat="1" ht="50.95" customHeight="1">
      <c r="A25" s="1615"/>
      <c r="B25" s="1615"/>
      <c r="C25" s="1122"/>
      <c r="D25" s="1122"/>
      <c r="E25" s="1122"/>
      <c r="F25" s="1122"/>
      <c r="G25" s="1616"/>
      <c r="H25" s="1616"/>
      <c r="I25" s="1617"/>
      <c r="J25" s="1615"/>
      <c r="K25" s="977"/>
      <c r="L25" s="977"/>
      <c r="M25" s="977"/>
      <c r="N25" s="977"/>
      <c r="O25" s="932" t="str">
        <f>HYPERLINK("#'P-ConsumoVenta'!A7", 'P-ConsumoVenta'!A7)</f>
        <v>P-CV-003</v>
      </c>
      <c r="P25" s="512" t="str">
        <f>'P-ConsumoVenta'!B7</f>
        <v>Asegurar que no se registre dos veces el mismo producto interno para el mismo detalle de venta.</v>
      </c>
      <c r="Q25" s="512" t="s">
        <v>1282</v>
      </c>
      <c r="R25" s="512" t="s">
        <v>1283</v>
      </c>
      <c r="WQJ25"/>
    </row>
    <row r="26" spans="1:18 16000:16000" s="614" customFormat="1" ht="50.95" customHeight="1">
      <c r="A26" s="1615"/>
      <c r="B26" s="1615"/>
      <c r="C26" s="1122"/>
      <c r="D26" s="1122"/>
      <c r="E26" s="1122"/>
      <c r="F26" s="1122"/>
      <c r="G26" s="1616"/>
      <c r="H26" s="1616"/>
      <c r="I26" s="1617"/>
      <c r="J26" s="1615"/>
      <c r="K26" s="977"/>
      <c r="L26" s="977"/>
      <c r="M26" s="977"/>
      <c r="N26" s="977"/>
      <c r="O26" s="932" t="str">
        <f>HYPERLINK("#'P-ConsumoVenta'!A8", 'P-ConsumoVenta'!A8)</f>
        <v>P-CV-004</v>
      </c>
      <c r="P26" s="512" t="str">
        <f>'P-ConsumoVenta'!B8</f>
        <v>Asegurar que exista saldo suficiente en inventario para cubrir la cantidad a consumir.</v>
      </c>
      <c r="Q26" s="512" t="s">
        <v>1284</v>
      </c>
      <c r="R26" s="512" t="s">
        <v>1285</v>
      </c>
      <c r="WQJ26"/>
    </row>
    <row r="27" spans="1:18 16000:16000" s="614" customFormat="1" ht="50.95" customHeight="1">
      <c r="A27" s="1615"/>
      <c r="B27" s="1615"/>
      <c r="C27" s="1122"/>
      <c r="D27" s="1122"/>
      <c r="E27" s="1122"/>
      <c r="F27" s="1122"/>
      <c r="G27" s="1616"/>
      <c r="H27" s="1616"/>
      <c r="I27" s="1617"/>
      <c r="J27" s="1615"/>
      <c r="K27" s="977"/>
      <c r="L27" s="977"/>
      <c r="M27" s="977"/>
      <c r="N27" s="977"/>
      <c r="O27" s="932" t="str">
        <f>HYPERLINK("#'P-ConsumoVenta'!A10", 'P-ConsumoVenta'!A10)</f>
        <v>P-CV-006</v>
      </c>
      <c r="P27" s="512" t="str">
        <f>'P-ConsumoVenta'!B10</f>
        <v>Al registrar un consumo se genera su propio TipoMovimiento de categoria Venta y se registran las salidas de inventario por FIFO sobre los lotes del producto interno.</v>
      </c>
      <c r="Q27" s="512" t="s">
        <v>1743</v>
      </c>
      <c r="R27" s="512" t="s">
        <v>1442</v>
      </c>
      <c r="WQJ27"/>
    </row>
    <row r="28" spans="1:18 16000:16000" s="614" customFormat="1" ht="50.95" customHeight="1">
      <c r="A28" s="1624" t="str">
        <f>HYPERLINK("#'C-ConsumoVenta'!W4", 'E-ConsumoVenta'!B12)</f>
        <v>Consultar consumos de un detalle de venta</v>
      </c>
      <c r="B28" s="1624"/>
      <c r="C28" s="1624" t="str">
        <f>'E-ConsumoVenta'!C12</f>
        <v>Permite consultar los productos internos consumidos por un detalle de venta.</v>
      </c>
      <c r="D28" s="1624"/>
      <c r="E28" s="1624"/>
      <c r="F28" s="1624"/>
      <c r="G28" s="942" t="s">
        <v>16</v>
      </c>
      <c r="H28" s="942" t="s">
        <v>299</v>
      </c>
      <c r="I28" s="943" t="s">
        <v>1286</v>
      </c>
      <c r="J28" s="941" t="s">
        <v>1276</v>
      </c>
      <c r="K28" s="1126" t="s">
        <v>1277</v>
      </c>
      <c r="L28" s="1126"/>
      <c r="M28" s="1126"/>
      <c r="N28" s="1126"/>
      <c r="O28" s="767" t="str">
        <f>HYPERLINK("#'P-ConsumoVenta'!A9", 'P-ConsumoVenta'!A9)</f>
        <v>P-CV-005</v>
      </c>
      <c r="P28" s="598" t="str">
        <f>'P-ConsumoVenta'!B9</f>
        <v>Asegurar que el detalle de venta consultado exista.</v>
      </c>
      <c r="Q28" s="598" t="s">
        <v>1278</v>
      </c>
      <c r="R28" s="598" t="s">
        <v>1287</v>
      </c>
      <c r="WQJ28"/>
    </row>
    <row r="29" spans="1:18 16000:16000">
      <c r="O29" s="439"/>
    </row>
    <row r="30" spans="1:18 16000:16000">
      <c r="A30" s="375"/>
      <c r="B30" s="375"/>
      <c r="C30" s="375"/>
      <c r="D30" s="375"/>
      <c r="E30" s="375"/>
      <c r="F30" s="375"/>
      <c r="G30" s="375"/>
      <c r="H30" s="375"/>
      <c r="I30" s="375"/>
      <c r="J30" s="375"/>
      <c r="K30" s="375"/>
      <c r="L30" s="375"/>
      <c r="M30" s="375"/>
      <c r="N30" s="375"/>
      <c r="O30" s="352"/>
      <c r="P30" s="353"/>
      <c r="Q30" s="375"/>
      <c r="R30" s="375"/>
    </row>
    <row r="31" spans="1:18 16000:16000">
      <c r="A31" s="354"/>
      <c r="B31" s="375"/>
      <c r="C31" s="352"/>
      <c r="D31" s="375"/>
      <c r="E31" s="375"/>
      <c r="F31" s="375"/>
      <c r="G31" s="354"/>
      <c r="H31" s="354"/>
      <c r="I31" s="352"/>
      <c r="J31" s="352"/>
      <c r="K31" s="352"/>
      <c r="L31" s="375"/>
      <c r="M31" s="375"/>
      <c r="N31" s="375"/>
      <c r="O31" s="352"/>
      <c r="P31" s="353"/>
      <c r="Q31" s="353"/>
      <c r="R31" s="353"/>
    </row>
    <row r="32" spans="1:18 16000:16000">
      <c r="A32" s="375"/>
      <c r="B32" s="375"/>
      <c r="C32" s="375"/>
      <c r="D32" s="375"/>
      <c r="E32" s="375"/>
      <c r="F32" s="375"/>
      <c r="G32" s="375"/>
      <c r="H32" s="375"/>
      <c r="I32" s="375"/>
      <c r="J32" s="375"/>
      <c r="K32" s="375"/>
      <c r="L32" s="375"/>
      <c r="M32" s="375"/>
      <c r="N32" s="375"/>
      <c r="O32" s="352"/>
      <c r="P32" s="353"/>
      <c r="Q32" s="375"/>
      <c r="R32" s="375"/>
    </row>
    <row r="33" spans="1:18">
      <c r="A33" s="354"/>
      <c r="B33" s="375"/>
      <c r="C33" s="352"/>
      <c r="D33" s="375"/>
      <c r="E33" s="375"/>
      <c r="F33" s="375"/>
      <c r="G33" s="354"/>
      <c r="H33" s="354"/>
      <c r="I33" s="352"/>
      <c r="J33" s="352"/>
      <c r="K33" s="352"/>
      <c r="L33" s="375"/>
      <c r="M33" s="375"/>
      <c r="N33" s="375"/>
      <c r="O33" s="352"/>
      <c r="P33" s="353"/>
      <c r="Q33" s="353"/>
      <c r="R33" s="353"/>
    </row>
    <row r="34" spans="1:18">
      <c r="A34" s="375"/>
      <c r="B34" s="375"/>
      <c r="C34" s="375"/>
      <c r="D34" s="375"/>
      <c r="E34" s="375"/>
      <c r="F34" s="375"/>
      <c r="G34" s="375"/>
      <c r="H34" s="375"/>
      <c r="I34" s="375"/>
      <c r="J34" s="375"/>
      <c r="K34" s="375"/>
      <c r="L34" s="375"/>
      <c r="M34" s="375"/>
      <c r="N34" s="375"/>
      <c r="O34" s="352"/>
      <c r="P34" s="353"/>
      <c r="Q34" s="375"/>
      <c r="R34" s="375"/>
    </row>
  </sheetData>
  <mergeCells count="17">
    <mergeCell ref="Q21:R21"/>
    <mergeCell ref="K22:N22"/>
    <mergeCell ref="A21:B22"/>
    <mergeCell ref="C21:F22"/>
    <mergeCell ref="G21:I21"/>
    <mergeCell ref="J21:N21"/>
    <mergeCell ref="O21:P21"/>
    <mergeCell ref="I23:I27"/>
    <mergeCell ref="J23:J27"/>
    <mergeCell ref="A28:B28"/>
    <mergeCell ref="C28:F28"/>
    <mergeCell ref="K28:N28"/>
    <mergeCell ref="A23:B27"/>
    <mergeCell ref="C23:F27"/>
    <mergeCell ref="K23:N27"/>
    <mergeCell ref="G23:G27"/>
    <mergeCell ref="H23:H27"/>
  </mergeCells>
  <hyperlinks>
    <hyperlink ref="A1" location="'Modelo de dominio'!A1" display="&lt;&lt;&lt;Modelo de Dominio" xr:uid="{5F993B22-DA34-4683-ACD5-570BB98E48EA}"/>
    <hyperlink ref="B1" location="'Objetos de dominio'!A1" display="&lt;&lt;&lt;Objetos de Dominio" xr:uid="{22CEBAA8-B1F5-47BD-9EE2-3CE0B69EF0E4}"/>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F05F-F27B-4C2B-B792-F7184250B426}">
  <dimension ref="A1:WQJ15"/>
  <sheetViews>
    <sheetView workbookViewId="0">
      <selection activeCell="F16" sqref="F16"/>
    </sheetView>
  </sheetViews>
  <sheetFormatPr baseColWidth="10" defaultRowHeight="12.9"/>
  <cols>
    <col min="1" max="1" width="17" bestFit="1" customWidth="1"/>
    <col min="2" max="2" width="24.375" bestFit="1" customWidth="1"/>
    <col min="3" max="3" width="73.125" bestFit="1" customWidth="1"/>
    <col min="4" max="4" width="26.375" bestFit="1" customWidth="1"/>
    <col min="5" max="6" width="10.375" bestFit="1" customWidth="1"/>
    <col min="7" max="7" width="17.375" bestFit="1" customWidth="1"/>
    <col min="8" max="8" width="13.75" bestFit="1" customWidth="1"/>
    <col min="9" max="9" width="25.625" bestFit="1" customWidth="1"/>
    <col min="10" max="10" width="19.875" bestFit="1" customWidth="1"/>
  </cols>
  <sheetData>
    <row r="1" spans="1:10 16000:16000" ht="18.7" customHeight="1">
      <c r="A1" s="49" t="s">
        <v>0</v>
      </c>
      <c r="B1" s="50" t="s">
        <v>1</v>
      </c>
      <c r="C1" s="73"/>
      <c r="D1" s="73"/>
      <c r="E1" s="73"/>
      <c r="F1" s="73"/>
      <c r="G1" s="73"/>
      <c r="H1" s="73"/>
      <c r="I1" s="73"/>
      <c r="J1" s="73"/>
    </row>
    <row r="2" spans="1:10 16000:16000" ht="13.75" customHeight="1">
      <c r="A2" s="333" t="s">
        <v>209</v>
      </c>
      <c r="B2" s="1147" t="s">
        <v>58</v>
      </c>
      <c r="C2" s="1123"/>
      <c r="D2" s="1123"/>
      <c r="E2" s="1123"/>
      <c r="F2" s="1123"/>
      <c r="G2" s="1123"/>
      <c r="H2" s="1123"/>
      <c r="I2" s="1123"/>
      <c r="J2" s="1124"/>
    </row>
    <row r="3" spans="1:10 16000:16000" ht="13.75" customHeight="1">
      <c r="A3" s="334" t="s">
        <v>210</v>
      </c>
      <c r="B3" s="1148" t="str">
        <f>'C-ConsumoVenta'!B3</f>
        <v>Son los productos internos que se deben consumir por cada detalle de venta, según la receta del producto vendido. Cada consumo tiene su propio TipoMovimiento.</v>
      </c>
      <c r="C3" s="1123"/>
      <c r="D3" s="1123"/>
      <c r="E3" s="1123"/>
      <c r="F3" s="1123"/>
      <c r="G3" s="1123"/>
      <c r="H3" s="1123"/>
      <c r="I3" s="1123"/>
      <c r="J3" s="1124"/>
    </row>
    <row r="4" spans="1:10 16000:16000" ht="13.75" customHeight="1">
      <c r="A4" s="355" t="s">
        <v>211</v>
      </c>
      <c r="B4" s="1151" t="s">
        <v>212</v>
      </c>
      <c r="C4" s="1124"/>
      <c r="D4" s="356" t="s">
        <v>213</v>
      </c>
      <c r="E4" s="1142" t="s">
        <v>214</v>
      </c>
      <c r="F4" s="1124"/>
      <c r="G4" s="357" t="s">
        <v>215</v>
      </c>
      <c r="H4" s="358" t="s">
        <v>216</v>
      </c>
      <c r="I4" s="359" t="s">
        <v>217</v>
      </c>
      <c r="J4" s="360" t="s">
        <v>218</v>
      </c>
    </row>
    <row r="5" spans="1:10 16000:16000" ht="13.75" customHeight="1">
      <c r="A5" s="355" t="s">
        <v>211</v>
      </c>
      <c r="B5" s="604" t="s">
        <v>219</v>
      </c>
      <c r="C5" s="604" t="s">
        <v>79</v>
      </c>
      <c r="D5" s="356" t="s">
        <v>220</v>
      </c>
      <c r="E5" s="1142" t="s">
        <v>221</v>
      </c>
      <c r="F5" s="1124"/>
      <c r="G5" s="357" t="s">
        <v>222</v>
      </c>
      <c r="H5" s="358" t="s">
        <v>223</v>
      </c>
      <c r="I5" s="359" t="s">
        <v>224</v>
      </c>
      <c r="J5" s="360" t="s">
        <v>225</v>
      </c>
    </row>
    <row r="6" spans="1:10 16000:16000" ht="13.75" customHeight="1">
      <c r="A6" s="559"/>
      <c r="B6" s="559"/>
      <c r="C6" s="559"/>
      <c r="D6" s="559"/>
      <c r="E6" s="603" t="s">
        <v>226</v>
      </c>
      <c r="F6" s="603" t="s">
        <v>79</v>
      </c>
      <c r="G6" s="357" t="s">
        <v>227</v>
      </c>
      <c r="H6" s="559"/>
      <c r="I6" s="559"/>
      <c r="J6" s="559"/>
    </row>
    <row r="7" spans="1:10 16000:16000" ht="12.9" customHeight="1">
      <c r="A7" s="1136" t="s">
        <v>509</v>
      </c>
      <c r="B7" s="1136" t="s">
        <v>1288</v>
      </c>
      <c r="C7" s="1136" t="s">
        <v>1289</v>
      </c>
      <c r="D7" s="1136" t="s">
        <v>58</v>
      </c>
      <c r="E7" s="1136" t="s">
        <v>1290</v>
      </c>
      <c r="F7" s="1136" t="s">
        <v>1291</v>
      </c>
      <c r="G7" s="795" t="str">
        <f>HYPERLINK("#'P-ConsumoVenta'!A5", "P-CV-001")</f>
        <v>P-CV-001</v>
      </c>
      <c r="H7" s="1136"/>
      <c r="I7" s="1136" t="s">
        <v>1292</v>
      </c>
      <c r="J7" s="1136"/>
    </row>
    <row r="8" spans="1:10 16000:16000">
      <c r="A8" s="1136"/>
      <c r="B8" s="1136"/>
      <c r="C8" s="1136"/>
      <c r="D8" s="1136"/>
      <c r="E8" s="1136"/>
      <c r="F8" s="1136"/>
      <c r="G8" s="795" t="str">
        <f>HYPERLINK("#'P-ConsumoVenta'!A6", "P-CV-002")</f>
        <v>P-CV-002</v>
      </c>
      <c r="H8" s="1136"/>
      <c r="I8" s="1136"/>
      <c r="J8" s="1136"/>
    </row>
    <row r="9" spans="1:10 16000:16000" s="614" customFormat="1">
      <c r="A9" s="1136"/>
      <c r="B9" s="1136"/>
      <c r="C9" s="1136"/>
      <c r="D9" s="1136"/>
      <c r="E9" s="1136"/>
      <c r="F9" s="1136"/>
      <c r="G9" s="795" t="str">
        <f>HYPERLINK("#'P-ConsumoVenta'!A7", "P-CV-003")</f>
        <v>P-CV-003</v>
      </c>
      <c r="H9" s="1136"/>
      <c r="I9" s="1136"/>
      <c r="J9" s="1136"/>
      <c r="WQJ9"/>
    </row>
    <row r="10" spans="1:10 16000:16000" s="614" customFormat="1">
      <c r="A10" s="1136"/>
      <c r="B10" s="1136"/>
      <c r="C10" s="1136"/>
      <c r="D10" s="1136"/>
      <c r="E10" s="1136"/>
      <c r="F10" s="1136"/>
      <c r="G10" s="795" t="str">
        <f>HYPERLINK("#'P-ConsumoVenta'!A8", "P-CV-004")</f>
        <v>P-CV-004</v>
      </c>
      <c r="H10" s="1136"/>
      <c r="I10" s="1136"/>
      <c r="J10" s="1136"/>
      <c r="WQJ10"/>
    </row>
    <row r="11" spans="1:10 16000:16000" s="614" customFormat="1">
      <c r="A11" s="1136"/>
      <c r="B11" s="1136"/>
      <c r="C11" s="1136"/>
      <c r="D11" s="1136"/>
      <c r="E11" s="1136"/>
      <c r="F11" s="1136"/>
      <c r="G11" s="795" t="str">
        <f>HYPERLINK("#'P-ConsumoVenta'!A10", "P-CV-006")</f>
        <v>P-CV-006</v>
      </c>
      <c r="H11" s="1136"/>
      <c r="I11" s="1136"/>
      <c r="J11" s="1136"/>
      <c r="WQJ11"/>
    </row>
    <row r="12" spans="1:10 16000:16000" s="614" customFormat="1" ht="77.45">
      <c r="A12" s="858" t="s">
        <v>228</v>
      </c>
      <c r="B12" s="858" t="s">
        <v>1293</v>
      </c>
      <c r="C12" s="858" t="s">
        <v>1294</v>
      </c>
      <c r="D12" s="858" t="s">
        <v>58</v>
      </c>
      <c r="E12" s="944" t="s">
        <v>1295</v>
      </c>
      <c r="F12" s="944" t="s">
        <v>1296</v>
      </c>
      <c r="G12" s="876" t="str">
        <f>HYPERLINK("#'P-ConsumoVenta'!A9", "P-CV-005")</f>
        <v>P-CV-005</v>
      </c>
      <c r="H12" s="858"/>
      <c r="I12" s="944" t="s">
        <v>1297</v>
      </c>
      <c r="J12" s="858"/>
      <c r="WQJ12"/>
    </row>
    <row r="13" spans="1:10 16000:16000">
      <c r="A13" s="367"/>
      <c r="B13" s="367"/>
      <c r="C13" s="367"/>
      <c r="D13" s="367"/>
      <c r="E13" s="367"/>
      <c r="F13" s="367"/>
      <c r="G13" s="368"/>
      <c r="H13" s="367"/>
      <c r="I13" s="367"/>
      <c r="J13" s="367"/>
    </row>
    <row r="14" spans="1:10 16000:16000">
      <c r="A14" s="375"/>
      <c r="B14" s="375"/>
      <c r="C14" s="375"/>
      <c r="D14" s="375"/>
      <c r="E14" s="375"/>
      <c r="F14" s="375"/>
      <c r="G14" s="368"/>
      <c r="H14" s="375"/>
      <c r="I14" s="375"/>
      <c r="J14" s="375"/>
    </row>
    <row r="15" spans="1:10 16000:16000">
      <c r="A15" s="367"/>
      <c r="B15" s="367"/>
      <c r="C15" s="367"/>
      <c r="D15" s="367"/>
      <c r="E15" s="367"/>
      <c r="F15" s="367"/>
      <c r="G15" s="368"/>
      <c r="H15" s="367"/>
      <c r="I15" s="367"/>
      <c r="J15" s="367"/>
    </row>
  </sheetData>
  <mergeCells count="14">
    <mergeCell ref="A7:A11"/>
    <mergeCell ref="B7:B11"/>
    <mergeCell ref="C7:C11"/>
    <mergeCell ref="J7:J11"/>
    <mergeCell ref="B2:J2"/>
    <mergeCell ref="B3:J3"/>
    <mergeCell ref="B4:C4"/>
    <mergeCell ref="E4:F4"/>
    <mergeCell ref="E5:F5"/>
    <mergeCell ref="D7:D11"/>
    <mergeCell ref="E7:E11"/>
    <mergeCell ref="F7:F11"/>
    <mergeCell ref="H7:H11"/>
    <mergeCell ref="I7:I11"/>
  </mergeCells>
  <hyperlinks>
    <hyperlink ref="A1" location="'Modelo de dominio'!A1" display="&lt;&lt;&lt;Modelo de Dominio" xr:uid="{9AE49923-649D-4E19-94E5-3BB268223971}"/>
    <hyperlink ref="B1" location="'Objetos de dominio'!A1" display="&lt;&lt;&lt;Objetos de Dominio" xr:uid="{AF6C9DC1-3EEF-461E-8276-8C9D233EEE79}"/>
    <hyperlink ref="B3" location="'Objetos de dominio'!B24" display="Objeto de dominio que representa la clasificacion de cada movimiento de inventario, indicando si corresponde a una entrada o una salida de existencias." xr:uid="{D8095B58-425A-40A8-9327-98D762817A1C}"/>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4767-9060-476F-8D61-828851322D32}">
  <dimension ref="A1:D10"/>
  <sheetViews>
    <sheetView workbookViewId="0">
      <selection activeCell="A9" sqref="A9"/>
    </sheetView>
  </sheetViews>
  <sheetFormatPr baseColWidth="10" defaultRowHeight="12.9"/>
  <cols>
    <col min="1" max="1" width="17.625" bestFit="1" customWidth="1"/>
    <col min="2" max="2" width="131.25" bestFit="1" customWidth="1"/>
    <col min="3" max="3" width="19.375" bestFit="1" customWidth="1"/>
    <col min="4" max="4" width="19.125" bestFit="1" customWidth="1"/>
  </cols>
  <sheetData>
    <row r="1" spans="1:4" ht="18.7" customHeight="1">
      <c r="A1" s="49" t="s">
        <v>0</v>
      </c>
      <c r="B1" s="50" t="s">
        <v>1</v>
      </c>
      <c r="C1" s="73"/>
      <c r="D1" s="73"/>
    </row>
    <row r="2" spans="1:4" ht="14.3" customHeight="1">
      <c r="A2" s="189" t="s">
        <v>233</v>
      </c>
      <c r="B2" s="1143" t="s">
        <v>58</v>
      </c>
      <c r="C2" s="1144"/>
      <c r="D2" s="540"/>
    </row>
    <row r="3" spans="1:4" ht="14.3" customHeight="1">
      <c r="A3" s="190" t="s">
        <v>21</v>
      </c>
      <c r="B3" s="1111" t="str">
        <f>'C-ConsumoVenta'!B3</f>
        <v>Son los productos internos que se deben consumir por cada detalle de venta, según la receta del producto vendido. Cada consumo tiene su propio TipoMovimiento.</v>
      </c>
      <c r="C3" s="1033"/>
      <c r="D3" s="541"/>
    </row>
    <row r="4" spans="1:4" ht="14.3" customHeight="1">
      <c r="A4" s="191" t="s">
        <v>234</v>
      </c>
      <c r="B4" s="55" t="s">
        <v>235</v>
      </c>
      <c r="C4" s="55" t="s">
        <v>236</v>
      </c>
      <c r="D4" s="192" t="s">
        <v>237</v>
      </c>
    </row>
    <row r="5" spans="1:4">
      <c r="A5" s="193" t="s">
        <v>1298</v>
      </c>
      <c r="B5" s="114" t="s">
        <v>1299</v>
      </c>
      <c r="C5" s="114" t="s">
        <v>49</v>
      </c>
      <c r="D5" s="194" t="str">
        <f>HYPERLINK("#'P-DetalleVenta'!A16", 'P-DetalleVenta'!A16)</f>
        <v>P-DV-012</v>
      </c>
    </row>
    <row r="6" spans="1:4">
      <c r="A6" s="193" t="s">
        <v>1300</v>
      </c>
      <c r="B6" s="114" t="s">
        <v>1301</v>
      </c>
      <c r="C6" s="114" t="s">
        <v>51</v>
      </c>
      <c r="D6" s="194"/>
    </row>
    <row r="7" spans="1:4">
      <c r="A7" s="193" t="s">
        <v>1302</v>
      </c>
      <c r="B7" s="114" t="s">
        <v>1303</v>
      </c>
      <c r="C7" s="114" t="s">
        <v>58</v>
      </c>
      <c r="D7" s="194"/>
    </row>
    <row r="8" spans="1:4">
      <c r="A8" s="193" t="s">
        <v>1304</v>
      </c>
      <c r="B8" s="114" t="s">
        <v>1305</v>
      </c>
      <c r="C8" s="114" t="s">
        <v>56</v>
      </c>
      <c r="D8" s="194"/>
    </row>
    <row r="9" spans="1:4">
      <c r="A9" s="193" t="s">
        <v>1306</v>
      </c>
      <c r="B9" s="114" t="s">
        <v>1307</v>
      </c>
      <c r="C9" s="114" t="s">
        <v>49</v>
      </c>
      <c r="D9" s="194"/>
    </row>
    <row r="10" spans="1:4">
      <c r="A10" s="193" t="s">
        <v>1741</v>
      </c>
      <c r="B10" s="114" t="s">
        <v>1742</v>
      </c>
      <c r="C10" s="114" t="s">
        <v>195</v>
      </c>
      <c r="D10" s="194" t="str">
        <f>HYPERLINK("#'P-MovimientoInventario'!A20", 'P-MovimientoInventario'!A20)</f>
        <v>P-MI-016</v>
      </c>
    </row>
  </sheetData>
  <mergeCells count="2">
    <mergeCell ref="B2:C2"/>
    <mergeCell ref="B3:C3"/>
  </mergeCells>
  <hyperlinks>
    <hyperlink ref="A1" location="'Modelo de dominio'!A1" display="&lt;&lt;&lt;Modelo de Dominio" xr:uid="{13D91B0A-91C5-4B80-A3D7-C4E0EAA47B54}"/>
    <hyperlink ref="B1" location="'Objetos de dominio'!A1" display="&lt;&lt;&lt;Objetos de Dominio" xr:uid="{FE53DD13-918A-4145-AD04-F2886CA94E06}"/>
    <hyperlink ref="B3" location="'Objetos de dominio'!B24" display="Objeto de dominio que representa la clasificacion de cada movimiento de inventario, indicando si corresponde a una entrada o una salida de existencias." xr:uid="{F3A56352-D360-4903-8EBE-0481D0AD9B8A}"/>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E19"/>
  <sheetViews>
    <sheetView workbookViewId="0">
      <selection activeCell="E9" sqref="A8:E9"/>
    </sheetView>
  </sheetViews>
  <sheetFormatPr baseColWidth="10" defaultColWidth="12.625" defaultRowHeight="15.8" customHeight="1"/>
  <cols>
    <col min="1" max="1" width="8.625" customWidth="1"/>
    <col min="2" max="2" width="22.625" customWidth="1"/>
    <col min="3" max="4" width="14.625" customWidth="1"/>
    <col min="5" max="5" width="30.625" customWidth="1"/>
  </cols>
  <sheetData>
    <row r="1" spans="1:5" ht="12.75" customHeight="1">
      <c r="A1" s="76" t="s">
        <v>0</v>
      </c>
      <c r="B1" s="132" t="s">
        <v>1</v>
      </c>
      <c r="C1" s="614"/>
      <c r="D1" s="614"/>
      <c r="E1" s="614"/>
    </row>
    <row r="2" spans="1:5" ht="36.700000000000003" customHeight="1">
      <c r="A2" s="95" t="s">
        <v>898</v>
      </c>
      <c r="B2" s="95" t="s">
        <v>899</v>
      </c>
      <c r="C2" s="95" t="s">
        <v>900</v>
      </c>
      <c r="D2" s="95" t="s">
        <v>901</v>
      </c>
      <c r="E2" s="633"/>
    </row>
    <row r="3" spans="1:5" ht="12.75" customHeight="1">
      <c r="A3" s="592" t="s">
        <v>8</v>
      </c>
      <c r="B3" s="428" t="s">
        <v>12</v>
      </c>
      <c r="C3" s="428" t="s">
        <v>1156</v>
      </c>
      <c r="D3" s="428" t="s">
        <v>9</v>
      </c>
      <c r="E3" s="633"/>
    </row>
    <row r="4" spans="1:5" ht="12.75" customHeight="1">
      <c r="A4" s="429" t="s">
        <v>14</v>
      </c>
      <c r="B4" s="430" t="s">
        <v>15</v>
      </c>
      <c r="C4" s="429" t="s">
        <v>15</v>
      </c>
      <c r="D4" s="429" t="s">
        <v>15</v>
      </c>
      <c r="E4" s="633"/>
    </row>
    <row r="5" spans="1:5" ht="12.75" customHeight="1">
      <c r="A5" s="624" t="s">
        <v>16</v>
      </c>
      <c r="B5" s="431" t="s">
        <v>12</v>
      </c>
      <c r="C5" s="627" t="s">
        <v>76</v>
      </c>
      <c r="D5" s="627" t="s">
        <v>17</v>
      </c>
      <c r="E5" s="626" t="s">
        <v>1129</v>
      </c>
    </row>
    <row r="6" spans="1:5" ht="12.75" customHeight="1">
      <c r="A6" s="307">
        <v>1</v>
      </c>
      <c r="B6" s="288" t="str">
        <f>HYPERLINK("#'M-Lote'!I20", 'M-Lote'!I20)</f>
        <v>1 Piña</v>
      </c>
      <c r="C6" s="634">
        <v>0.5</v>
      </c>
      <c r="D6" s="635">
        <v>46297</v>
      </c>
      <c r="E6" s="520" t="str">
        <f>B6</f>
        <v>1 Piña</v>
      </c>
    </row>
    <row r="7" spans="1:5" ht="12.75" customHeight="1">
      <c r="A7" s="945">
        <v>2</v>
      </c>
      <c r="B7" s="288" t="str">
        <f>HYPERLINK("#'M-Lote'!I21", 'M-Lote'!I21)</f>
        <v>4 Queso</v>
      </c>
      <c r="C7" s="946">
        <v>0.3</v>
      </c>
      <c r="D7" s="947">
        <v>46297</v>
      </c>
      <c r="E7" s="948" t="str">
        <f>B7</f>
        <v>4 Queso</v>
      </c>
    </row>
    <row r="8" spans="1:5" ht="12.75" customHeight="1">
      <c r="A8" s="307">
        <v>3</v>
      </c>
      <c r="B8" s="302" t="str">
        <f>HYPERLINK("#'M-Lote'!I19", 'M-Lote'!I19)</f>
        <v>1 Jamón</v>
      </c>
      <c r="C8" s="634">
        <v>0.4</v>
      </c>
      <c r="D8" s="635">
        <v>46298</v>
      </c>
      <c r="E8" s="520" t="str">
        <f>B8</f>
        <v>1 Jamón</v>
      </c>
    </row>
    <row r="9" spans="1:5" ht="12.75" customHeight="1">
      <c r="A9" s="307">
        <v>4</v>
      </c>
      <c r="B9" s="302" t="str">
        <f>HYPERLINK("#'M-Lote'!I17", 'M-Lote'!I17)</f>
        <v>3 Aceite de oliva</v>
      </c>
      <c r="C9" s="634">
        <v>3</v>
      </c>
      <c r="D9" s="635">
        <v>46298</v>
      </c>
      <c r="E9" s="520" t="str">
        <f>B9</f>
        <v>3 Aceite de oliva</v>
      </c>
    </row>
    <row r="10" spans="1:5" ht="12.75" customHeight="1">
      <c r="A10" s="949"/>
      <c r="B10" s="288"/>
      <c r="C10" s="950"/>
      <c r="D10" s="951"/>
      <c r="E10" s="633"/>
    </row>
    <row r="11" spans="1:5" ht="12.75" customHeight="1">
      <c r="A11" s="949"/>
      <c r="B11" s="288"/>
      <c r="C11" s="950"/>
      <c r="D11" s="951"/>
      <c r="E11" s="633"/>
    </row>
    <row r="12" spans="1:5" ht="12.75" customHeight="1">
      <c r="A12" s="949"/>
      <c r="B12" s="288"/>
      <c r="C12" s="950"/>
      <c r="D12" s="951"/>
      <c r="E12" s="633"/>
    </row>
    <row r="13" spans="1:5" ht="12.75" customHeight="1">
      <c r="A13" s="949"/>
      <c r="B13" s="288"/>
      <c r="C13" s="952"/>
      <c r="D13" s="953"/>
      <c r="E13" s="633"/>
    </row>
    <row r="14" spans="1:5" ht="12.75" customHeight="1">
      <c r="A14" s="949"/>
      <c r="B14" s="288"/>
      <c r="C14" s="952"/>
      <c r="D14" s="953"/>
      <c r="E14" s="633"/>
    </row>
    <row r="15" spans="1:5" ht="12.75" customHeight="1">
      <c r="A15" s="949"/>
      <c r="B15" s="288"/>
      <c r="C15" s="952"/>
      <c r="D15" s="953"/>
      <c r="E15" s="633"/>
    </row>
    <row r="16" spans="1:5" ht="12.75" customHeight="1">
      <c r="A16" s="949"/>
      <c r="B16" s="288"/>
      <c r="C16" s="952"/>
      <c r="D16" s="953"/>
      <c r="E16" s="633"/>
    </row>
    <row r="17" spans="1:5" ht="12.75" customHeight="1">
      <c r="A17" s="949"/>
      <c r="B17" s="288"/>
      <c r="C17" s="952"/>
      <c r="D17" s="953"/>
      <c r="E17" s="633"/>
    </row>
    <row r="18" spans="1:5" ht="25.5" customHeight="1">
      <c r="A18" s="949"/>
      <c r="B18" s="288"/>
      <c r="C18" s="952"/>
      <c r="D18" s="953"/>
      <c r="E18" s="633"/>
    </row>
    <row r="19" spans="1:5" ht="12.75" customHeight="1">
      <c r="A19" s="949"/>
      <c r="B19" s="288"/>
      <c r="C19" s="952"/>
      <c r="D19" s="953"/>
      <c r="E19" s="633"/>
    </row>
  </sheetData>
  <hyperlinks>
    <hyperlink ref="A1" location="'Modelo de dominio'!A1" display="&lt;&lt;&lt;Modelo de Dominio" xr:uid="{00000000-0004-0000-3900-000000000000}"/>
    <hyperlink ref="B1" location="'Objetos de dominio'!A1" display="&lt;&lt;&lt;Objetos de Dominio" xr:uid="{00000000-0004-0000-3900-000001000000}"/>
    <hyperlink ref="B5" location="'M-Lote'!A1" display="Lote" xr:uid="{00000000-0004-0000-3900-000002000000}"/>
  </hyperlink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30B9A-E13D-4C8C-8455-04896E4C9E52}">
  <dimension ref="A1:WQJ32"/>
  <sheetViews>
    <sheetView zoomScale="59" workbookViewId="0">
      <selection activeCell="B32" sqref="B32"/>
    </sheetView>
  </sheetViews>
  <sheetFormatPr baseColWidth="10" defaultRowHeight="12.9"/>
  <cols>
    <col min="1" max="1" width="27.75" bestFit="1" customWidth="1"/>
    <col min="2" max="2" width="108.625" bestFit="1" customWidth="1"/>
    <col min="3" max="3" width="34.375" bestFit="1" customWidth="1"/>
    <col min="4" max="4" width="25.25" bestFit="1" customWidth="1"/>
    <col min="5" max="5" width="11.625" bestFit="1" customWidth="1"/>
    <col min="6" max="6" width="27" bestFit="1" customWidth="1"/>
    <col min="7" max="7" width="27.375" bestFit="1" customWidth="1"/>
    <col min="8" max="8" width="19.75" bestFit="1" customWidth="1"/>
    <col min="9" max="9" width="49.25" bestFit="1" customWidth="1"/>
    <col min="10" max="10" width="23.25" bestFit="1" customWidth="1"/>
    <col min="11" max="11" width="21.75" bestFit="1" customWidth="1"/>
    <col min="12" max="12" width="18.75" bestFit="1" customWidth="1"/>
    <col min="13" max="13" width="109.25" bestFit="1" customWidth="1"/>
    <col min="14" max="14" width="15.375" bestFit="1" customWidth="1"/>
    <col min="15" max="15" width="31.25" bestFit="1" customWidth="1"/>
    <col min="16" max="16" width="28.25" bestFit="1" customWidth="1"/>
    <col min="17" max="17" width="69.625" bestFit="1" customWidth="1"/>
    <col min="18" max="18" width="48.875" bestFit="1" customWidth="1"/>
    <col min="19" max="19" width="23.875" bestFit="1" customWidth="1"/>
    <col min="20" max="20" width="27.375" bestFit="1" customWidth="1"/>
    <col min="21" max="21" width="15.25" bestFit="1" customWidth="1"/>
    <col min="22" max="22" width="39.25" customWidth="1"/>
    <col min="23" max="23" width="22.125" bestFit="1" customWidth="1"/>
  </cols>
  <sheetData>
    <row r="1" spans="1:23" ht="18.7" customHeight="1">
      <c r="A1" s="76" t="s">
        <v>0</v>
      </c>
      <c r="B1" s="132" t="s">
        <v>1</v>
      </c>
      <c r="C1" s="25"/>
      <c r="D1" s="25"/>
      <c r="E1" s="25"/>
      <c r="F1" s="25"/>
      <c r="G1" s="25"/>
      <c r="H1" s="25"/>
      <c r="I1" s="25"/>
      <c r="J1" s="25"/>
      <c r="K1" s="25"/>
      <c r="L1" s="25"/>
      <c r="M1" s="25"/>
      <c r="N1" s="25"/>
      <c r="O1" s="25"/>
      <c r="P1" s="25"/>
      <c r="Q1" s="25"/>
      <c r="R1" s="25"/>
      <c r="S1" s="25"/>
      <c r="T1" s="25"/>
      <c r="U1" s="25"/>
    </row>
    <row r="2" spans="1:23" ht="14.95" customHeight="1">
      <c r="A2" s="7" t="s">
        <v>20</v>
      </c>
      <c r="B2" s="585" t="s">
        <v>60</v>
      </c>
    </row>
    <row r="3" spans="1:23" ht="14.95" customHeight="1">
      <c r="A3" s="459" t="s">
        <v>79</v>
      </c>
      <c r="B3" s="848" t="str">
        <f>HYPERLINK("#'Objetos de dominio'!B23", 'Objetos de dominio'!B24)</f>
        <v>SalidaLote representa el retiro efectivo de una cantidad de producto perteneciente a un lote, realizado por el usuario después de atender una alerta de proximidad al vencimiento. Atributos: Id, Lote, Cantidad y FechaMovimiento. Relación: Lote 1 — 0..1 SalidaLote (un lote puede tener como máximo un retiro; cada retiro pertenece a un único lote). La alerta no se almacena aquí: se calcula a partir de Lote.FechaVencimiento.</v>
      </c>
    </row>
    <row r="4" spans="1:23" ht="14.95" customHeight="1">
      <c r="A4" s="696" t="s">
        <v>80</v>
      </c>
      <c r="B4" s="750" t="s">
        <v>81</v>
      </c>
      <c r="C4" s="8" t="s">
        <v>82</v>
      </c>
      <c r="D4" s="8" t="s">
        <v>8</v>
      </c>
      <c r="E4" s="8" t="s">
        <v>14</v>
      </c>
      <c r="F4" s="8" t="s">
        <v>83</v>
      </c>
      <c r="G4" s="8" t="s">
        <v>84</v>
      </c>
      <c r="H4" s="8" t="s">
        <v>85</v>
      </c>
      <c r="I4" s="8" t="s">
        <v>86</v>
      </c>
      <c r="J4" s="8" t="s">
        <v>87</v>
      </c>
      <c r="K4" s="8" t="s">
        <v>88</v>
      </c>
      <c r="L4" s="8" t="s">
        <v>89</v>
      </c>
      <c r="M4" s="8" t="s">
        <v>90</v>
      </c>
      <c r="N4" s="8" t="s">
        <v>91</v>
      </c>
      <c r="O4" s="8" t="s">
        <v>92</v>
      </c>
      <c r="P4" s="8" t="s">
        <v>93</v>
      </c>
      <c r="Q4" s="8" t="s">
        <v>94</v>
      </c>
      <c r="R4" s="8" t="s">
        <v>95</v>
      </c>
      <c r="S4" s="8" t="s">
        <v>96</v>
      </c>
      <c r="T4" s="8" t="s">
        <v>97</v>
      </c>
      <c r="U4" s="480" t="s">
        <v>98</v>
      </c>
      <c r="V4" s="686" t="str">
        <f>HYPERLINK("#'C-SalidaLote'!A21", 'C-SalidaLote'!A21)</f>
        <v>Registrar salida de lote</v>
      </c>
      <c r="W4" s="936" t="str">
        <f>HYPERLINK("#'C-SalidaLote'!A26", 'C-SalidaLote'!A26)</f>
        <v>Consultar salida de lote</v>
      </c>
    </row>
    <row r="5" spans="1:23" ht="14.3" customHeight="1">
      <c r="A5" s="780" t="str">
        <f>HYPERLINK("#'M-SalidaLote'!A5", 'M-SalidaLote'!A5)</f>
        <v>Id</v>
      </c>
      <c r="B5" s="781" t="str">
        <f>HYPERLINK("#'M-SalidaLote'!A2", 'M-SalidaLote'!A2)</f>
        <v>Identificador único de cada retiro realizado sobre un lote.</v>
      </c>
      <c r="C5" s="697" t="s">
        <v>15</v>
      </c>
      <c r="D5" s="9" t="s">
        <v>99</v>
      </c>
      <c r="E5" s="9" t="s">
        <v>15</v>
      </c>
      <c r="F5" s="9"/>
      <c r="G5" s="9"/>
      <c r="H5" s="9"/>
      <c r="I5" s="9"/>
      <c r="J5" s="9"/>
      <c r="K5" s="9"/>
      <c r="L5" s="9"/>
      <c r="M5" s="9"/>
      <c r="N5" s="9" t="s">
        <v>100</v>
      </c>
      <c r="O5" s="9" t="s">
        <v>100</v>
      </c>
      <c r="P5" s="9"/>
      <c r="Q5" s="9" t="s">
        <v>100</v>
      </c>
      <c r="R5" s="9" t="s">
        <v>100</v>
      </c>
      <c r="S5" s="9" t="s">
        <v>100</v>
      </c>
      <c r="T5" s="9"/>
      <c r="U5" s="112" t="s">
        <v>15</v>
      </c>
      <c r="V5" s="684" t="s">
        <v>276</v>
      </c>
      <c r="W5" s="687" t="s">
        <v>101</v>
      </c>
    </row>
    <row r="6" spans="1:23" ht="14.3" customHeight="1">
      <c r="A6" s="780" t="str">
        <f>HYPERLINK("#'M-SalidaLote'!B5", 'M-SalidaLote'!B5)</f>
        <v>Lote</v>
      </c>
      <c r="B6" s="781" t="str">
        <f>HYPERLINK("#'M-SalidaLote'!B2", 'M-SalidaLote'!B2)</f>
        <v>Lote específico del cual se retira el producto.</v>
      </c>
      <c r="C6" s="697" t="s">
        <v>100</v>
      </c>
      <c r="D6" s="9" t="s">
        <v>12</v>
      </c>
      <c r="E6" s="9" t="s">
        <v>15</v>
      </c>
      <c r="F6" s="11"/>
      <c r="G6" s="12"/>
      <c r="H6" s="13"/>
      <c r="I6" s="9"/>
      <c r="J6" s="13"/>
      <c r="K6" s="9"/>
      <c r="L6" s="9"/>
      <c r="M6" s="9" t="s">
        <v>1308</v>
      </c>
      <c r="N6" s="9" t="s">
        <v>100</v>
      </c>
      <c r="O6" s="9" t="s">
        <v>100</v>
      </c>
      <c r="P6" s="9"/>
      <c r="Q6" s="13" t="s">
        <v>100</v>
      </c>
      <c r="R6" s="9" t="s">
        <v>100</v>
      </c>
      <c r="S6" s="9" t="s">
        <v>100</v>
      </c>
      <c r="T6" s="9"/>
      <c r="U6" s="112" t="s">
        <v>100</v>
      </c>
      <c r="V6" s="582" t="s">
        <v>101</v>
      </c>
      <c r="W6" s="557" t="s">
        <v>276</v>
      </c>
    </row>
    <row r="7" spans="1:23" s="614" customFormat="1" ht="14.3" customHeight="1">
      <c r="A7" s="780" t="str">
        <f>HYPERLINK("#'M-SalidaLote'!C5", 'M-SalidaLote'!C5)</f>
        <v>Cantidad</v>
      </c>
      <c r="B7" s="781" t="str">
        <f>HYPERLINK("#'M-SalidaLote'!C2", 'M-SalidaLote'!C2)</f>
        <v>Cantidad de producto que se retira efectivamente del lote.</v>
      </c>
      <c r="C7" s="697" t="s">
        <v>100</v>
      </c>
      <c r="D7" s="642" t="s">
        <v>13</v>
      </c>
      <c r="E7" s="642" t="s">
        <v>15</v>
      </c>
      <c r="F7" s="683"/>
      <c r="G7" s="643"/>
      <c r="H7" s="641">
        <v>4</v>
      </c>
      <c r="I7" s="642"/>
      <c r="J7" s="641" t="s">
        <v>104</v>
      </c>
      <c r="K7" s="642">
        <v>10000</v>
      </c>
      <c r="L7" s="642"/>
      <c r="M7" s="642" t="s">
        <v>1309</v>
      </c>
      <c r="N7" s="642" t="s">
        <v>100</v>
      </c>
      <c r="O7" s="642" t="s">
        <v>100</v>
      </c>
      <c r="P7" s="642"/>
      <c r="Q7" s="641" t="s">
        <v>100</v>
      </c>
      <c r="R7" s="642" t="s">
        <v>100</v>
      </c>
      <c r="S7" s="642" t="s">
        <v>100</v>
      </c>
      <c r="T7" s="642"/>
      <c r="U7" s="112" t="s">
        <v>100</v>
      </c>
      <c r="V7" s="582" t="s">
        <v>101</v>
      </c>
      <c r="W7" s="557" t="s">
        <v>276</v>
      </c>
    </row>
    <row r="8" spans="1:23" s="614" customFormat="1" ht="14.3" customHeight="1">
      <c r="A8" s="782" t="str">
        <f>HYPERLINK("#'M-SalidaLote'!D5", 'M-SalidaLote'!D5)</f>
        <v>FechaMovimiento</v>
      </c>
      <c r="B8" s="783" t="str">
        <f>HYPERLINK("#'M-SalidaLote'!D2", 'M-SalidaLote'!D2)</f>
        <v>Fecha en la que se realiza efectivamente el retiro del producto del lote por decisión del usuario.</v>
      </c>
      <c r="C8" s="697" t="s">
        <v>100</v>
      </c>
      <c r="D8" s="642" t="s">
        <v>9</v>
      </c>
      <c r="E8" s="642" t="s">
        <v>15</v>
      </c>
      <c r="F8" s="683"/>
      <c r="G8" s="643"/>
      <c r="H8" s="641"/>
      <c r="I8" s="642"/>
      <c r="J8" s="641"/>
      <c r="K8" s="642"/>
      <c r="L8" s="642" t="s">
        <v>107</v>
      </c>
      <c r="M8" s="642" t="s">
        <v>1310</v>
      </c>
      <c r="N8" s="642" t="s">
        <v>100</v>
      </c>
      <c r="O8" s="642" t="s">
        <v>100</v>
      </c>
      <c r="P8" s="642"/>
      <c r="Q8" s="641" t="s">
        <v>100</v>
      </c>
      <c r="R8" s="642" t="s">
        <v>100</v>
      </c>
      <c r="S8" s="642" t="s">
        <v>100</v>
      </c>
      <c r="T8" s="642"/>
      <c r="U8" s="112" t="s">
        <v>100</v>
      </c>
      <c r="V8" s="582" t="s">
        <v>101</v>
      </c>
      <c r="W8" s="557" t="s">
        <v>276</v>
      </c>
    </row>
    <row r="9" spans="1:23" ht="14.3" customHeight="1">
      <c r="A9" s="698"/>
      <c r="B9" s="698"/>
      <c r="C9" s="9"/>
      <c r="D9" s="9"/>
      <c r="E9" s="9"/>
      <c r="F9" s="11"/>
      <c r="G9" s="12"/>
      <c r="H9" s="13"/>
      <c r="I9" s="9"/>
      <c r="J9" s="13"/>
      <c r="K9" s="9"/>
      <c r="L9" s="9"/>
      <c r="M9" s="9"/>
      <c r="N9" s="9"/>
      <c r="O9" s="9"/>
      <c r="P9" s="9"/>
      <c r="Q9" s="13"/>
      <c r="R9" s="9"/>
      <c r="S9" s="9"/>
      <c r="T9" s="9"/>
      <c r="U9" s="112"/>
      <c r="V9" s="582"/>
      <c r="W9" s="954"/>
    </row>
    <row r="10" spans="1:23" ht="14.3" customHeight="1">
      <c r="A10" s="154"/>
      <c r="B10" s="155"/>
      <c r="C10" s="155"/>
      <c r="D10" s="155"/>
      <c r="E10" s="155"/>
      <c r="F10" s="156"/>
      <c r="G10" s="157"/>
      <c r="H10" s="154"/>
      <c r="I10" s="155"/>
      <c r="J10" s="154"/>
      <c r="K10" s="155"/>
      <c r="L10" s="155"/>
      <c r="M10" s="155"/>
      <c r="N10" s="155"/>
      <c r="O10" s="155"/>
      <c r="P10" s="155"/>
      <c r="Q10" s="154"/>
      <c r="R10" s="155"/>
      <c r="S10" s="155"/>
      <c r="T10" s="155"/>
      <c r="U10" s="155"/>
    </row>
    <row r="14" spans="1:23" ht="14.95" customHeight="1">
      <c r="A14" s="16" t="s">
        <v>109</v>
      </c>
      <c r="B14" s="16" t="s">
        <v>79</v>
      </c>
      <c r="C14" s="111" t="s">
        <v>110</v>
      </c>
    </row>
    <row r="15" spans="1:23" ht="14.3" customHeight="1">
      <c r="A15" s="391" t="s">
        <v>111</v>
      </c>
      <c r="B15" s="754" t="s">
        <v>1311</v>
      </c>
      <c r="C15" s="850" t="str">
        <f>HYPERLINK("#'C-SalidaLote'!A6", 'C-SalidaLote'!A6)</f>
        <v>Lote</v>
      </c>
    </row>
    <row r="18" spans="1:18 16000:16000" ht="13.75" customHeight="1"/>
    <row r="19" spans="1:18 16000:16000" ht="14.95" customHeight="1">
      <c r="A19" s="1116" t="s">
        <v>113</v>
      </c>
      <c r="B19" s="1077"/>
      <c r="C19" s="1116" t="s">
        <v>79</v>
      </c>
      <c r="D19" s="1076"/>
      <c r="E19" s="1076"/>
      <c r="F19" s="1077"/>
      <c r="G19" s="1116" t="s">
        <v>114</v>
      </c>
      <c r="H19" s="1123"/>
      <c r="I19" s="1124"/>
      <c r="J19" s="1132" t="s">
        <v>115</v>
      </c>
      <c r="K19" s="1123"/>
      <c r="L19" s="1123"/>
      <c r="M19" s="1123"/>
      <c r="N19" s="1124"/>
      <c r="O19" s="1132" t="s">
        <v>116</v>
      </c>
      <c r="P19" s="1124"/>
      <c r="Q19" s="1132" t="s">
        <v>117</v>
      </c>
      <c r="R19" s="1124"/>
    </row>
    <row r="20" spans="1:18 16000:16000" ht="30.25" customHeight="1">
      <c r="A20" s="1086"/>
      <c r="B20" s="1087"/>
      <c r="C20" s="1086"/>
      <c r="D20" s="970"/>
      <c r="E20" s="970"/>
      <c r="F20" s="1087"/>
      <c r="G20" s="926" t="s">
        <v>118</v>
      </c>
      <c r="H20" s="926" t="s">
        <v>8</v>
      </c>
      <c r="I20" s="926" t="s">
        <v>79</v>
      </c>
      <c r="J20" s="691" t="s">
        <v>119</v>
      </c>
      <c r="K20" s="1595" t="s">
        <v>79</v>
      </c>
      <c r="L20" s="1076"/>
      <c r="M20" s="1076"/>
      <c r="N20" s="1077"/>
      <c r="O20" s="691" t="s">
        <v>120</v>
      </c>
      <c r="P20" s="691" t="s">
        <v>79</v>
      </c>
      <c r="Q20" s="691" t="s">
        <v>121</v>
      </c>
      <c r="R20" s="691" t="s">
        <v>122</v>
      </c>
    </row>
    <row r="21" spans="1:18 16000:16000" ht="50.95" customHeight="1">
      <c r="A21" s="1615" t="str">
        <f>HYPERLINK("#'C-SalidaLote'!V4", 'E-SalidaLote'!B7)</f>
        <v>Registrar salida de lote</v>
      </c>
      <c r="B21" s="1615"/>
      <c r="C21" s="1122" t="str">
        <f>'E-SalidaLote'!C7</f>
        <v>Registra el retiro de una cantidad de un lote proximo a vencer, despues de atender la alerta de vencimiento.</v>
      </c>
      <c r="D21" s="1122"/>
      <c r="E21" s="1122"/>
      <c r="F21" s="1122"/>
      <c r="G21" s="1616" t="s">
        <v>123</v>
      </c>
      <c r="H21" s="1616" t="s">
        <v>60</v>
      </c>
      <c r="I21" s="1617" t="s">
        <v>1312</v>
      </c>
      <c r="J21" s="1615" t="s">
        <v>60</v>
      </c>
      <c r="K21" s="977" t="s">
        <v>1313</v>
      </c>
      <c r="L21" s="977"/>
      <c r="M21" s="977"/>
      <c r="N21" s="977"/>
      <c r="O21" s="932" t="str">
        <f>HYPERLINK("#'P-SalidaLote'!A5", 'P-SalidaLote'!A5)</f>
        <v>P-SL-001</v>
      </c>
      <c r="P21" s="512" t="str">
        <f>'P-SalidaLote'!B5</f>
        <v>Asegurar que los datos requeridos para registrar la salida de lote sean validos.</v>
      </c>
      <c r="Q21" s="512" t="s">
        <v>1314</v>
      </c>
      <c r="R21" s="512" t="s">
        <v>127</v>
      </c>
    </row>
    <row r="22" spans="1:18 16000:16000" s="614" customFormat="1" ht="50.95" customHeight="1">
      <c r="A22" s="1615"/>
      <c r="B22" s="1615"/>
      <c r="C22" s="1122"/>
      <c r="D22" s="1122"/>
      <c r="E22" s="1122"/>
      <c r="F22" s="1122"/>
      <c r="G22" s="1616"/>
      <c r="H22" s="1616"/>
      <c r="I22" s="1617"/>
      <c r="J22" s="1615"/>
      <c r="K22" s="977"/>
      <c r="L22" s="977"/>
      <c r="M22" s="977"/>
      <c r="N22" s="977"/>
      <c r="O22" s="932" t="str">
        <f>HYPERLINK("#'P-SalidaLote'!A6", 'P-SalidaLote'!A6)</f>
        <v>P-SL-002</v>
      </c>
      <c r="P22" s="512" t="str">
        <f>'P-SalidaLote'!B6</f>
        <v>Asegurar que el lote exista y tenga saldo disponible.</v>
      </c>
      <c r="Q22" s="512" t="s">
        <v>1315</v>
      </c>
      <c r="R22" s="512" t="s">
        <v>1316</v>
      </c>
      <c r="WQJ22"/>
    </row>
    <row r="23" spans="1:18 16000:16000" s="614" customFormat="1" ht="50.95" customHeight="1">
      <c r="A23" s="1615"/>
      <c r="B23" s="1615"/>
      <c r="C23" s="1122"/>
      <c r="D23" s="1122"/>
      <c r="E23" s="1122"/>
      <c r="F23" s="1122"/>
      <c r="G23" s="1616"/>
      <c r="H23" s="1616"/>
      <c r="I23" s="1617"/>
      <c r="J23" s="1615"/>
      <c r="K23" s="977"/>
      <c r="L23" s="977"/>
      <c r="M23" s="977"/>
      <c r="N23" s="977"/>
      <c r="O23" s="932" t="str">
        <f>HYPERLINK("#'P-SalidaLote'!A7", 'P-SalidaLote'!A7)</f>
        <v>P-SL-003</v>
      </c>
      <c r="P23" s="512" t="str">
        <f>'P-SalidaLote'!B7</f>
        <v>Asegurar que la cantidad a retirar no supere el saldo del lote.</v>
      </c>
      <c r="Q23" s="512" t="s">
        <v>1317</v>
      </c>
      <c r="R23" s="512" t="s">
        <v>1318</v>
      </c>
      <c r="WQJ23"/>
    </row>
    <row r="24" spans="1:18 16000:16000" s="614" customFormat="1" ht="50.95" customHeight="1">
      <c r="A24" s="1615"/>
      <c r="B24" s="1615"/>
      <c r="C24" s="1122"/>
      <c r="D24" s="1122"/>
      <c r="E24" s="1122"/>
      <c r="F24" s="1122"/>
      <c r="G24" s="1616"/>
      <c r="H24" s="1616"/>
      <c r="I24" s="1617"/>
      <c r="J24" s="1615"/>
      <c r="K24" s="977"/>
      <c r="L24" s="977"/>
      <c r="M24" s="977"/>
      <c r="N24" s="977"/>
      <c r="O24" s="932" t="str">
        <f>HYPERLINK("#'P-SalidaLote'!A8", 'P-SalidaLote'!A8)</f>
        <v>P-SL-004</v>
      </c>
      <c r="P24" s="512" t="str">
        <f>'P-SalidaLote'!B8</f>
        <v>Asegurar que el lote no tenga otra salida registrada.</v>
      </c>
      <c r="Q24" s="512" t="s">
        <v>1319</v>
      </c>
      <c r="R24" s="512" t="s">
        <v>1320</v>
      </c>
      <c r="WQJ24"/>
    </row>
    <row r="25" spans="1:18 16000:16000" s="614" customFormat="1" ht="50.95" customHeight="1">
      <c r="A25" s="1615"/>
      <c r="B25" s="1615"/>
      <c r="C25" s="1122"/>
      <c r="D25" s="1122"/>
      <c r="E25" s="1122"/>
      <c r="F25" s="1122"/>
      <c r="G25" s="1616"/>
      <c r="H25" s="1616"/>
      <c r="I25" s="1617"/>
      <c r="J25" s="1615"/>
      <c r="K25" s="977"/>
      <c r="L25" s="977"/>
      <c r="M25" s="977"/>
      <c r="N25" s="977"/>
      <c r="O25" s="932" t="str">
        <f>HYPERLINK("#'P-SalidaLote'!A10", 'P-SalidaLote'!A10)</f>
        <v>P-SL-006</v>
      </c>
      <c r="P25" s="512" t="str">
        <f>'P-SalidaLote'!B10</f>
        <v>Al registrar una salida de lote se descuenta la cantidad del saldo del lote y de la cantidad total del inventario del producto interno; no genera movimiento de inventario.</v>
      </c>
      <c r="Q25" s="512" t="s">
        <v>1679</v>
      </c>
      <c r="R25" s="512" t="s">
        <v>1442</v>
      </c>
      <c r="WQJ25"/>
    </row>
    <row r="26" spans="1:18 16000:16000" s="614" customFormat="1" ht="50.95" customHeight="1">
      <c r="A26" s="1613" t="str">
        <f>HYPERLINK("#'C-SalidaLote'!W4", 'E-SalidaLote'!B12)</f>
        <v>Consultar salida de lote</v>
      </c>
      <c r="B26" s="1613"/>
      <c r="C26" s="1613" t="str">
        <f>'E-SalidaLote'!C12</f>
        <v>Permite consultar un retiro registrado sobre un lote.</v>
      </c>
      <c r="D26" s="1613"/>
      <c r="E26" s="1613"/>
      <c r="F26" s="1613"/>
      <c r="G26" s="933" t="s">
        <v>16</v>
      </c>
      <c r="H26" s="933" t="s">
        <v>299</v>
      </c>
      <c r="I26" s="934" t="s">
        <v>1321</v>
      </c>
      <c r="J26" s="935" t="s">
        <v>60</v>
      </c>
      <c r="K26" s="1614" t="s">
        <v>1322</v>
      </c>
      <c r="L26" s="1614"/>
      <c r="M26" s="1614"/>
      <c r="N26" s="1614"/>
      <c r="O26" s="793" t="str">
        <f>HYPERLINK("#'P-SalidaLote'!A9", 'P-SalidaLote'!A9)</f>
        <v>P-SL-005</v>
      </c>
      <c r="P26" s="587" t="str">
        <f>'P-SalidaLote'!B9</f>
        <v>Asegurar que la salida de lote exista con el identificador indicado.</v>
      </c>
      <c r="Q26" s="587" t="s">
        <v>1323</v>
      </c>
      <c r="R26" s="587" t="s">
        <v>1324</v>
      </c>
      <c r="WQJ26"/>
    </row>
    <row r="27" spans="1:18 16000:16000">
      <c r="O27" s="439"/>
    </row>
    <row r="28" spans="1:18 16000:16000">
      <c r="A28" s="375"/>
      <c r="B28" s="375"/>
      <c r="C28" s="375"/>
      <c r="D28" s="375"/>
      <c r="E28" s="375"/>
      <c r="F28" s="375"/>
      <c r="G28" s="375"/>
      <c r="H28" s="375"/>
      <c r="I28" s="375"/>
      <c r="J28" s="375"/>
      <c r="K28" s="375"/>
      <c r="L28" s="375"/>
      <c r="M28" s="375"/>
      <c r="N28" s="375"/>
      <c r="O28" s="352"/>
      <c r="P28" s="353"/>
      <c r="Q28" s="375"/>
      <c r="R28" s="375"/>
    </row>
    <row r="29" spans="1:18 16000:16000">
      <c r="A29" s="354"/>
      <c r="B29" s="375"/>
      <c r="C29" s="352"/>
      <c r="D29" s="375"/>
      <c r="E29" s="375"/>
      <c r="F29" s="375"/>
      <c r="G29" s="354"/>
      <c r="H29" s="354"/>
      <c r="I29" s="352"/>
      <c r="J29" s="352"/>
      <c r="K29" s="352"/>
      <c r="L29" s="375"/>
      <c r="M29" s="375"/>
      <c r="N29" s="375"/>
      <c r="O29" s="352"/>
      <c r="P29" s="353"/>
      <c r="Q29" s="353"/>
      <c r="R29" s="353"/>
    </row>
    <row r="30" spans="1:18 16000:16000">
      <c r="A30" s="375"/>
      <c r="B30" s="375"/>
      <c r="C30" s="375"/>
      <c r="D30" s="375"/>
      <c r="E30" s="375"/>
      <c r="F30" s="375"/>
      <c r="G30" s="375"/>
      <c r="H30" s="375"/>
      <c r="I30" s="375"/>
      <c r="J30" s="375"/>
      <c r="K30" s="375"/>
      <c r="L30" s="375"/>
      <c r="M30" s="375"/>
      <c r="N30" s="375"/>
      <c r="O30" s="352"/>
      <c r="P30" s="353"/>
      <c r="Q30" s="375"/>
      <c r="R30" s="375"/>
    </row>
    <row r="31" spans="1:18 16000:16000">
      <c r="A31" s="354"/>
      <c r="B31" s="375"/>
      <c r="C31" s="352"/>
      <c r="D31" s="375"/>
      <c r="E31" s="375"/>
      <c r="F31" s="375"/>
      <c r="G31" s="354"/>
      <c r="H31" s="354"/>
      <c r="I31" s="352"/>
      <c r="J31" s="352"/>
      <c r="K31" s="352"/>
      <c r="L31" s="375"/>
      <c r="M31" s="375"/>
      <c r="N31" s="375"/>
      <c r="O31" s="352"/>
      <c r="P31" s="353"/>
      <c r="Q31" s="353"/>
      <c r="R31" s="353"/>
    </row>
    <row r="32" spans="1:18 16000:16000">
      <c r="A32" s="375"/>
      <c r="B32" s="375"/>
      <c r="C32" s="375"/>
      <c r="D32" s="375"/>
      <c r="E32" s="375"/>
      <c r="F32" s="375"/>
      <c r="G32" s="375"/>
      <c r="H32" s="375"/>
      <c r="I32" s="375"/>
      <c r="J32" s="375"/>
      <c r="K32" s="375"/>
      <c r="L32" s="375"/>
      <c r="M32" s="375"/>
      <c r="N32" s="375"/>
      <c r="O32" s="352"/>
      <c r="P32" s="353"/>
      <c r="Q32" s="375"/>
      <c r="R32" s="375"/>
    </row>
  </sheetData>
  <mergeCells count="17">
    <mergeCell ref="Q19:R19"/>
    <mergeCell ref="K20:N20"/>
    <mergeCell ref="A19:B20"/>
    <mergeCell ref="C19:F20"/>
    <mergeCell ref="G19:I19"/>
    <mergeCell ref="J19:N19"/>
    <mergeCell ref="O19:P19"/>
    <mergeCell ref="I21:I25"/>
    <mergeCell ref="J21:J25"/>
    <mergeCell ref="A26:B26"/>
    <mergeCell ref="C26:F26"/>
    <mergeCell ref="K26:N26"/>
    <mergeCell ref="A21:B25"/>
    <mergeCell ref="C21:F25"/>
    <mergeCell ref="K21:N25"/>
    <mergeCell ref="G21:G25"/>
    <mergeCell ref="H21:H25"/>
  </mergeCells>
  <hyperlinks>
    <hyperlink ref="A1" location="'Modelo de dominio'!A1" display="&lt;&lt;&lt;Modelo de Dominio" xr:uid="{2C4E261F-B16F-403E-8CA5-943F204AD144}"/>
    <hyperlink ref="B1" location="'Objetos de dominio'!A1" display="&lt;&lt;&lt;Objetos de Dominio" xr:uid="{768F9041-43BA-4257-922B-437B2D0725AD}"/>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854E-9573-4439-9411-9711E9B6E20B}">
  <dimension ref="A1:WQJ15"/>
  <sheetViews>
    <sheetView workbookViewId="0">
      <selection activeCell="H20" sqref="H20"/>
    </sheetView>
  </sheetViews>
  <sheetFormatPr baseColWidth="10" defaultRowHeight="12.9"/>
  <cols>
    <col min="1" max="1" width="17" bestFit="1" customWidth="1"/>
    <col min="2" max="2" width="24.375" bestFit="1" customWidth="1"/>
    <col min="3" max="3" width="73.125" bestFit="1" customWidth="1"/>
    <col min="4" max="4" width="26.375" bestFit="1" customWidth="1"/>
    <col min="5" max="6" width="10.375" bestFit="1" customWidth="1"/>
    <col min="7" max="7" width="17.375" bestFit="1" customWidth="1"/>
    <col min="8" max="8" width="13.75" bestFit="1" customWidth="1"/>
    <col min="9" max="9" width="25.625" bestFit="1" customWidth="1"/>
    <col min="10" max="10" width="19.875" bestFit="1" customWidth="1"/>
  </cols>
  <sheetData>
    <row r="1" spans="1:10 16000:16000" ht="18.7" customHeight="1">
      <c r="A1" s="49" t="s">
        <v>0</v>
      </c>
      <c r="B1" s="50" t="s">
        <v>1</v>
      </c>
      <c r="C1" s="73"/>
      <c r="D1" s="73"/>
      <c r="E1" s="73"/>
      <c r="F1" s="73"/>
      <c r="G1" s="73"/>
      <c r="H1" s="73"/>
      <c r="I1" s="73"/>
      <c r="J1" s="73"/>
    </row>
    <row r="2" spans="1:10 16000:16000" ht="13.75" customHeight="1">
      <c r="A2" s="333" t="s">
        <v>209</v>
      </c>
      <c r="B2" s="1147" t="s">
        <v>60</v>
      </c>
      <c r="C2" s="1123"/>
      <c r="D2" s="1123"/>
      <c r="E2" s="1123"/>
      <c r="F2" s="1123"/>
      <c r="G2" s="1123"/>
      <c r="H2" s="1123"/>
      <c r="I2" s="1123"/>
      <c r="J2" s="1124"/>
    </row>
    <row r="3" spans="1:10 16000:16000" ht="13.75" customHeight="1">
      <c r="A3" s="334" t="s">
        <v>210</v>
      </c>
      <c r="B3" s="1148" t="str">
        <f>'C-SalidaLote'!B3</f>
        <v>SalidaLote representa el retiro efectivo de una cantidad de producto perteneciente a un lote, realizado por el usuario después de atender una alerta de proximidad al vencimiento. Atributos: Id, Lote, Cantidad y FechaMovimiento. Relación: Lote 1 — 0..1 SalidaLote (un lote puede tener como máximo un retiro; cada retiro pertenece a un único lote). La alerta no se almacena aquí: se calcula a partir de Lote.FechaVencimiento.</v>
      </c>
      <c r="C3" s="1123"/>
      <c r="D3" s="1123"/>
      <c r="E3" s="1123"/>
      <c r="F3" s="1123"/>
      <c r="G3" s="1123"/>
      <c r="H3" s="1123"/>
      <c r="I3" s="1123"/>
      <c r="J3" s="1124"/>
    </row>
    <row r="4" spans="1:10 16000:16000" ht="13.75" customHeight="1">
      <c r="A4" s="355" t="s">
        <v>211</v>
      </c>
      <c r="B4" s="1151" t="s">
        <v>212</v>
      </c>
      <c r="C4" s="1124"/>
      <c r="D4" s="356" t="s">
        <v>213</v>
      </c>
      <c r="E4" s="1142" t="s">
        <v>214</v>
      </c>
      <c r="F4" s="1124"/>
      <c r="G4" s="357" t="s">
        <v>215</v>
      </c>
      <c r="H4" s="358" t="s">
        <v>216</v>
      </c>
      <c r="I4" s="359" t="s">
        <v>217</v>
      </c>
      <c r="J4" s="360" t="s">
        <v>218</v>
      </c>
    </row>
    <row r="5" spans="1:10 16000:16000" ht="13.75" customHeight="1">
      <c r="A5" s="355" t="s">
        <v>211</v>
      </c>
      <c r="B5" s="604" t="s">
        <v>219</v>
      </c>
      <c r="C5" s="604" t="s">
        <v>79</v>
      </c>
      <c r="D5" s="356" t="s">
        <v>220</v>
      </c>
      <c r="E5" s="1142" t="s">
        <v>221</v>
      </c>
      <c r="F5" s="1124"/>
      <c r="G5" s="357" t="s">
        <v>222</v>
      </c>
      <c r="H5" s="358" t="s">
        <v>223</v>
      </c>
      <c r="I5" s="359" t="s">
        <v>224</v>
      </c>
      <c r="J5" s="360" t="s">
        <v>225</v>
      </c>
    </row>
    <row r="6" spans="1:10 16000:16000" ht="13.75" customHeight="1">
      <c r="A6" s="857"/>
      <c r="B6" s="857"/>
      <c r="C6" s="857"/>
      <c r="D6" s="857"/>
      <c r="E6" s="955" t="s">
        <v>226</v>
      </c>
      <c r="F6" s="955" t="s">
        <v>79</v>
      </c>
      <c r="G6" s="699" t="s">
        <v>227</v>
      </c>
      <c r="H6" s="857"/>
      <c r="I6" s="857"/>
      <c r="J6" s="857"/>
    </row>
    <row r="7" spans="1:10 16000:16000" ht="12.9" customHeight="1">
      <c r="A7" s="1136" t="s">
        <v>228</v>
      </c>
      <c r="B7" s="1136" t="s">
        <v>1325</v>
      </c>
      <c r="C7" s="1136" t="s">
        <v>1326</v>
      </c>
      <c r="D7" s="1136" t="s">
        <v>60</v>
      </c>
      <c r="E7" s="1136" t="s">
        <v>1327</v>
      </c>
      <c r="F7" s="1136" t="s">
        <v>1328</v>
      </c>
      <c r="G7" s="795" t="str">
        <f>HYPERLINK("#'P-SalidaLote'!A5", "P-SL-001")</f>
        <v>P-SL-001</v>
      </c>
      <c r="H7" s="1136"/>
      <c r="I7" s="1136" t="s">
        <v>1329</v>
      </c>
      <c r="J7" s="1136"/>
    </row>
    <row r="8" spans="1:10 16000:16000">
      <c r="A8" s="1136"/>
      <c r="B8" s="1136"/>
      <c r="C8" s="1136"/>
      <c r="D8" s="1136"/>
      <c r="E8" s="1136"/>
      <c r="F8" s="1136"/>
      <c r="G8" s="795" t="str">
        <f>HYPERLINK("#'P-SalidaLote'!A6", "P-SL-002")</f>
        <v>P-SL-002</v>
      </c>
      <c r="H8" s="1136"/>
      <c r="I8" s="1136"/>
      <c r="J8" s="1136"/>
    </row>
    <row r="9" spans="1:10 16000:16000" s="614" customFormat="1">
      <c r="A9" s="1136"/>
      <c r="B9" s="1136"/>
      <c r="C9" s="1136"/>
      <c r="D9" s="1136"/>
      <c r="E9" s="1136"/>
      <c r="F9" s="1136"/>
      <c r="G9" s="795" t="str">
        <f>HYPERLINK("#'P-SalidaLote'!A7", "P-SL-003")</f>
        <v>P-SL-003</v>
      </c>
      <c r="H9" s="1136"/>
      <c r="I9" s="1136"/>
      <c r="J9" s="1136"/>
      <c r="WQJ9"/>
    </row>
    <row r="10" spans="1:10 16000:16000" s="614" customFormat="1">
      <c r="A10" s="1136"/>
      <c r="B10" s="1136"/>
      <c r="C10" s="1136"/>
      <c r="D10" s="1136"/>
      <c r="E10" s="1136"/>
      <c r="F10" s="1136"/>
      <c r="G10" s="795" t="str">
        <f>HYPERLINK("#'P-SalidaLote'!A8", "P-SL-004")</f>
        <v>P-SL-004</v>
      </c>
      <c r="H10" s="1136"/>
      <c r="I10" s="1136"/>
      <c r="J10" s="1136"/>
      <c r="WQJ10"/>
    </row>
    <row r="11" spans="1:10 16000:16000" s="614" customFormat="1">
      <c r="A11" s="1136"/>
      <c r="B11" s="1136"/>
      <c r="C11" s="1136"/>
      <c r="D11" s="1136"/>
      <c r="E11" s="1136"/>
      <c r="F11" s="1136"/>
      <c r="G11" s="795" t="str">
        <f>HYPERLINK("#'P-SalidaLote'!A10", "P-SL-006")</f>
        <v>P-SL-006</v>
      </c>
      <c r="H11" s="1136"/>
      <c r="I11" s="1136"/>
      <c r="J11" s="1136"/>
      <c r="WQJ11"/>
    </row>
    <row r="12" spans="1:10 16000:16000" s="614" customFormat="1" ht="64.55">
      <c r="A12" s="944" t="s">
        <v>228</v>
      </c>
      <c r="B12" s="944" t="s">
        <v>1330</v>
      </c>
      <c r="C12" s="944" t="s">
        <v>1331</v>
      </c>
      <c r="D12" s="944" t="s">
        <v>60</v>
      </c>
      <c r="E12" s="944" t="s">
        <v>1332</v>
      </c>
      <c r="F12" s="944" t="s">
        <v>1333</v>
      </c>
      <c r="G12" s="876" t="str">
        <f>HYPERLINK("#'P-SalidaLote'!A9", "P-SL-005")</f>
        <v>P-SL-005</v>
      </c>
      <c r="H12" s="944"/>
      <c r="I12" s="944" t="s">
        <v>1334</v>
      </c>
      <c r="J12" s="944"/>
      <c r="WQJ12"/>
    </row>
    <row r="13" spans="1:10 16000:16000">
      <c r="A13" s="367"/>
      <c r="B13" s="367"/>
      <c r="C13" s="367"/>
      <c r="D13" s="367"/>
      <c r="E13" s="367"/>
      <c r="F13" s="367"/>
      <c r="G13" s="368"/>
      <c r="H13" s="367"/>
      <c r="I13" s="367"/>
      <c r="J13" s="367"/>
    </row>
    <row r="14" spans="1:10 16000:16000">
      <c r="A14" s="375"/>
      <c r="B14" s="375"/>
      <c r="C14" s="375"/>
      <c r="D14" s="375"/>
      <c r="E14" s="375"/>
      <c r="F14" s="375"/>
      <c r="G14" s="368"/>
      <c r="H14" s="375"/>
      <c r="I14" s="375"/>
      <c r="J14" s="375"/>
    </row>
    <row r="15" spans="1:10 16000:16000">
      <c r="A15" s="367"/>
      <c r="B15" s="367"/>
      <c r="C15" s="367"/>
      <c r="D15" s="367"/>
      <c r="E15" s="367"/>
      <c r="F15" s="367"/>
      <c r="G15" s="368"/>
      <c r="H15" s="367"/>
      <c r="I15" s="367"/>
      <c r="J15" s="367"/>
    </row>
  </sheetData>
  <mergeCells count="14">
    <mergeCell ref="A7:A11"/>
    <mergeCell ref="B7:B11"/>
    <mergeCell ref="C7:C11"/>
    <mergeCell ref="J7:J11"/>
    <mergeCell ref="B2:J2"/>
    <mergeCell ref="B3:J3"/>
    <mergeCell ref="B4:C4"/>
    <mergeCell ref="E4:F4"/>
    <mergeCell ref="E5:F5"/>
    <mergeCell ref="D7:D11"/>
    <mergeCell ref="E7:E11"/>
    <mergeCell ref="F7:F11"/>
    <mergeCell ref="H7:H11"/>
    <mergeCell ref="I7:I11"/>
  </mergeCells>
  <hyperlinks>
    <hyperlink ref="A1" location="'Modelo de dominio'!A1" display="&lt;&lt;&lt;Modelo de Dominio" xr:uid="{3E590A02-4736-4273-B39F-6A711924FD62}"/>
    <hyperlink ref="B1" location="'Objetos de dominio'!A1" display="&lt;&lt;&lt;Objetos de Dominio" xr:uid="{72F558E9-87FB-4B2A-A387-2FB6E4FC2F53}"/>
    <hyperlink ref="B3" location="'Objetos de dominio'!B24" display="Objeto de dominio que representa la clasificacion de cada movimiento de inventario, indicando si corresponde a una entrada o una salida de existencias." xr:uid="{25E5E64A-AE49-4A5C-BBA1-4F951BD3052F}"/>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3477-0511-48EC-BC4D-2543CB04D1E8}">
  <dimension ref="A1:D10"/>
  <sheetViews>
    <sheetView workbookViewId="0">
      <selection activeCell="B20" sqref="B20"/>
    </sheetView>
  </sheetViews>
  <sheetFormatPr baseColWidth="10" defaultRowHeight="12.9"/>
  <cols>
    <col min="1" max="1" width="17.625" bestFit="1" customWidth="1"/>
    <col min="2" max="2" width="136.875" bestFit="1" customWidth="1"/>
    <col min="3" max="3" width="19.5" bestFit="1" customWidth="1"/>
    <col min="4" max="4" width="19.125" bestFit="1" customWidth="1"/>
  </cols>
  <sheetData>
    <row r="1" spans="1:4">
      <c r="A1" s="49" t="s">
        <v>0</v>
      </c>
      <c r="B1" s="50" t="s">
        <v>1</v>
      </c>
      <c r="C1" s="73"/>
      <c r="D1" s="73"/>
    </row>
    <row r="2" spans="1:4" ht="13.6">
      <c r="A2" s="189" t="s">
        <v>233</v>
      </c>
      <c r="B2" s="1143" t="s">
        <v>60</v>
      </c>
      <c r="C2" s="1144"/>
      <c r="D2" s="540"/>
    </row>
    <row r="3" spans="1:4" ht="13.6">
      <c r="A3" s="190" t="s">
        <v>21</v>
      </c>
      <c r="B3" s="1111" t="str">
        <f>'C-SalidaLote'!B3</f>
        <v>SalidaLote representa el retiro efectivo de una cantidad de producto perteneciente a un lote, realizado por el usuario después de atender una alerta de proximidad al vencimiento. Atributos: Id, Lote, Cantidad y FechaMovimiento. Relación: Lote 1 — 0..1 SalidaLote (un lote puede tener como máximo un retiro; cada retiro pertenece a un único lote). La alerta no se almacena aquí: se calcula a partir de Lote.FechaVencimiento.</v>
      </c>
      <c r="C3" s="1033"/>
      <c r="D3" s="541"/>
    </row>
    <row r="4" spans="1:4" ht="13.6">
      <c r="A4" s="191" t="s">
        <v>234</v>
      </c>
      <c r="B4" s="55" t="s">
        <v>235</v>
      </c>
      <c r="C4" s="55" t="s">
        <v>236</v>
      </c>
      <c r="D4" s="192" t="s">
        <v>237</v>
      </c>
    </row>
    <row r="5" spans="1:4">
      <c r="A5" s="193" t="s">
        <v>1335</v>
      </c>
      <c r="B5" s="114" t="s">
        <v>1336</v>
      </c>
      <c r="C5" s="114" t="s">
        <v>60</v>
      </c>
      <c r="D5" s="194"/>
    </row>
    <row r="6" spans="1:4">
      <c r="A6" s="193" t="s">
        <v>1337</v>
      </c>
      <c r="B6" s="114" t="s">
        <v>1338</v>
      </c>
      <c r="C6" s="114" t="s">
        <v>12</v>
      </c>
      <c r="D6" s="194" t="str">
        <f>HYPERLINK("#'P-Lote'!A12", 'P-Lote'!A12)</f>
        <v>P-LOT-008</v>
      </c>
    </row>
    <row r="7" spans="1:4">
      <c r="A7" s="193" t="s">
        <v>1339</v>
      </c>
      <c r="B7" s="114" t="s">
        <v>1340</v>
      </c>
      <c r="C7" s="114" t="s">
        <v>12</v>
      </c>
      <c r="D7" s="194"/>
    </row>
    <row r="8" spans="1:4">
      <c r="A8" s="193" t="s">
        <v>1341</v>
      </c>
      <c r="B8" s="114" t="s">
        <v>1342</v>
      </c>
      <c r="C8" s="114" t="s">
        <v>60</v>
      </c>
      <c r="D8" s="194"/>
    </row>
    <row r="9" spans="1:4">
      <c r="A9" s="193" t="s">
        <v>1343</v>
      </c>
      <c r="B9" s="114" t="s">
        <v>1344</v>
      </c>
      <c r="C9" s="114" t="s">
        <v>60</v>
      </c>
      <c r="D9" s="194"/>
    </row>
    <row r="10" spans="1:4">
      <c r="A10" s="193" t="s">
        <v>1739</v>
      </c>
      <c r="B10" s="114" t="s">
        <v>1740</v>
      </c>
      <c r="C10" s="114" t="s">
        <v>12</v>
      </c>
      <c r="D10" s="194" t="str">
        <f>HYPERLINK("#'P-Lote'!A11", 'P-Lote'!A11)</f>
        <v>P-LOT-007</v>
      </c>
    </row>
  </sheetData>
  <mergeCells count="2">
    <mergeCell ref="B2:C2"/>
    <mergeCell ref="B3:C3"/>
  </mergeCells>
  <hyperlinks>
    <hyperlink ref="A1" location="'Modelo de dominio'!A1" display="&lt;&lt;&lt;Modelo de Dominio" xr:uid="{D064C64A-C88E-4986-9B8C-A615D27A46A2}"/>
    <hyperlink ref="B1" location="'Objetos de dominio'!A1" display="&lt;&lt;&lt;Objetos de Dominio" xr:uid="{8FEDD087-A98D-4B2A-B2B9-07D030E2DC5D}"/>
    <hyperlink ref="B3" location="'Objetos de dominio'!B24" display="Objeto de dominio que representa la clasificacion de cada movimiento de inventario, indicando si corresponde a una entrada o una salida de existencias." xr:uid="{146AB565-E136-4C7C-B5E9-C52CD72D773E}"/>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37C0-9A70-4D14-820B-FCC51911C19E}">
  <sheetPr>
    <tabColor rgb="FF00FF00"/>
    <outlinePr summaryBelow="0" summaryRight="0"/>
  </sheetPr>
  <dimension ref="A1:F9"/>
  <sheetViews>
    <sheetView workbookViewId="0"/>
  </sheetViews>
  <sheetFormatPr baseColWidth="10" defaultColWidth="12.625" defaultRowHeight="15.8" customHeight="1"/>
  <cols>
    <col min="1" max="1" width="18.375" customWidth="1"/>
    <col min="2" max="2" width="21.75" customWidth="1"/>
    <col min="3" max="3" width="21.75" style="614" customWidth="1"/>
    <col min="4" max="4" width="24.875" customWidth="1"/>
    <col min="5" max="5" width="24.875" style="614" customWidth="1"/>
    <col min="6" max="6" width="23" customWidth="1"/>
  </cols>
  <sheetData>
    <row r="1" spans="1:6" ht="12.75" customHeight="1">
      <c r="A1" s="76" t="s">
        <v>0</v>
      </c>
      <c r="B1" s="132" t="s">
        <v>1</v>
      </c>
      <c r="C1" s="225"/>
      <c r="D1" s="82"/>
      <c r="E1" s="640"/>
      <c r="F1" s="82"/>
    </row>
    <row r="2" spans="1:6" ht="62.5" customHeight="1">
      <c r="A2" s="232" t="s">
        <v>1206</v>
      </c>
      <c r="B2" s="232" t="s">
        <v>1207</v>
      </c>
      <c r="C2" s="232" t="s">
        <v>1208</v>
      </c>
      <c r="D2" s="232" t="s">
        <v>1209</v>
      </c>
      <c r="E2" s="232" t="s">
        <v>1210</v>
      </c>
      <c r="F2" s="232"/>
    </row>
    <row r="3" spans="1:6" ht="38.25" customHeight="1">
      <c r="A3" s="277" t="s">
        <v>8</v>
      </c>
      <c r="B3" s="278" t="s">
        <v>1211</v>
      </c>
      <c r="C3" s="278" t="s">
        <v>1212</v>
      </c>
      <c r="D3" s="278" t="s">
        <v>742</v>
      </c>
      <c r="E3" s="278" t="s">
        <v>643</v>
      </c>
      <c r="F3" s="278"/>
    </row>
    <row r="4" spans="1:6" ht="12.75" customHeight="1">
      <c r="A4" s="211" t="s">
        <v>14</v>
      </c>
      <c r="B4" s="211" t="s">
        <v>15</v>
      </c>
      <c r="C4" s="211" t="s">
        <v>15</v>
      </c>
      <c r="D4" s="211" t="s">
        <v>15</v>
      </c>
      <c r="E4" s="211" t="s">
        <v>15</v>
      </c>
      <c r="F4" s="279"/>
    </row>
    <row r="5" spans="1:6" ht="25.5" customHeight="1">
      <c r="A5" s="280" t="s">
        <v>16</v>
      </c>
      <c r="B5" s="212" t="s">
        <v>1204</v>
      </c>
      <c r="C5" s="212" t="s">
        <v>1213</v>
      </c>
      <c r="D5" s="212" t="s">
        <v>1214</v>
      </c>
      <c r="E5" s="212" t="s">
        <v>1128</v>
      </c>
      <c r="F5" s="281" t="s">
        <v>1129</v>
      </c>
    </row>
    <row r="6" spans="1:6" ht="12.75" customHeight="1">
      <c r="A6" s="212">
        <v>1</v>
      </c>
      <c r="B6" s="212" t="s">
        <v>1215</v>
      </c>
      <c r="C6" s="212" t="s">
        <v>1216</v>
      </c>
      <c r="D6" s="212" t="s">
        <v>228</v>
      </c>
      <c r="E6" s="212" t="s">
        <v>15</v>
      </c>
      <c r="F6" s="212" t="str">
        <f>B6</f>
        <v>pizzeriaUser</v>
      </c>
    </row>
    <row r="7" spans="1:6" ht="12.75" customHeight="1">
      <c r="A7" s="212">
        <v>2</v>
      </c>
      <c r="B7" s="212" t="s">
        <v>1217</v>
      </c>
      <c r="C7" s="212" t="s">
        <v>1216</v>
      </c>
      <c r="D7" s="212" t="s">
        <v>228</v>
      </c>
      <c r="E7" s="212" t="s">
        <v>100</v>
      </c>
      <c r="F7" s="212" t="str">
        <f>B7</f>
        <v>adminRetirado</v>
      </c>
    </row>
    <row r="8" spans="1:6" ht="12.75" customHeight="1">
      <c r="A8" s="212"/>
      <c r="B8" s="212"/>
      <c r="C8" s="212"/>
      <c r="D8" s="212"/>
      <c r="E8" s="212"/>
      <c r="F8" s="212"/>
    </row>
    <row r="9" spans="1:6" ht="12.75" customHeight="1">
      <c r="A9" s="562"/>
      <c r="B9" s="562"/>
      <c r="C9" s="562"/>
      <c r="D9" s="562"/>
      <c r="E9" s="562"/>
      <c r="F9" s="562"/>
    </row>
  </sheetData>
  <hyperlinks>
    <hyperlink ref="A1" location="'Modelo de dominio'!A1" display="&lt;&lt;&lt;Modelo de Dominio" xr:uid="{2FF2E728-5287-4F74-856F-F85D273711C2}"/>
    <hyperlink ref="B1" location="'Objetos de dominio'!A1" display="&lt;&lt;&lt;Objetos de Dominio" xr:uid="{9BFA0BEA-9B9C-484E-A80A-BEA9DA5EC30F}"/>
  </hyperlink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D05D-970B-4369-A935-EEA93D295649}">
  <sheetPr>
    <tabColor rgb="FF00FF00"/>
    <outlinePr summaryBelow="0" summaryRight="0"/>
  </sheetPr>
  <dimension ref="A1:Y19"/>
  <sheetViews>
    <sheetView topLeftCell="Q5" zoomScale="118" workbookViewId="0">
      <selection activeCell="R21" sqref="R21"/>
    </sheetView>
  </sheetViews>
  <sheetFormatPr baseColWidth="10" defaultColWidth="12.625" defaultRowHeight="12.9"/>
  <cols>
    <col min="1" max="1" width="27.75" bestFit="1" customWidth="1"/>
    <col min="2" max="2" width="60.25" bestFit="1" customWidth="1"/>
    <col min="3" max="3" width="34.375" bestFit="1" customWidth="1"/>
    <col min="4" max="4" width="20" bestFit="1" customWidth="1"/>
    <col min="5" max="5" width="11.625" bestFit="1" customWidth="1"/>
    <col min="6" max="6" width="27" bestFit="1" customWidth="1"/>
    <col min="7" max="7" width="27.375" bestFit="1" customWidth="1"/>
    <col min="8" max="8" width="19.75" bestFit="1" customWidth="1"/>
    <col min="9" max="9" width="52" bestFit="1" customWidth="1"/>
    <col min="10" max="10" width="23.25" bestFit="1" customWidth="1"/>
    <col min="11" max="11" width="21.75" bestFit="1" customWidth="1"/>
    <col min="12" max="12" width="18.75" bestFit="1" customWidth="1"/>
    <col min="13" max="13" width="39.375" bestFit="1" customWidth="1"/>
    <col min="14" max="14" width="15.375" bestFit="1" customWidth="1"/>
    <col min="15" max="15" width="31.25" bestFit="1" customWidth="1"/>
    <col min="16" max="16" width="28.25" bestFit="1" customWidth="1"/>
    <col min="17" max="17" width="113.875" bestFit="1" customWidth="1"/>
    <col min="18" max="18" width="65.125" bestFit="1" customWidth="1"/>
    <col min="19" max="19" width="23.875" bestFit="1" customWidth="1"/>
    <col min="20" max="20" width="27.375" bestFit="1" customWidth="1"/>
    <col min="21" max="21" width="15.25" bestFit="1" customWidth="1"/>
    <col min="22" max="22" width="21.625" customWidth="1"/>
    <col min="23" max="23" width="23" customWidth="1"/>
    <col min="25" max="25" width="17.75" customWidth="1"/>
  </cols>
  <sheetData>
    <row r="1" spans="1:25" ht="13.75" customHeight="1">
      <c r="A1" s="2" t="s">
        <v>0</v>
      </c>
      <c r="B1" s="132" t="s">
        <v>1</v>
      </c>
      <c r="C1" s="25"/>
      <c r="D1" s="25"/>
      <c r="E1" s="25"/>
      <c r="F1" s="25"/>
      <c r="G1" s="25"/>
      <c r="H1" s="25"/>
      <c r="I1" s="25"/>
      <c r="J1" s="25"/>
      <c r="K1" s="25"/>
      <c r="L1" s="25"/>
      <c r="M1" s="25"/>
      <c r="N1" s="25"/>
      <c r="O1" s="25"/>
      <c r="P1" s="25"/>
      <c r="Q1" s="25"/>
      <c r="R1" s="25"/>
      <c r="S1" s="25"/>
      <c r="T1" s="25"/>
      <c r="U1" s="25"/>
    </row>
    <row r="2" spans="1:25" ht="14.3" customHeight="1">
      <c r="A2" s="7" t="s">
        <v>20</v>
      </c>
      <c r="B2" s="1642" t="s">
        <v>1204</v>
      </c>
      <c r="C2" s="1332"/>
      <c r="D2" s="1332"/>
      <c r="E2" s="1332"/>
      <c r="F2" s="1332"/>
      <c r="G2" s="1332"/>
      <c r="H2" s="1332"/>
      <c r="I2" s="1332"/>
      <c r="J2" s="1332"/>
      <c r="K2" s="1332"/>
      <c r="L2" s="1332"/>
      <c r="M2" s="1332"/>
      <c r="N2" s="1332"/>
      <c r="O2" s="1332"/>
      <c r="P2" s="1332"/>
      <c r="Q2" s="1332"/>
      <c r="R2" s="1332"/>
      <c r="S2" s="1332"/>
      <c r="T2" s="1332"/>
      <c r="U2" s="1333"/>
    </row>
    <row r="3" spans="1:25" ht="14.3" customHeight="1">
      <c r="A3" s="459" t="s">
        <v>79</v>
      </c>
      <c r="B3" s="1238" t="str">
        <f>HYPERLINK("#'Objetos de dominio'!B24", 'Objetos de dominio'!B9)</f>
        <v>Es la persona que puede ingresar a la aplicacion; solo el administrador de la pizzeria puede iniciar sesion.</v>
      </c>
      <c r="C3" s="1239"/>
      <c r="D3" s="1239"/>
      <c r="E3" s="1239"/>
      <c r="F3" s="1239"/>
      <c r="G3" s="1239"/>
      <c r="H3" s="1239"/>
      <c r="I3" s="1239"/>
      <c r="J3" s="1239"/>
      <c r="K3" s="1239"/>
      <c r="L3" s="1239"/>
      <c r="M3" s="1239"/>
      <c r="N3" s="1239"/>
      <c r="O3" s="1239"/>
      <c r="P3" s="1239"/>
      <c r="Q3" s="1239"/>
      <c r="R3" s="1239"/>
      <c r="S3" s="1239"/>
      <c r="T3" s="1239"/>
      <c r="U3" s="1240"/>
    </row>
    <row r="4" spans="1:25" ht="14.3" customHeight="1">
      <c r="A4" s="696" t="s">
        <v>80</v>
      </c>
      <c r="B4" s="750" t="s">
        <v>81</v>
      </c>
      <c r="C4" s="713" t="s">
        <v>82</v>
      </c>
      <c r="D4" s="713" t="s">
        <v>8</v>
      </c>
      <c r="E4" s="713" t="s">
        <v>14</v>
      </c>
      <c r="F4" s="713" t="s">
        <v>83</v>
      </c>
      <c r="G4" s="713" t="s">
        <v>84</v>
      </c>
      <c r="H4" s="713" t="s">
        <v>85</v>
      </c>
      <c r="I4" s="713" t="s">
        <v>86</v>
      </c>
      <c r="J4" s="713" t="s">
        <v>87</v>
      </c>
      <c r="K4" s="713" t="s">
        <v>88</v>
      </c>
      <c r="L4" s="713" t="s">
        <v>89</v>
      </c>
      <c r="M4" s="713" t="s">
        <v>90</v>
      </c>
      <c r="N4" s="713" t="s">
        <v>91</v>
      </c>
      <c r="O4" s="713" t="s">
        <v>92</v>
      </c>
      <c r="P4" s="713" t="s">
        <v>93</v>
      </c>
      <c r="Q4" s="713" t="s">
        <v>94</v>
      </c>
      <c r="R4" s="713" t="s">
        <v>95</v>
      </c>
      <c r="S4" s="713" t="s">
        <v>96</v>
      </c>
      <c r="T4" s="713" t="s">
        <v>97</v>
      </c>
      <c r="U4" s="714" t="s">
        <v>98</v>
      </c>
      <c r="V4" s="958" t="str">
        <f>HYPERLINK("#'C-Usuario'!A17", 'C-Usuario'!A17)</f>
        <v>Iniciar sesion</v>
      </c>
      <c r="W4" s="1643"/>
      <c r="X4" s="1643"/>
      <c r="Y4" s="956"/>
    </row>
    <row r="5" spans="1:25" ht="13.75" customHeight="1">
      <c r="A5" s="761" t="str">
        <f>HYPERLINK("#'M-Usuario'!A5", 'M-Usuario'!A5)</f>
        <v>Id</v>
      </c>
      <c r="B5" s="851" t="str">
        <f>HYPERLINK("#'M-Usuario'!A2", 'M-Usuario'!A2)</f>
        <v>Identificador unico de cada usuario de la aplicacion</v>
      </c>
      <c r="C5" s="749" t="s">
        <v>15</v>
      </c>
      <c r="D5" s="13" t="s">
        <v>99</v>
      </c>
      <c r="E5" s="13" t="s">
        <v>15</v>
      </c>
      <c r="F5" s="9"/>
      <c r="G5" s="9"/>
      <c r="H5" s="9"/>
      <c r="I5" s="9"/>
      <c r="J5" s="9"/>
      <c r="K5" s="9"/>
      <c r="L5" s="9"/>
      <c r="M5" s="9"/>
      <c r="N5" s="13" t="s">
        <v>100</v>
      </c>
      <c r="O5" s="13" t="s">
        <v>100</v>
      </c>
      <c r="P5" s="9"/>
      <c r="Q5" s="13" t="s">
        <v>100</v>
      </c>
      <c r="R5" s="13" t="s">
        <v>100</v>
      </c>
      <c r="S5" s="13" t="s">
        <v>100</v>
      </c>
      <c r="T5" s="9"/>
      <c r="U5" s="481" t="s">
        <v>15</v>
      </c>
      <c r="V5" s="582" t="s">
        <v>276</v>
      </c>
      <c r="W5" s="375"/>
      <c r="X5" s="375"/>
      <c r="Y5" s="375"/>
    </row>
    <row r="6" spans="1:25" ht="13.75" customHeight="1">
      <c r="A6" s="761" t="str">
        <f>HYPERLINK("#'M-Usuario'!B5", 'M-Usuario'!B5)</f>
        <v>Usuario</v>
      </c>
      <c r="B6" s="851" t="str">
        <f>HYPERLINK("#'M-Usuario'!B2", 'M-Usuario'!B2)</f>
        <v>Nombre de usuario con el que se inicia sesion; no se puede repetir</v>
      </c>
      <c r="C6" s="749" t="s">
        <v>100</v>
      </c>
      <c r="D6" s="9" t="s">
        <v>280</v>
      </c>
      <c r="E6" s="13" t="s">
        <v>15</v>
      </c>
      <c r="F6" s="12">
        <v>1</v>
      </c>
      <c r="G6" s="12">
        <v>30</v>
      </c>
      <c r="H6" s="9"/>
      <c r="I6" s="9"/>
      <c r="J6" s="9"/>
      <c r="K6" s="9"/>
      <c r="L6" s="9"/>
      <c r="M6" s="13" t="s">
        <v>1218</v>
      </c>
      <c r="N6" s="13" t="s">
        <v>100</v>
      </c>
      <c r="O6" s="13" t="s">
        <v>100</v>
      </c>
      <c r="P6" s="9"/>
      <c r="Q6" s="13" t="s">
        <v>15</v>
      </c>
      <c r="R6" s="13" t="s">
        <v>15</v>
      </c>
      <c r="S6" s="13" t="s">
        <v>100</v>
      </c>
      <c r="T6" s="9"/>
      <c r="U6" s="112" t="s">
        <v>100</v>
      </c>
      <c r="V6" s="582" t="s">
        <v>101</v>
      </c>
      <c r="W6" s="375"/>
      <c r="X6" s="375"/>
      <c r="Y6" s="375"/>
    </row>
    <row r="7" spans="1:25" s="614" customFormat="1" ht="13.75" customHeight="1">
      <c r="A7" s="852" t="str">
        <f>HYPERLINK("#'M-Usuario'!C5", 'M-Usuario'!C5)</f>
        <v>Clave</v>
      </c>
      <c r="B7" s="762" t="str">
        <f>HYPERLINK("#'M-Usuario'!C2", 'M-Usuario'!C2)</f>
        <v>Contrasena del usuario; se guarda cifrada con BCrypt, nunca en texto plano</v>
      </c>
      <c r="C7" s="649" t="s">
        <v>100</v>
      </c>
      <c r="D7" s="642" t="s">
        <v>280</v>
      </c>
      <c r="E7" s="641" t="s">
        <v>15</v>
      </c>
      <c r="F7" s="643">
        <v>1</v>
      </c>
      <c r="G7" s="643">
        <v>72</v>
      </c>
      <c r="H7" s="642"/>
      <c r="I7" s="642"/>
      <c r="J7" s="642"/>
      <c r="K7" s="642"/>
      <c r="L7" s="642"/>
      <c r="M7" s="641" t="s">
        <v>1219</v>
      </c>
      <c r="N7" s="641" t="s">
        <v>100</v>
      </c>
      <c r="O7" s="641" t="s">
        <v>100</v>
      </c>
      <c r="P7" s="642"/>
      <c r="Q7" s="641" t="s">
        <v>100</v>
      </c>
      <c r="R7" s="641" t="s">
        <v>100</v>
      </c>
      <c r="S7" s="641" t="s">
        <v>15</v>
      </c>
      <c r="T7" s="642"/>
      <c r="U7" s="112" t="s">
        <v>100</v>
      </c>
      <c r="V7" s="582" t="s">
        <v>101</v>
      </c>
      <c r="W7" s="375"/>
      <c r="X7" s="375"/>
      <c r="Y7" s="375"/>
    </row>
    <row r="8" spans="1:25" ht="13.75" customHeight="1">
      <c r="A8" s="852" t="str">
        <f>HYPERLINK("#'M-Usuario'!D5", 'M-Usuario'!D5)</f>
        <v>Rol</v>
      </c>
      <c r="B8" s="762" t="str">
        <f>HYPERLINK("#'M-Usuario'!D2", 'M-Usuario'!D2)</f>
        <v>Rol del usuario dentro de la aplicacion; solo existe el rol Administrador</v>
      </c>
      <c r="C8" s="650" t="s">
        <v>100</v>
      </c>
      <c r="D8" s="15" t="s">
        <v>280</v>
      </c>
      <c r="E8" s="14" t="s">
        <v>15</v>
      </c>
      <c r="F8" s="75">
        <v>1</v>
      </c>
      <c r="G8" s="75">
        <v>20</v>
      </c>
      <c r="H8" s="14"/>
      <c r="I8" s="15"/>
      <c r="J8" s="14"/>
      <c r="K8" s="15"/>
      <c r="L8" s="15"/>
      <c r="M8" s="15" t="s">
        <v>1220</v>
      </c>
      <c r="N8" s="14" t="s">
        <v>100</v>
      </c>
      <c r="O8" s="14" t="s">
        <v>100</v>
      </c>
      <c r="P8" s="15"/>
      <c r="Q8" s="14" t="s">
        <v>100</v>
      </c>
      <c r="R8" s="14" t="s">
        <v>100</v>
      </c>
      <c r="S8" s="14" t="s">
        <v>100</v>
      </c>
      <c r="T8" s="15"/>
      <c r="U8" s="483" t="s">
        <v>100</v>
      </c>
      <c r="V8" s="582" t="s">
        <v>276</v>
      </c>
      <c r="W8" s="375"/>
      <c r="X8" s="375"/>
      <c r="Y8" s="375"/>
    </row>
    <row r="9" spans="1:25" s="614" customFormat="1" ht="13.75" customHeight="1">
      <c r="A9" s="763" t="str">
        <f>HYPERLINK("#'M-Usuario'!E5", 'M-Usuario'!E5)</f>
        <v>Activo</v>
      </c>
      <c r="B9" s="764" t="str">
        <f>HYPERLINK("#'M-Usuario'!E2", 'M-Usuario'!E2)</f>
        <v>Indica si el usuario esta activo; un usuario inactivo no puede iniciar sesion</v>
      </c>
      <c r="C9" s="689" t="s">
        <v>100</v>
      </c>
      <c r="D9" s="651" t="s">
        <v>643</v>
      </c>
      <c r="E9" s="652" t="s">
        <v>15</v>
      </c>
      <c r="F9" s="653"/>
      <c r="G9" s="653"/>
      <c r="H9" s="652"/>
      <c r="I9" s="651"/>
      <c r="J9" s="652"/>
      <c r="K9" s="651"/>
      <c r="L9" s="651"/>
      <c r="M9" s="651" t="s">
        <v>1221</v>
      </c>
      <c r="N9" s="652" t="s">
        <v>100</v>
      </c>
      <c r="O9" s="652" t="s">
        <v>100</v>
      </c>
      <c r="P9" s="651"/>
      <c r="Q9" s="652" t="s">
        <v>100</v>
      </c>
      <c r="R9" s="652" t="s">
        <v>100</v>
      </c>
      <c r="S9" s="652" t="s">
        <v>100</v>
      </c>
      <c r="T9" s="651"/>
      <c r="U9" s="957" t="s">
        <v>100</v>
      </c>
      <c r="V9" s="582" t="s">
        <v>276</v>
      </c>
      <c r="W9" s="375"/>
      <c r="X9" s="375"/>
      <c r="Y9" s="375"/>
    </row>
    <row r="12" spans="1:25" ht="14.3" customHeight="1">
      <c r="A12" s="16" t="s">
        <v>109</v>
      </c>
      <c r="B12" s="16" t="s">
        <v>79</v>
      </c>
      <c r="C12" s="111" t="s">
        <v>110</v>
      </c>
    </row>
    <row r="13" spans="1:25" ht="13.75" customHeight="1">
      <c r="A13" s="391" t="s">
        <v>111</v>
      </c>
      <c r="B13" s="754" t="s">
        <v>1222</v>
      </c>
      <c r="C13" s="850" t="str">
        <f>HYPERLINK("#'C-Usuario'!A6", 'C-Usuario'!A6)</f>
        <v>Usuario</v>
      </c>
    </row>
    <row r="14" spans="1:25" ht="13.75" customHeight="1" thickBot="1"/>
    <row r="15" spans="1:25" ht="14.3" customHeight="1">
      <c r="A15" s="1037" t="s">
        <v>113</v>
      </c>
      <c r="B15" s="1038"/>
      <c r="C15" s="1042" t="s">
        <v>79</v>
      </c>
      <c r="D15" s="1043"/>
      <c r="E15" s="1043"/>
      <c r="F15" s="1038"/>
      <c r="G15" s="1042" t="s">
        <v>114</v>
      </c>
      <c r="H15" s="1029"/>
      <c r="I15" s="1030"/>
      <c r="J15" s="1028" t="s">
        <v>115</v>
      </c>
      <c r="K15" s="1029"/>
      <c r="L15" s="1029"/>
      <c r="M15" s="1029"/>
      <c r="N15" s="1030"/>
      <c r="O15" s="1028" t="s">
        <v>116</v>
      </c>
      <c r="P15" s="1030"/>
      <c r="Q15" s="1028" t="s">
        <v>117</v>
      </c>
      <c r="R15" s="1030"/>
    </row>
    <row r="16" spans="1:25" ht="14.3" customHeight="1">
      <c r="A16" s="1644"/>
      <c r="B16" s="1087"/>
      <c r="C16" s="1044"/>
      <c r="D16" s="1045"/>
      <c r="E16" s="1045"/>
      <c r="F16" s="1040"/>
      <c r="G16" s="517" t="s">
        <v>118</v>
      </c>
      <c r="H16" s="517" t="s">
        <v>8</v>
      </c>
      <c r="I16" s="517" t="s">
        <v>79</v>
      </c>
      <c r="J16" s="544" t="s">
        <v>119</v>
      </c>
      <c r="K16" s="1034" t="s">
        <v>79</v>
      </c>
      <c r="L16" s="1035"/>
      <c r="M16" s="1035"/>
      <c r="N16" s="1036"/>
      <c r="O16" s="693" t="s">
        <v>120</v>
      </c>
      <c r="P16" s="544" t="s">
        <v>79</v>
      </c>
      <c r="Q16" s="544" t="s">
        <v>121</v>
      </c>
      <c r="R16" s="188" t="s">
        <v>122</v>
      </c>
    </row>
    <row r="17" spans="1:18" ht="76.75" customHeight="1">
      <c r="A17" s="1633" t="str">
        <f>HYPERLINK("#'C-Usuario'!V4", 'E-Usuario'!B7)</f>
        <v>Iniciar sesion</v>
      </c>
      <c r="B17" s="1634"/>
      <c r="C17" s="1133" t="str">
        <f>'E-Usuario'!C7</f>
        <v>Permite que el administrador ingrese a la aplicacion con su usuario y contrasena.</v>
      </c>
      <c r="D17" s="1076"/>
      <c r="E17" s="1076"/>
      <c r="F17" s="1077"/>
      <c r="G17" s="1625" t="s">
        <v>1223</v>
      </c>
      <c r="H17" s="1625" t="s">
        <v>1223</v>
      </c>
      <c r="I17" s="1641" t="s">
        <v>1224</v>
      </c>
      <c r="J17" s="1625" t="s">
        <v>1204</v>
      </c>
      <c r="K17" s="1625" t="s">
        <v>1225</v>
      </c>
      <c r="L17" s="1626"/>
      <c r="M17" s="1626"/>
      <c r="N17" s="1626"/>
      <c r="O17" s="853" t="str">
        <f>HYPERLINK("#'P-Usuario'!A5", 'P-Usuario'!A5)</f>
        <v>P-USU-001</v>
      </c>
      <c r="P17" s="753"/>
      <c r="Q17" s="543" t="s">
        <v>1226</v>
      </c>
      <c r="R17" s="543" t="s">
        <v>1227</v>
      </c>
    </row>
    <row r="18" spans="1:18" ht="25.85">
      <c r="A18" s="1635"/>
      <c r="B18" s="1636"/>
      <c r="C18" s="970"/>
      <c r="D18" s="971"/>
      <c r="E18" s="971"/>
      <c r="F18" s="1087"/>
      <c r="G18" s="1639"/>
      <c r="H18" s="1639"/>
      <c r="I18" s="1639"/>
      <c r="J18" s="1639"/>
      <c r="K18" s="1627"/>
      <c r="L18" s="1628"/>
      <c r="M18" s="1628"/>
      <c r="N18" s="1629"/>
      <c r="O18" s="853" t="str">
        <f>HYPERLINK("#'P-Usuario'!A6", 'P-Usuario'!A6)</f>
        <v>P-USU-002</v>
      </c>
      <c r="P18" s="959"/>
      <c r="Q18" s="511" t="s">
        <v>1228</v>
      </c>
      <c r="R18" s="511" t="s">
        <v>1229</v>
      </c>
    </row>
    <row r="19" spans="1:18" ht="25.5" customHeight="1">
      <c r="A19" s="1637"/>
      <c r="B19" s="1638"/>
      <c r="C19" s="1079"/>
      <c r="D19" s="1045"/>
      <c r="E19" s="1045"/>
      <c r="F19" s="1040"/>
      <c r="G19" s="1640"/>
      <c r="H19" s="1640"/>
      <c r="I19" s="1640"/>
      <c r="J19" s="1640"/>
      <c r="K19" s="1630"/>
      <c r="L19" s="1631"/>
      <c r="M19" s="1631"/>
      <c r="N19" s="1632"/>
      <c r="O19" s="854" t="str">
        <f>HYPERLINK("#'P-Usuario'!A7", 'P-Usuario'!A7)</f>
        <v>P-USU-003</v>
      </c>
      <c r="P19" s="959"/>
      <c r="Q19" s="511" t="s">
        <v>1230</v>
      </c>
      <c r="R19" s="512" t="s">
        <v>1231</v>
      </c>
    </row>
  </sheetData>
  <mergeCells count="17">
    <mergeCell ref="B2:U2"/>
    <mergeCell ref="B3:U3"/>
    <mergeCell ref="W4:X4"/>
    <mergeCell ref="A15:B16"/>
    <mergeCell ref="C15:F16"/>
    <mergeCell ref="G15:I15"/>
    <mergeCell ref="J15:N15"/>
    <mergeCell ref="O15:P15"/>
    <mergeCell ref="Q15:R15"/>
    <mergeCell ref="K16:N16"/>
    <mergeCell ref="K17:N19"/>
    <mergeCell ref="A17:B19"/>
    <mergeCell ref="C17:F19"/>
    <mergeCell ref="G17:G19"/>
    <mergeCell ref="H17:H19"/>
    <mergeCell ref="I17:I19"/>
    <mergeCell ref="J17:J19"/>
  </mergeCells>
  <hyperlinks>
    <hyperlink ref="A1" location="'Modelo de dominio'!A1" display="&lt;&lt;&lt;Modelo de Dominio" xr:uid="{0FE19DBB-F565-4FF5-B3EF-350E73DA8309}"/>
    <hyperlink ref="B1" location="'Objetos de dominio'!A1" display="&lt;&lt;&lt;Objetos de Dominio" xr:uid="{C5C8C768-960A-4A97-B556-715B24262FC5}"/>
    <hyperlink ref="C13" location="'C-Proveedor'!A6" display="Nombre Empresa" xr:uid="{DBCA438C-1F90-44E2-9810-74D55C144029}"/>
  </hyperlink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886A-A3D2-4216-A038-D87C3E9D3371}">
  <sheetPr>
    <outlinePr summaryBelow="0" summaryRight="0"/>
  </sheetPr>
  <dimension ref="A1:X994"/>
  <sheetViews>
    <sheetView topLeftCell="C1" workbookViewId="0">
      <selection activeCell="G9" sqref="G9"/>
    </sheetView>
  </sheetViews>
  <sheetFormatPr baseColWidth="10" defaultColWidth="12.625" defaultRowHeight="12.9"/>
  <cols>
    <col min="1" max="1" width="17" bestFit="1" customWidth="1"/>
    <col min="2" max="2" width="35.75" bestFit="1" customWidth="1"/>
    <col min="3" max="3" width="170.75" bestFit="1" customWidth="1"/>
    <col min="4" max="4" width="26.375" customWidth="1"/>
    <col min="5" max="6" width="10.375" bestFit="1" customWidth="1"/>
    <col min="7" max="7" width="17.375" bestFit="1" customWidth="1"/>
    <col min="8" max="8" width="11.875" bestFit="1" customWidth="1"/>
    <col min="9" max="9" width="19.875" bestFit="1" customWidth="1"/>
  </cols>
  <sheetData>
    <row r="1" spans="1:24">
      <c r="A1" s="49" t="s">
        <v>0</v>
      </c>
      <c r="B1" s="50" t="s">
        <v>1</v>
      </c>
      <c r="C1" s="73"/>
      <c r="D1" s="73"/>
      <c r="E1" s="73"/>
      <c r="F1" s="73"/>
      <c r="G1" s="73"/>
      <c r="H1" s="73"/>
      <c r="I1" s="73"/>
      <c r="J1" s="73"/>
      <c r="K1" s="73"/>
      <c r="L1" s="73"/>
      <c r="M1" s="73"/>
      <c r="N1" s="73"/>
      <c r="O1" s="73"/>
      <c r="P1" s="73"/>
      <c r="Q1" s="73"/>
      <c r="R1" s="73"/>
      <c r="S1" s="73"/>
      <c r="T1" s="73"/>
      <c r="U1" s="73"/>
      <c r="V1" s="73"/>
      <c r="W1" s="73"/>
      <c r="X1" s="73"/>
    </row>
    <row r="2" spans="1:24" ht="13.75" customHeight="1">
      <c r="A2" s="285" t="s">
        <v>209</v>
      </c>
      <c r="B2" s="1093" t="s">
        <v>1204</v>
      </c>
      <c r="C2" s="1032"/>
      <c r="D2" s="1032"/>
      <c r="E2" s="1032"/>
      <c r="F2" s="1032"/>
      <c r="G2" s="1032"/>
      <c r="H2" s="1032"/>
      <c r="I2" s="1033"/>
      <c r="J2" s="73"/>
      <c r="K2" s="73"/>
      <c r="L2" s="73"/>
      <c r="M2" s="73"/>
      <c r="N2" s="73"/>
      <c r="O2" s="73"/>
      <c r="P2" s="73"/>
      <c r="Q2" s="73"/>
      <c r="R2" s="73"/>
      <c r="S2" s="73"/>
      <c r="T2" s="73"/>
      <c r="U2" s="73"/>
      <c r="V2" s="73"/>
      <c r="W2" s="73"/>
      <c r="X2" s="73"/>
    </row>
    <row r="3" spans="1:24" ht="13.75" customHeight="1">
      <c r="A3" s="286" t="s">
        <v>210</v>
      </c>
      <c r="B3" s="1107" t="str">
        <f>'C-Usuario'!B3</f>
        <v>Es la persona que puede ingresar a la aplicacion; solo el administrador de la pizzeria puede iniciar sesion.</v>
      </c>
      <c r="C3" s="1032"/>
      <c r="D3" s="1032"/>
      <c r="E3" s="1032"/>
      <c r="F3" s="1032"/>
      <c r="G3" s="1032"/>
      <c r="H3" s="1032"/>
      <c r="I3" s="1033"/>
      <c r="J3" s="73"/>
      <c r="K3" s="73"/>
      <c r="L3" s="73"/>
      <c r="M3" s="73"/>
      <c r="N3" s="73"/>
      <c r="O3" s="73"/>
      <c r="P3" s="73"/>
      <c r="Q3" s="73"/>
      <c r="R3" s="73"/>
      <c r="S3" s="73"/>
      <c r="T3" s="73"/>
      <c r="U3" s="73"/>
      <c r="V3" s="73"/>
      <c r="W3" s="73"/>
      <c r="X3" s="73"/>
    </row>
    <row r="4" spans="1:24" ht="13.75" customHeight="1">
      <c r="A4" s="575" t="s">
        <v>211</v>
      </c>
      <c r="B4" s="1100" t="s">
        <v>212</v>
      </c>
      <c r="C4" s="1033"/>
      <c r="D4" s="226" t="s">
        <v>213</v>
      </c>
      <c r="E4" s="1106" t="s">
        <v>214</v>
      </c>
      <c r="F4" s="1033"/>
      <c r="G4" s="53" t="s">
        <v>215</v>
      </c>
      <c r="H4" s="377" t="s">
        <v>217</v>
      </c>
      <c r="I4" s="380" t="s">
        <v>218</v>
      </c>
      <c r="J4" s="73"/>
      <c r="K4" s="73"/>
      <c r="L4" s="73"/>
      <c r="M4" s="73"/>
      <c r="N4" s="73"/>
      <c r="O4" s="73"/>
      <c r="P4" s="73"/>
      <c r="Q4" s="73"/>
      <c r="R4" s="73"/>
      <c r="S4" s="73"/>
      <c r="T4" s="73"/>
      <c r="U4" s="73"/>
      <c r="V4" s="73"/>
      <c r="W4" s="73"/>
      <c r="X4" s="73"/>
    </row>
    <row r="5" spans="1:24" ht="13.75" customHeight="1">
      <c r="A5" s="1110" t="s">
        <v>211</v>
      </c>
      <c r="B5" s="1100" t="s">
        <v>219</v>
      </c>
      <c r="C5" s="1100" t="s">
        <v>79</v>
      </c>
      <c r="D5" s="1101" t="s">
        <v>220</v>
      </c>
      <c r="E5" s="1106" t="s">
        <v>221</v>
      </c>
      <c r="F5" s="1033"/>
      <c r="G5" s="53" t="s">
        <v>222</v>
      </c>
      <c r="H5" s="1103" t="s">
        <v>224</v>
      </c>
      <c r="I5" s="1097" t="s">
        <v>225</v>
      </c>
      <c r="J5" s="73"/>
      <c r="K5" s="73"/>
      <c r="L5" s="73"/>
      <c r="M5" s="73"/>
      <c r="N5" s="73"/>
      <c r="O5" s="73"/>
      <c r="P5" s="73"/>
      <c r="Q5" s="73"/>
      <c r="R5" s="73"/>
      <c r="S5" s="73"/>
      <c r="T5" s="73"/>
      <c r="U5" s="73"/>
      <c r="V5" s="73"/>
      <c r="W5" s="73"/>
      <c r="X5" s="73"/>
    </row>
    <row r="6" spans="1:24" ht="13.75" customHeight="1">
      <c r="A6" s="1066"/>
      <c r="B6" s="1066"/>
      <c r="C6" s="1066"/>
      <c r="D6" s="1066"/>
      <c r="E6" s="126" t="s">
        <v>226</v>
      </c>
      <c r="F6" s="126" t="s">
        <v>79</v>
      </c>
      <c r="G6" s="127" t="s">
        <v>227</v>
      </c>
      <c r="H6" s="1066"/>
      <c r="I6" s="1066"/>
      <c r="J6" s="73"/>
      <c r="K6" s="73"/>
      <c r="L6" s="73"/>
      <c r="M6" s="73"/>
      <c r="N6" s="73"/>
      <c r="O6" s="73"/>
      <c r="P6" s="73"/>
      <c r="Q6" s="73"/>
      <c r="R6" s="73"/>
      <c r="S6" s="73"/>
      <c r="T6" s="73"/>
      <c r="U6" s="73"/>
      <c r="V6" s="73"/>
      <c r="W6" s="73"/>
      <c r="X6" s="73"/>
    </row>
    <row r="7" spans="1:24" ht="63.7" customHeight="1">
      <c r="A7" s="1094" t="s">
        <v>228</v>
      </c>
      <c r="B7" s="1098" t="s">
        <v>1232</v>
      </c>
      <c r="C7" s="1098" t="s">
        <v>1233</v>
      </c>
      <c r="D7" s="1094" t="s">
        <v>1204</v>
      </c>
      <c r="E7" s="1099" t="s">
        <v>1223</v>
      </c>
      <c r="F7" s="1105" t="s">
        <v>1234</v>
      </c>
      <c r="G7" s="759" t="str">
        <f>HYPERLINK("#'P-Usuario'!A5", "P-USU-001")</f>
        <v>P-USU-001</v>
      </c>
      <c r="H7" s="1095" t="s">
        <v>1235</v>
      </c>
      <c r="I7" s="1108"/>
      <c r="J7" s="73"/>
      <c r="K7" s="73"/>
      <c r="L7" s="73"/>
      <c r="M7" s="73"/>
      <c r="N7" s="73"/>
      <c r="O7" s="73"/>
      <c r="P7" s="73"/>
      <c r="Q7" s="73"/>
      <c r="R7" s="73"/>
      <c r="S7" s="73"/>
      <c r="T7" s="73"/>
      <c r="U7" s="73"/>
      <c r="V7" s="73"/>
      <c r="W7" s="73"/>
      <c r="X7" s="73"/>
    </row>
    <row r="8" spans="1:24" s="614" customFormat="1" ht="63.7" customHeight="1">
      <c r="A8" s="1648"/>
      <c r="B8" s="1649"/>
      <c r="C8" s="1649"/>
      <c r="D8" s="1648"/>
      <c r="E8" s="1647"/>
      <c r="F8" s="1645"/>
      <c r="G8" s="759" t="str">
        <f>HYPERLINK("#'P-Usuario'!A6", "P-USU-002")</f>
        <v>P-USU-002</v>
      </c>
      <c r="H8" s="1646"/>
      <c r="I8" s="1647"/>
      <c r="J8" s="297"/>
      <c r="K8" s="297"/>
      <c r="L8" s="297"/>
      <c r="M8" s="297"/>
      <c r="N8" s="297"/>
      <c r="O8" s="297"/>
      <c r="P8" s="297"/>
      <c r="Q8" s="297"/>
      <c r="R8" s="297"/>
      <c r="S8" s="297"/>
      <c r="T8" s="297"/>
      <c r="U8" s="297"/>
      <c r="V8" s="297"/>
      <c r="W8" s="297"/>
      <c r="X8" s="297"/>
    </row>
    <row r="9" spans="1:24" s="614" customFormat="1" ht="26.5" customHeight="1">
      <c r="A9" s="1089"/>
      <c r="B9" s="1089"/>
      <c r="C9" s="1089"/>
      <c r="D9" s="1089"/>
      <c r="E9" s="1089"/>
      <c r="F9" s="1078"/>
      <c r="G9" s="760" t="str">
        <f>HYPERLINK("#'P-Usuario'!A7", "P-USU-003")</f>
        <v>P-USU-003</v>
      </c>
      <c r="H9" s="1080"/>
      <c r="I9" s="1089"/>
      <c r="J9" s="297"/>
      <c r="K9" s="297"/>
      <c r="L9" s="297"/>
      <c r="M9" s="297"/>
      <c r="N9" s="297"/>
      <c r="O9" s="297"/>
      <c r="P9" s="297"/>
      <c r="Q9" s="297"/>
      <c r="R9" s="297"/>
      <c r="S9" s="297"/>
      <c r="T9" s="297"/>
      <c r="U9" s="297"/>
      <c r="V9" s="297"/>
      <c r="W9" s="297"/>
      <c r="X9" s="297"/>
    </row>
    <row r="10" spans="1:24">
      <c r="A10" s="73"/>
      <c r="B10" s="73"/>
      <c r="C10" s="73"/>
      <c r="D10" s="73"/>
      <c r="E10" s="73"/>
      <c r="F10" s="73"/>
      <c r="G10" s="56"/>
      <c r="H10" s="73"/>
      <c r="I10" s="73"/>
      <c r="J10" s="73"/>
      <c r="K10" s="73"/>
      <c r="L10" s="73"/>
      <c r="M10" s="73"/>
      <c r="N10" s="73"/>
      <c r="O10" s="73"/>
      <c r="P10" s="73"/>
      <c r="Q10" s="73"/>
      <c r="R10" s="73"/>
      <c r="S10" s="73"/>
      <c r="T10" s="73"/>
      <c r="U10" s="73"/>
      <c r="V10" s="73"/>
      <c r="W10" s="73"/>
      <c r="X10" s="73"/>
    </row>
    <row r="11" spans="1:24">
      <c r="A11" s="73"/>
      <c r="B11" s="73"/>
      <c r="C11" s="73"/>
      <c r="D11" s="73"/>
      <c r="E11" s="73"/>
      <c r="F11" s="73"/>
      <c r="G11" s="73"/>
      <c r="H11" s="73"/>
      <c r="I11" s="73"/>
      <c r="J11" s="73"/>
      <c r="K11" s="73"/>
      <c r="L11" s="73"/>
      <c r="M11" s="73"/>
      <c r="N11" s="73"/>
      <c r="O11" s="73"/>
      <c r="P11" s="73"/>
      <c r="Q11" s="73"/>
      <c r="R11" s="73"/>
      <c r="S11" s="73"/>
      <c r="T11" s="73"/>
      <c r="U11" s="73"/>
      <c r="V11" s="73"/>
      <c r="W11" s="73"/>
      <c r="X11" s="73"/>
    </row>
    <row r="12" spans="1:24">
      <c r="A12" s="73"/>
      <c r="B12" s="73"/>
      <c r="C12" s="73"/>
      <c r="D12" s="73"/>
      <c r="E12" s="73"/>
      <c r="F12" s="73"/>
      <c r="G12" s="73"/>
      <c r="H12" s="73"/>
      <c r="I12" s="73"/>
      <c r="J12" s="73"/>
      <c r="K12" s="73"/>
      <c r="L12" s="73"/>
      <c r="M12" s="73"/>
      <c r="N12" s="73"/>
      <c r="O12" s="73"/>
      <c r="P12" s="73"/>
      <c r="Q12" s="73"/>
      <c r="R12" s="73"/>
      <c r="S12" s="73"/>
      <c r="T12" s="73"/>
      <c r="U12" s="73"/>
      <c r="V12" s="73"/>
      <c r="W12" s="73"/>
      <c r="X12" s="73"/>
    </row>
    <row r="13" spans="1:24">
      <c r="G13" s="73"/>
      <c r="I13" s="73"/>
      <c r="J13" s="73"/>
      <c r="K13" s="73"/>
      <c r="L13" s="73"/>
      <c r="M13" s="73"/>
      <c r="N13" s="73"/>
      <c r="O13" s="73"/>
      <c r="P13" s="73"/>
      <c r="Q13" s="73"/>
      <c r="R13" s="73"/>
      <c r="S13" s="73"/>
      <c r="T13" s="73"/>
      <c r="U13" s="73"/>
      <c r="V13" s="73"/>
      <c r="W13" s="73"/>
      <c r="X13" s="73"/>
    </row>
    <row r="14" spans="1:24">
      <c r="A14" s="73"/>
      <c r="B14" s="73"/>
      <c r="C14" s="73"/>
      <c r="D14" s="73"/>
      <c r="E14" s="73"/>
      <c r="F14" s="73"/>
      <c r="G14" s="73"/>
      <c r="H14" s="73"/>
      <c r="I14" s="73"/>
      <c r="J14" s="73"/>
      <c r="K14" s="73"/>
      <c r="L14" s="73"/>
      <c r="M14" s="73"/>
      <c r="N14" s="73"/>
      <c r="O14" s="73"/>
      <c r="P14" s="73"/>
      <c r="Q14" s="73"/>
      <c r="R14" s="73"/>
      <c r="S14" s="73"/>
      <c r="T14" s="73"/>
      <c r="U14" s="73"/>
      <c r="V14" s="73"/>
      <c r="W14" s="73"/>
      <c r="X14" s="73"/>
    </row>
    <row r="15" spans="1:24">
      <c r="A15" s="73"/>
      <c r="B15" s="73"/>
      <c r="C15" s="73"/>
      <c r="D15" s="73"/>
      <c r="E15" s="73"/>
      <c r="F15" s="73"/>
      <c r="G15" s="73"/>
      <c r="H15" s="73"/>
      <c r="I15" s="73"/>
      <c r="J15" s="73"/>
      <c r="K15" s="73"/>
      <c r="L15" s="73"/>
      <c r="M15" s="73"/>
      <c r="N15" s="73"/>
      <c r="O15" s="73"/>
      <c r="P15" s="73"/>
      <c r="Q15" s="73"/>
      <c r="R15" s="73"/>
      <c r="S15" s="73"/>
      <c r="T15" s="73"/>
      <c r="U15" s="73"/>
      <c r="V15" s="73"/>
      <c r="W15" s="73"/>
      <c r="X15" s="73"/>
    </row>
    <row r="16" spans="1:24">
      <c r="A16" s="73"/>
      <c r="B16" s="73"/>
      <c r="C16" s="73"/>
      <c r="D16" s="73"/>
      <c r="E16" s="73"/>
      <c r="F16" s="73"/>
      <c r="G16" s="73"/>
      <c r="H16" s="73"/>
      <c r="I16" s="73"/>
      <c r="J16" s="73"/>
      <c r="K16" s="73"/>
      <c r="L16" s="73"/>
      <c r="M16" s="73"/>
      <c r="N16" s="73"/>
      <c r="O16" s="73"/>
      <c r="P16" s="73"/>
      <c r="Q16" s="73"/>
      <c r="R16" s="73"/>
      <c r="S16" s="73"/>
      <c r="T16" s="73"/>
      <c r="U16" s="73"/>
      <c r="V16" s="73"/>
      <c r="W16" s="73"/>
      <c r="X16" s="73"/>
    </row>
    <row r="17" spans="1:24">
      <c r="A17" s="73"/>
      <c r="B17" s="73"/>
      <c r="C17" s="73"/>
      <c r="D17" s="73"/>
      <c r="E17" s="73"/>
      <c r="F17" s="73"/>
      <c r="G17" s="73"/>
      <c r="H17" s="73"/>
      <c r="I17" s="73"/>
      <c r="J17" s="73"/>
      <c r="K17" s="73"/>
      <c r="L17" s="73"/>
      <c r="M17" s="73"/>
      <c r="N17" s="73"/>
      <c r="O17" s="73"/>
      <c r="P17" s="73"/>
      <c r="Q17" s="73"/>
      <c r="R17" s="73"/>
      <c r="S17" s="73"/>
      <c r="T17" s="73"/>
      <c r="U17" s="73"/>
      <c r="V17" s="73"/>
      <c r="W17" s="73"/>
      <c r="X17" s="73"/>
    </row>
    <row r="18" spans="1:24">
      <c r="A18" s="73"/>
      <c r="B18" s="73"/>
      <c r="C18" s="73"/>
      <c r="D18" s="73"/>
      <c r="E18" s="73"/>
      <c r="F18" s="73"/>
      <c r="G18" s="73"/>
      <c r="H18" s="73"/>
      <c r="I18" s="73"/>
      <c r="J18" s="73"/>
      <c r="K18" s="73"/>
      <c r="L18" s="73"/>
      <c r="M18" s="73"/>
      <c r="N18" s="73"/>
      <c r="O18" s="73"/>
      <c r="P18" s="73"/>
      <c r="Q18" s="73"/>
      <c r="R18" s="73"/>
      <c r="S18" s="73"/>
      <c r="T18" s="73"/>
      <c r="U18" s="73"/>
      <c r="V18" s="73"/>
      <c r="W18" s="73"/>
      <c r="X18" s="73"/>
    </row>
    <row r="19" spans="1:24">
      <c r="A19" s="73"/>
      <c r="B19" s="73"/>
      <c r="C19" s="73"/>
      <c r="D19" s="73"/>
      <c r="E19" s="73"/>
      <c r="F19" s="73"/>
      <c r="G19" s="73"/>
      <c r="H19" s="73"/>
      <c r="I19" s="73"/>
      <c r="J19" s="73"/>
      <c r="K19" s="73"/>
      <c r="L19" s="73"/>
      <c r="M19" s="73"/>
      <c r="N19" s="73"/>
      <c r="O19" s="73"/>
      <c r="P19" s="73"/>
      <c r="Q19" s="73"/>
      <c r="R19" s="73"/>
      <c r="S19" s="73"/>
      <c r="T19" s="73"/>
      <c r="U19" s="73"/>
      <c r="V19" s="73"/>
      <c r="W19" s="73"/>
      <c r="X19" s="73"/>
    </row>
    <row r="20" spans="1:24">
      <c r="A20" s="73"/>
      <c r="B20" s="73"/>
      <c r="C20" s="73"/>
      <c r="D20" s="73"/>
      <c r="E20" s="73"/>
      <c r="F20" s="73"/>
      <c r="G20" s="73"/>
      <c r="H20" s="73"/>
      <c r="I20" s="73"/>
      <c r="J20" s="73"/>
      <c r="K20" s="73"/>
      <c r="L20" s="73"/>
      <c r="M20" s="73"/>
      <c r="N20" s="73"/>
      <c r="O20" s="73"/>
      <c r="P20" s="73"/>
      <c r="Q20" s="73"/>
      <c r="R20" s="73"/>
      <c r="S20" s="73"/>
      <c r="T20" s="73"/>
      <c r="U20" s="73"/>
      <c r="V20" s="73"/>
      <c r="W20" s="73"/>
      <c r="X20" s="73"/>
    </row>
    <row r="21" spans="1:24">
      <c r="A21" s="73"/>
      <c r="B21" s="73"/>
      <c r="C21" s="73"/>
      <c r="D21" s="73"/>
      <c r="E21" s="73"/>
      <c r="F21" s="73"/>
      <c r="G21" s="73"/>
      <c r="H21" s="73"/>
      <c r="I21" s="73"/>
      <c r="J21" s="73"/>
      <c r="K21" s="73"/>
      <c r="L21" s="73"/>
      <c r="M21" s="73"/>
      <c r="N21" s="73"/>
      <c r="O21" s="73"/>
      <c r="P21" s="73"/>
      <c r="Q21" s="73"/>
      <c r="R21" s="73"/>
      <c r="S21" s="73"/>
      <c r="T21" s="73"/>
      <c r="U21" s="73"/>
      <c r="V21" s="73"/>
      <c r="W21" s="73"/>
      <c r="X21" s="73"/>
    </row>
    <row r="22" spans="1:24">
      <c r="A22" s="73"/>
      <c r="B22" s="73"/>
      <c r="C22" s="73"/>
      <c r="D22" s="73"/>
      <c r="E22" s="73"/>
      <c r="F22" s="73"/>
      <c r="G22" s="73"/>
      <c r="H22" s="73"/>
      <c r="I22" s="73"/>
      <c r="J22" s="73"/>
      <c r="K22" s="73"/>
      <c r="L22" s="73"/>
      <c r="M22" s="73"/>
      <c r="N22" s="73"/>
      <c r="O22" s="73"/>
      <c r="P22" s="73"/>
      <c r="Q22" s="73"/>
      <c r="R22" s="73"/>
      <c r="S22" s="73"/>
      <c r="T22" s="73"/>
      <c r="U22" s="73"/>
      <c r="V22" s="73"/>
      <c r="W22" s="73"/>
      <c r="X22" s="73"/>
    </row>
    <row r="23" spans="1:24">
      <c r="A23" s="73"/>
      <c r="B23" s="73"/>
      <c r="C23" s="73"/>
      <c r="D23" s="73"/>
      <c r="E23" s="73"/>
      <c r="F23" s="73"/>
      <c r="G23" s="73"/>
      <c r="H23" s="73"/>
      <c r="I23" s="73"/>
      <c r="J23" s="73"/>
      <c r="K23" s="73"/>
      <c r="L23" s="73"/>
      <c r="M23" s="73"/>
      <c r="N23" s="73"/>
      <c r="O23" s="73"/>
      <c r="P23" s="73"/>
      <c r="Q23" s="73"/>
      <c r="R23" s="73"/>
      <c r="S23" s="73"/>
      <c r="T23" s="73"/>
      <c r="U23" s="73"/>
      <c r="V23" s="73"/>
      <c r="W23" s="73"/>
      <c r="X23" s="73"/>
    </row>
    <row r="24" spans="1:24">
      <c r="A24" s="73"/>
      <c r="B24" s="73"/>
      <c r="C24" s="73"/>
      <c r="D24" s="73"/>
      <c r="E24" s="73"/>
      <c r="F24" s="73"/>
      <c r="G24" s="73"/>
      <c r="H24" s="73"/>
      <c r="I24" s="73"/>
      <c r="J24" s="73"/>
      <c r="K24" s="73"/>
      <c r="L24" s="73"/>
      <c r="M24" s="73"/>
      <c r="N24" s="73"/>
      <c r="O24" s="73"/>
      <c r="P24" s="73"/>
      <c r="Q24" s="73"/>
      <c r="R24" s="73"/>
      <c r="S24" s="73"/>
      <c r="T24" s="73"/>
      <c r="U24" s="73"/>
      <c r="V24" s="73"/>
      <c r="W24" s="73"/>
      <c r="X24" s="73"/>
    </row>
    <row r="25" spans="1:24">
      <c r="A25" s="73"/>
      <c r="B25" s="73"/>
      <c r="C25" s="73"/>
      <c r="D25" s="73"/>
      <c r="E25" s="73"/>
      <c r="F25" s="73"/>
      <c r="G25" s="73"/>
      <c r="H25" s="73"/>
      <c r="I25" s="73"/>
      <c r="J25" s="73"/>
      <c r="K25" s="73"/>
      <c r="L25" s="73"/>
      <c r="M25" s="73"/>
      <c r="N25" s="73"/>
      <c r="O25" s="73"/>
      <c r="P25" s="73"/>
      <c r="Q25" s="73"/>
      <c r="R25" s="73"/>
      <c r="S25" s="73"/>
      <c r="T25" s="73"/>
      <c r="U25" s="73"/>
      <c r="V25" s="73"/>
      <c r="W25" s="73"/>
      <c r="X25" s="73"/>
    </row>
    <row r="26" spans="1:24">
      <c r="A26" s="73"/>
      <c r="B26" s="73"/>
      <c r="C26" s="73"/>
      <c r="D26" s="73"/>
      <c r="E26" s="73"/>
      <c r="F26" s="73"/>
      <c r="G26" s="73"/>
      <c r="H26" s="73"/>
      <c r="I26" s="73"/>
      <c r="J26" s="73"/>
      <c r="K26" s="73"/>
      <c r="L26" s="73"/>
      <c r="M26" s="73"/>
      <c r="N26" s="73"/>
      <c r="O26" s="73"/>
      <c r="P26" s="73"/>
      <c r="Q26" s="73"/>
      <c r="R26" s="73"/>
      <c r="S26" s="73"/>
      <c r="T26" s="73"/>
      <c r="U26" s="73"/>
      <c r="V26" s="73"/>
      <c r="W26" s="73"/>
      <c r="X26" s="73"/>
    </row>
    <row r="27" spans="1:24">
      <c r="A27" s="73"/>
      <c r="B27" s="73"/>
      <c r="C27" s="73"/>
      <c r="D27" s="73"/>
      <c r="E27" s="73"/>
      <c r="F27" s="73"/>
      <c r="G27" s="73"/>
      <c r="H27" s="73"/>
      <c r="I27" s="73"/>
      <c r="J27" s="73"/>
      <c r="K27" s="73"/>
      <c r="L27" s="73"/>
      <c r="M27" s="73"/>
      <c r="N27" s="73"/>
      <c r="O27" s="73"/>
      <c r="P27" s="73"/>
      <c r="Q27" s="73"/>
      <c r="R27" s="73"/>
      <c r="S27" s="73"/>
      <c r="T27" s="73"/>
      <c r="U27" s="73"/>
      <c r="V27" s="73"/>
      <c r="W27" s="73"/>
      <c r="X27" s="73"/>
    </row>
    <row r="28" spans="1:24">
      <c r="A28" s="73"/>
      <c r="B28" s="73"/>
      <c r="C28" s="73"/>
      <c r="D28" s="73"/>
      <c r="E28" s="73"/>
      <c r="F28" s="73"/>
      <c r="G28" s="73"/>
      <c r="H28" s="73"/>
      <c r="I28" s="73"/>
      <c r="J28" s="73"/>
      <c r="K28" s="73"/>
      <c r="L28" s="73"/>
      <c r="M28" s="73"/>
      <c r="N28" s="73"/>
      <c r="O28" s="73"/>
      <c r="P28" s="73"/>
      <c r="Q28" s="73"/>
      <c r="R28" s="73"/>
      <c r="S28" s="73"/>
      <c r="T28" s="73"/>
      <c r="U28" s="73"/>
      <c r="V28" s="73"/>
      <c r="W28" s="73"/>
      <c r="X28" s="73"/>
    </row>
    <row r="29" spans="1:24">
      <c r="A29" s="73"/>
      <c r="B29" s="73"/>
      <c r="C29" s="73"/>
      <c r="D29" s="73"/>
      <c r="E29" s="73"/>
      <c r="F29" s="73"/>
      <c r="G29" s="73"/>
      <c r="H29" s="73"/>
      <c r="I29" s="73"/>
      <c r="J29" s="73"/>
      <c r="K29" s="73"/>
      <c r="L29" s="73"/>
      <c r="M29" s="73"/>
      <c r="N29" s="73"/>
      <c r="O29" s="73"/>
      <c r="P29" s="73"/>
      <c r="Q29" s="73"/>
      <c r="R29" s="73"/>
      <c r="S29" s="73"/>
      <c r="T29" s="73"/>
      <c r="U29" s="73"/>
      <c r="V29" s="73"/>
      <c r="W29" s="73"/>
      <c r="X29" s="73"/>
    </row>
    <row r="30" spans="1:24">
      <c r="A30" s="73"/>
      <c r="B30" s="73"/>
      <c r="C30" s="73"/>
      <c r="D30" s="73"/>
      <c r="E30" s="73"/>
      <c r="F30" s="73"/>
      <c r="G30" s="73"/>
      <c r="H30" s="73"/>
      <c r="I30" s="73"/>
      <c r="J30" s="73"/>
      <c r="K30" s="73"/>
      <c r="L30" s="73"/>
      <c r="M30" s="73"/>
      <c r="N30" s="73"/>
      <c r="O30" s="73"/>
      <c r="P30" s="73"/>
      <c r="Q30" s="73"/>
      <c r="R30" s="73"/>
      <c r="S30" s="73"/>
      <c r="T30" s="73"/>
      <c r="U30" s="73"/>
      <c r="V30" s="73"/>
      <c r="W30" s="73"/>
      <c r="X30" s="73"/>
    </row>
    <row r="31" spans="1:24">
      <c r="A31" s="73"/>
      <c r="B31" s="73"/>
      <c r="C31" s="73"/>
      <c r="D31" s="73"/>
      <c r="E31" s="73"/>
      <c r="F31" s="73"/>
      <c r="G31" s="73"/>
      <c r="H31" s="73"/>
      <c r="I31" s="73"/>
      <c r="J31" s="73"/>
      <c r="K31" s="73"/>
      <c r="L31" s="73"/>
      <c r="M31" s="73"/>
      <c r="N31" s="73"/>
      <c r="O31" s="73"/>
      <c r="P31" s="73"/>
      <c r="Q31" s="73"/>
      <c r="R31" s="73"/>
      <c r="S31" s="73"/>
      <c r="T31" s="73"/>
      <c r="U31" s="73"/>
      <c r="V31" s="73"/>
      <c r="W31" s="73"/>
      <c r="X31" s="73"/>
    </row>
    <row r="32" spans="1:24">
      <c r="A32" s="73"/>
      <c r="B32" s="73"/>
      <c r="C32" s="73"/>
      <c r="D32" s="73"/>
      <c r="E32" s="73"/>
      <c r="F32" s="73"/>
      <c r="G32" s="73"/>
      <c r="H32" s="73"/>
      <c r="I32" s="73"/>
      <c r="J32" s="73"/>
      <c r="K32" s="73"/>
      <c r="L32" s="73"/>
      <c r="M32" s="73"/>
      <c r="N32" s="73"/>
      <c r="O32" s="73"/>
      <c r="P32" s="73"/>
      <c r="Q32" s="73"/>
      <c r="R32" s="73"/>
      <c r="S32" s="73"/>
      <c r="T32" s="73"/>
      <c r="U32" s="73"/>
      <c r="V32" s="73"/>
      <c r="W32" s="73"/>
      <c r="X32" s="73"/>
    </row>
    <row r="33" spans="1:24">
      <c r="A33" s="73"/>
      <c r="B33" s="73"/>
      <c r="C33" s="73"/>
      <c r="D33" s="73"/>
      <c r="E33" s="73"/>
      <c r="F33" s="73"/>
      <c r="G33" s="73"/>
      <c r="H33" s="73"/>
      <c r="I33" s="73"/>
      <c r="J33" s="73"/>
      <c r="K33" s="73"/>
      <c r="L33" s="73"/>
      <c r="M33" s="73"/>
      <c r="N33" s="73"/>
      <c r="O33" s="73"/>
      <c r="P33" s="73"/>
      <c r="Q33" s="73"/>
      <c r="R33" s="73"/>
      <c r="S33" s="73"/>
      <c r="T33" s="73"/>
      <c r="U33" s="73"/>
      <c r="V33" s="73"/>
      <c r="W33" s="73"/>
      <c r="X33" s="73"/>
    </row>
    <row r="34" spans="1:24">
      <c r="A34" s="73"/>
      <c r="B34" s="73"/>
      <c r="C34" s="73"/>
      <c r="D34" s="73"/>
      <c r="E34" s="73"/>
      <c r="F34" s="73"/>
      <c r="G34" s="73"/>
      <c r="H34" s="73"/>
      <c r="I34" s="73"/>
      <c r="J34" s="73"/>
      <c r="K34" s="73"/>
      <c r="L34" s="73"/>
      <c r="M34" s="73"/>
      <c r="N34" s="73"/>
      <c r="O34" s="73"/>
      <c r="P34" s="73"/>
      <c r="Q34" s="73"/>
      <c r="R34" s="73"/>
      <c r="S34" s="73"/>
      <c r="T34" s="73"/>
      <c r="U34" s="73"/>
      <c r="V34" s="73"/>
      <c r="W34" s="73"/>
      <c r="X34" s="73"/>
    </row>
    <row r="35" spans="1:24">
      <c r="A35" s="73"/>
      <c r="B35" s="73"/>
      <c r="C35" s="73"/>
      <c r="D35" s="73"/>
      <c r="E35" s="73"/>
      <c r="F35" s="73"/>
      <c r="G35" s="73"/>
      <c r="H35" s="73"/>
      <c r="I35" s="73"/>
      <c r="J35" s="73"/>
      <c r="K35" s="73"/>
      <c r="L35" s="73"/>
      <c r="M35" s="73"/>
      <c r="N35" s="73"/>
      <c r="O35" s="73"/>
      <c r="P35" s="73"/>
      <c r="Q35" s="73"/>
      <c r="R35" s="73"/>
      <c r="S35" s="73"/>
      <c r="T35" s="73"/>
      <c r="U35" s="73"/>
      <c r="V35" s="73"/>
      <c r="W35" s="73"/>
      <c r="X35" s="73"/>
    </row>
    <row r="36" spans="1:24">
      <c r="A36" s="73"/>
      <c r="B36" s="73"/>
      <c r="C36" s="73"/>
      <c r="D36" s="73"/>
      <c r="E36" s="73"/>
      <c r="F36" s="73"/>
      <c r="G36" s="73"/>
      <c r="H36" s="73"/>
      <c r="I36" s="73"/>
      <c r="J36" s="73"/>
      <c r="K36" s="73"/>
      <c r="L36" s="73"/>
      <c r="M36" s="73"/>
      <c r="N36" s="73"/>
      <c r="O36" s="73"/>
      <c r="P36" s="73"/>
      <c r="Q36" s="73"/>
      <c r="R36" s="73"/>
      <c r="S36" s="73"/>
      <c r="T36" s="73"/>
      <c r="U36" s="73"/>
      <c r="V36" s="73"/>
      <c r="W36" s="73"/>
      <c r="X36" s="73"/>
    </row>
    <row r="37" spans="1:24">
      <c r="A37" s="73"/>
      <c r="B37" s="73"/>
      <c r="C37" s="73"/>
      <c r="D37" s="73"/>
      <c r="E37" s="73"/>
      <c r="F37" s="73"/>
      <c r="G37" s="73"/>
      <c r="H37" s="73"/>
      <c r="I37" s="73"/>
      <c r="J37" s="73"/>
      <c r="K37" s="73"/>
      <c r="L37" s="73"/>
      <c r="M37" s="73"/>
      <c r="N37" s="73"/>
      <c r="O37" s="73"/>
      <c r="P37" s="73"/>
      <c r="Q37" s="73"/>
      <c r="R37" s="73"/>
      <c r="S37" s="73"/>
      <c r="T37" s="73"/>
      <c r="U37" s="73"/>
      <c r="V37" s="73"/>
      <c r="W37" s="73"/>
      <c r="X37" s="73"/>
    </row>
    <row r="38" spans="1:24">
      <c r="A38" s="73"/>
      <c r="B38" s="73"/>
      <c r="C38" s="73"/>
      <c r="D38" s="73"/>
      <c r="E38" s="73"/>
      <c r="F38" s="73"/>
      <c r="G38" s="73"/>
      <c r="H38" s="73"/>
      <c r="I38" s="73"/>
      <c r="J38" s="73"/>
      <c r="K38" s="73"/>
      <c r="L38" s="73"/>
      <c r="M38" s="73"/>
      <c r="N38" s="73"/>
      <c r="O38" s="73"/>
      <c r="P38" s="73"/>
      <c r="Q38" s="73"/>
      <c r="R38" s="73"/>
      <c r="S38" s="73"/>
      <c r="T38" s="73"/>
      <c r="U38" s="73"/>
      <c r="V38" s="73"/>
      <c r="W38" s="73"/>
      <c r="X38" s="73"/>
    </row>
    <row r="39" spans="1:24">
      <c r="A39" s="73"/>
      <c r="B39" s="73"/>
      <c r="C39" s="73"/>
      <c r="D39" s="73"/>
      <c r="E39" s="73"/>
      <c r="F39" s="73"/>
      <c r="G39" s="73"/>
      <c r="H39" s="73"/>
      <c r="I39" s="73"/>
      <c r="J39" s="73"/>
      <c r="K39" s="73"/>
      <c r="L39" s="73"/>
      <c r="M39" s="73"/>
      <c r="N39" s="73"/>
      <c r="O39" s="73"/>
      <c r="P39" s="73"/>
      <c r="Q39" s="73"/>
      <c r="R39" s="73"/>
      <c r="S39" s="73"/>
      <c r="T39" s="73"/>
      <c r="U39" s="73"/>
      <c r="V39" s="73"/>
      <c r="W39" s="73"/>
      <c r="X39" s="73"/>
    </row>
    <row r="40" spans="1:24">
      <c r="A40" s="73"/>
      <c r="B40" s="73"/>
      <c r="C40" s="73"/>
      <c r="D40" s="73"/>
      <c r="E40" s="73"/>
      <c r="F40" s="73"/>
      <c r="G40" s="73"/>
      <c r="H40" s="73"/>
      <c r="I40" s="73"/>
      <c r="J40" s="73"/>
      <c r="K40" s="73"/>
      <c r="L40" s="73"/>
      <c r="M40" s="73"/>
      <c r="N40" s="73"/>
      <c r="O40" s="73"/>
      <c r="P40" s="73"/>
      <c r="Q40" s="73"/>
      <c r="R40" s="73"/>
      <c r="S40" s="73"/>
      <c r="T40" s="73"/>
      <c r="U40" s="73"/>
      <c r="V40" s="73"/>
      <c r="W40" s="73"/>
      <c r="X40" s="73"/>
    </row>
    <row r="41" spans="1:24">
      <c r="A41" s="73"/>
      <c r="B41" s="73"/>
      <c r="C41" s="73"/>
      <c r="D41" s="73"/>
      <c r="E41" s="73"/>
      <c r="F41" s="73"/>
      <c r="G41" s="73"/>
      <c r="H41" s="73"/>
      <c r="I41" s="73"/>
      <c r="J41" s="73"/>
      <c r="K41" s="73"/>
      <c r="L41" s="73"/>
      <c r="M41" s="73"/>
      <c r="N41" s="73"/>
      <c r="O41" s="73"/>
      <c r="P41" s="73"/>
      <c r="Q41" s="73"/>
      <c r="R41" s="73"/>
      <c r="S41" s="73"/>
      <c r="T41" s="73"/>
      <c r="U41" s="73"/>
      <c r="V41" s="73"/>
      <c r="W41" s="73"/>
      <c r="X41" s="73"/>
    </row>
    <row r="42" spans="1:24">
      <c r="A42" s="73"/>
      <c r="B42" s="73"/>
      <c r="C42" s="73"/>
      <c r="D42" s="73"/>
      <c r="E42" s="73"/>
      <c r="F42" s="73"/>
      <c r="G42" s="73"/>
      <c r="H42" s="73"/>
      <c r="I42" s="73"/>
      <c r="J42" s="73"/>
      <c r="K42" s="73"/>
      <c r="L42" s="73"/>
      <c r="M42" s="73"/>
      <c r="N42" s="73"/>
      <c r="O42" s="73"/>
      <c r="P42" s="73"/>
      <c r="Q42" s="73"/>
      <c r="R42" s="73"/>
      <c r="S42" s="73"/>
      <c r="T42" s="73"/>
      <c r="U42" s="73"/>
      <c r="V42" s="73"/>
      <c r="W42" s="73"/>
      <c r="X42" s="73"/>
    </row>
    <row r="43" spans="1:24">
      <c r="A43" s="73"/>
      <c r="B43" s="73"/>
      <c r="C43" s="73"/>
      <c r="D43" s="73"/>
      <c r="E43" s="73"/>
      <c r="F43" s="73"/>
      <c r="G43" s="73"/>
      <c r="H43" s="73"/>
      <c r="I43" s="73"/>
      <c r="J43" s="73"/>
      <c r="K43" s="73"/>
      <c r="L43" s="73"/>
      <c r="M43" s="73"/>
      <c r="N43" s="73"/>
      <c r="O43" s="73"/>
      <c r="P43" s="73"/>
      <c r="Q43" s="73"/>
      <c r="R43" s="73"/>
      <c r="S43" s="73"/>
      <c r="T43" s="73"/>
      <c r="U43" s="73"/>
      <c r="V43" s="73"/>
      <c r="W43" s="73"/>
      <c r="X43" s="73"/>
    </row>
    <row r="44" spans="1:24">
      <c r="A44" s="73"/>
      <c r="B44" s="73"/>
      <c r="C44" s="73"/>
      <c r="D44" s="73"/>
      <c r="E44" s="73"/>
      <c r="F44" s="73"/>
      <c r="G44" s="73"/>
      <c r="H44" s="73"/>
      <c r="I44" s="73"/>
      <c r="J44" s="73"/>
      <c r="K44" s="73"/>
      <c r="L44" s="73"/>
      <c r="M44" s="73"/>
      <c r="N44" s="73"/>
      <c r="O44" s="73"/>
      <c r="P44" s="73"/>
      <c r="Q44" s="73"/>
      <c r="R44" s="73"/>
      <c r="S44" s="73"/>
      <c r="T44" s="73"/>
      <c r="U44" s="73"/>
      <c r="V44" s="73"/>
      <c r="W44" s="73"/>
      <c r="X44" s="73"/>
    </row>
    <row r="45" spans="1:24">
      <c r="A45" s="73"/>
      <c r="B45" s="73"/>
      <c r="C45" s="73"/>
      <c r="D45" s="73"/>
      <c r="E45" s="73"/>
      <c r="F45" s="73"/>
      <c r="G45" s="73"/>
      <c r="H45" s="73"/>
      <c r="I45" s="73"/>
      <c r="J45" s="73"/>
      <c r="K45" s="73"/>
      <c r="L45" s="73"/>
      <c r="M45" s="73"/>
      <c r="N45" s="73"/>
      <c r="O45" s="73"/>
      <c r="P45" s="73"/>
      <c r="Q45" s="73"/>
      <c r="R45" s="73"/>
      <c r="S45" s="73"/>
      <c r="T45" s="73"/>
      <c r="U45" s="73"/>
      <c r="V45" s="73"/>
      <c r="W45" s="73"/>
      <c r="X45" s="73"/>
    </row>
    <row r="46" spans="1:24">
      <c r="A46" s="73"/>
      <c r="B46" s="73"/>
      <c r="C46" s="73"/>
      <c r="D46" s="73"/>
      <c r="E46" s="73"/>
      <c r="F46" s="73"/>
      <c r="G46" s="73"/>
      <c r="H46" s="73"/>
      <c r="I46" s="73"/>
      <c r="J46" s="73"/>
      <c r="K46" s="73"/>
      <c r="L46" s="73"/>
      <c r="M46" s="73"/>
      <c r="N46" s="73"/>
      <c r="O46" s="73"/>
      <c r="P46" s="73"/>
      <c r="Q46" s="73"/>
      <c r="R46" s="73"/>
      <c r="S46" s="73"/>
      <c r="T46" s="73"/>
      <c r="U46" s="73"/>
      <c r="V46" s="73"/>
      <c r="W46" s="73"/>
      <c r="X46" s="73"/>
    </row>
    <row r="47" spans="1:24">
      <c r="A47" s="73"/>
      <c r="B47" s="73"/>
      <c r="C47" s="73"/>
      <c r="D47" s="73"/>
      <c r="E47" s="73"/>
      <c r="F47" s="73"/>
      <c r="G47" s="73"/>
      <c r="H47" s="73"/>
      <c r="I47" s="73"/>
      <c r="J47" s="73"/>
      <c r="K47" s="73"/>
      <c r="L47" s="73"/>
      <c r="M47" s="73"/>
      <c r="N47" s="73"/>
      <c r="O47" s="73"/>
      <c r="P47" s="73"/>
      <c r="Q47" s="73"/>
      <c r="R47" s="73"/>
      <c r="S47" s="73"/>
      <c r="T47" s="73"/>
      <c r="U47" s="73"/>
      <c r="V47" s="73"/>
      <c r="W47" s="73"/>
      <c r="X47" s="73"/>
    </row>
    <row r="48" spans="1:24">
      <c r="A48" s="73"/>
      <c r="B48" s="73"/>
      <c r="C48" s="73"/>
      <c r="D48" s="73"/>
      <c r="E48" s="73"/>
      <c r="F48" s="73"/>
      <c r="G48" s="73"/>
      <c r="H48" s="73"/>
      <c r="I48" s="73"/>
      <c r="J48" s="73"/>
      <c r="K48" s="73"/>
      <c r="L48" s="73"/>
      <c r="M48" s="73"/>
      <c r="N48" s="73"/>
      <c r="O48" s="73"/>
      <c r="P48" s="73"/>
      <c r="Q48" s="73"/>
      <c r="R48" s="73"/>
      <c r="S48" s="73"/>
      <c r="T48" s="73"/>
      <c r="U48" s="73"/>
      <c r="V48" s="73"/>
      <c r="W48" s="73"/>
      <c r="X48" s="73"/>
    </row>
    <row r="49" spans="1:24">
      <c r="A49" s="73"/>
      <c r="B49" s="73"/>
      <c r="C49" s="73"/>
      <c r="D49" s="73"/>
      <c r="E49" s="73"/>
      <c r="F49" s="73"/>
      <c r="G49" s="73"/>
      <c r="H49" s="73"/>
      <c r="I49" s="73"/>
      <c r="J49" s="73"/>
      <c r="K49" s="73"/>
      <c r="L49" s="73"/>
      <c r="M49" s="73"/>
      <c r="N49" s="73"/>
      <c r="O49" s="73"/>
      <c r="P49" s="73"/>
      <c r="Q49" s="73"/>
      <c r="R49" s="73"/>
      <c r="S49" s="73"/>
      <c r="T49" s="73"/>
      <c r="U49" s="73"/>
      <c r="V49" s="73"/>
      <c r="W49" s="73"/>
      <c r="X49" s="73"/>
    </row>
    <row r="50" spans="1:24">
      <c r="A50" s="73"/>
      <c r="B50" s="73"/>
      <c r="C50" s="73"/>
      <c r="D50" s="73"/>
      <c r="E50" s="73"/>
      <c r="F50" s="73"/>
      <c r="G50" s="73"/>
      <c r="H50" s="73"/>
      <c r="I50" s="73"/>
      <c r="J50" s="73"/>
      <c r="K50" s="73"/>
      <c r="L50" s="73"/>
      <c r="M50" s="73"/>
      <c r="N50" s="73"/>
      <c r="O50" s="73"/>
      <c r="P50" s="73"/>
      <c r="Q50" s="73"/>
      <c r="R50" s="73"/>
      <c r="S50" s="73"/>
      <c r="T50" s="73"/>
      <c r="U50" s="73"/>
      <c r="V50" s="73"/>
      <c r="W50" s="73"/>
      <c r="X50" s="73"/>
    </row>
    <row r="51" spans="1:24">
      <c r="A51" s="73"/>
      <c r="B51" s="73"/>
      <c r="C51" s="73"/>
      <c r="D51" s="73"/>
      <c r="E51" s="73"/>
      <c r="F51" s="73"/>
      <c r="G51" s="73"/>
      <c r="H51" s="73"/>
      <c r="I51" s="73"/>
      <c r="J51" s="73"/>
      <c r="K51" s="73"/>
      <c r="L51" s="73"/>
      <c r="M51" s="73"/>
      <c r="N51" s="73"/>
      <c r="O51" s="73"/>
      <c r="P51" s="73"/>
      <c r="Q51" s="73"/>
      <c r="R51" s="73"/>
      <c r="S51" s="73"/>
      <c r="T51" s="73"/>
      <c r="U51" s="73"/>
      <c r="V51" s="73"/>
      <c r="W51" s="73"/>
      <c r="X51" s="73"/>
    </row>
    <row r="52" spans="1:24">
      <c r="A52" s="73"/>
      <c r="B52" s="73"/>
      <c r="C52" s="73"/>
      <c r="D52" s="73"/>
      <c r="E52" s="73"/>
      <c r="F52" s="73"/>
      <c r="G52" s="73"/>
      <c r="H52" s="73"/>
      <c r="I52" s="73"/>
      <c r="J52" s="73"/>
      <c r="K52" s="73"/>
      <c r="L52" s="73"/>
      <c r="M52" s="73"/>
      <c r="N52" s="73"/>
      <c r="O52" s="73"/>
      <c r="P52" s="73"/>
      <c r="Q52" s="73"/>
      <c r="R52" s="73"/>
      <c r="S52" s="73"/>
      <c r="T52" s="73"/>
      <c r="U52" s="73"/>
      <c r="V52" s="73"/>
      <c r="W52" s="73"/>
      <c r="X52" s="73"/>
    </row>
    <row r="53" spans="1:24">
      <c r="A53" s="73"/>
      <c r="B53" s="73"/>
      <c r="C53" s="73"/>
      <c r="D53" s="73"/>
      <c r="E53" s="73"/>
      <c r="F53" s="73"/>
      <c r="G53" s="73"/>
      <c r="H53" s="73"/>
      <c r="I53" s="73"/>
      <c r="J53" s="73"/>
      <c r="K53" s="73"/>
      <c r="L53" s="73"/>
      <c r="M53" s="73"/>
      <c r="N53" s="73"/>
      <c r="O53" s="73"/>
      <c r="P53" s="73"/>
      <c r="Q53" s="73"/>
      <c r="R53" s="73"/>
      <c r="S53" s="73"/>
      <c r="T53" s="73"/>
      <c r="U53" s="73"/>
      <c r="V53" s="73"/>
      <c r="W53" s="73"/>
      <c r="X53" s="73"/>
    </row>
    <row r="54" spans="1:24">
      <c r="A54" s="73"/>
      <c r="B54" s="73"/>
      <c r="C54" s="73"/>
      <c r="D54" s="73"/>
      <c r="E54" s="73"/>
      <c r="F54" s="73"/>
      <c r="G54" s="73"/>
      <c r="H54" s="73"/>
      <c r="I54" s="73"/>
      <c r="J54" s="73"/>
      <c r="K54" s="73"/>
      <c r="L54" s="73"/>
      <c r="M54" s="73"/>
      <c r="N54" s="73"/>
      <c r="O54" s="73"/>
      <c r="P54" s="73"/>
      <c r="Q54" s="73"/>
      <c r="R54" s="73"/>
      <c r="S54" s="73"/>
      <c r="T54" s="73"/>
      <c r="U54" s="73"/>
      <c r="V54" s="73"/>
      <c r="W54" s="73"/>
      <c r="X54" s="73"/>
    </row>
    <row r="55" spans="1:24">
      <c r="A55" s="73"/>
      <c r="B55" s="73"/>
      <c r="C55" s="73"/>
      <c r="D55" s="73"/>
      <c r="E55" s="73"/>
      <c r="F55" s="73"/>
      <c r="G55" s="73"/>
      <c r="H55" s="73"/>
      <c r="I55" s="73"/>
      <c r="J55" s="73"/>
      <c r="K55" s="73"/>
      <c r="L55" s="73"/>
      <c r="M55" s="73"/>
      <c r="N55" s="73"/>
      <c r="O55" s="73"/>
      <c r="P55" s="73"/>
      <c r="Q55" s="73"/>
      <c r="R55" s="73"/>
      <c r="S55" s="73"/>
      <c r="T55" s="73"/>
      <c r="U55" s="73"/>
      <c r="V55" s="73"/>
      <c r="W55" s="73"/>
      <c r="X55" s="73"/>
    </row>
    <row r="56" spans="1:24">
      <c r="A56" s="73"/>
      <c r="B56" s="73"/>
      <c r="C56" s="73"/>
      <c r="D56" s="73"/>
      <c r="E56" s="73"/>
      <c r="F56" s="73"/>
      <c r="G56" s="73"/>
      <c r="H56" s="73"/>
      <c r="I56" s="73"/>
      <c r="J56" s="73"/>
      <c r="K56" s="73"/>
      <c r="L56" s="73"/>
      <c r="M56" s="73"/>
      <c r="N56" s="73"/>
      <c r="O56" s="73"/>
      <c r="P56" s="73"/>
      <c r="Q56" s="73"/>
      <c r="R56" s="73"/>
      <c r="S56" s="73"/>
      <c r="T56" s="73"/>
      <c r="U56" s="73"/>
      <c r="V56" s="73"/>
      <c r="W56" s="73"/>
      <c r="X56" s="73"/>
    </row>
    <row r="57" spans="1:24">
      <c r="A57" s="73"/>
      <c r="B57" s="73"/>
      <c r="C57" s="73"/>
      <c r="D57" s="73"/>
      <c r="E57" s="73"/>
      <c r="F57" s="73"/>
      <c r="G57" s="73"/>
      <c r="H57" s="73"/>
      <c r="I57" s="73"/>
      <c r="J57" s="73"/>
      <c r="K57" s="73"/>
      <c r="L57" s="73"/>
      <c r="M57" s="73"/>
      <c r="N57" s="73"/>
      <c r="O57" s="73"/>
      <c r="P57" s="73"/>
      <c r="Q57" s="73"/>
      <c r="R57" s="73"/>
      <c r="S57" s="73"/>
      <c r="T57" s="73"/>
      <c r="U57" s="73"/>
      <c r="V57" s="73"/>
      <c r="W57" s="73"/>
      <c r="X57" s="73"/>
    </row>
    <row r="58" spans="1:24">
      <c r="A58" s="73"/>
      <c r="B58" s="73"/>
      <c r="C58" s="73"/>
      <c r="D58" s="73"/>
      <c r="E58" s="73"/>
      <c r="F58" s="73"/>
      <c r="G58" s="73"/>
      <c r="H58" s="73"/>
      <c r="I58" s="73"/>
      <c r="J58" s="73"/>
      <c r="K58" s="73"/>
      <c r="L58" s="73"/>
      <c r="M58" s="73"/>
      <c r="N58" s="73"/>
      <c r="O58" s="73"/>
      <c r="P58" s="73"/>
      <c r="Q58" s="73"/>
      <c r="R58" s="73"/>
      <c r="S58" s="73"/>
      <c r="T58" s="73"/>
      <c r="U58" s="73"/>
      <c r="V58" s="73"/>
      <c r="W58" s="73"/>
      <c r="X58" s="73"/>
    </row>
    <row r="59" spans="1:24">
      <c r="A59" s="73"/>
      <c r="B59" s="73"/>
      <c r="C59" s="73"/>
      <c r="D59" s="73"/>
      <c r="E59" s="73"/>
      <c r="F59" s="73"/>
      <c r="G59" s="73"/>
      <c r="H59" s="73"/>
      <c r="I59" s="73"/>
      <c r="J59" s="73"/>
      <c r="K59" s="73"/>
      <c r="L59" s="73"/>
      <c r="M59" s="73"/>
      <c r="N59" s="73"/>
      <c r="O59" s="73"/>
      <c r="P59" s="73"/>
      <c r="Q59" s="73"/>
      <c r="R59" s="73"/>
      <c r="S59" s="73"/>
      <c r="T59" s="73"/>
      <c r="U59" s="73"/>
      <c r="V59" s="73"/>
      <c r="W59" s="73"/>
      <c r="X59" s="73"/>
    </row>
    <row r="60" spans="1:24">
      <c r="A60" s="73"/>
      <c r="B60" s="73"/>
      <c r="C60" s="73"/>
      <c r="D60" s="73"/>
      <c r="E60" s="73"/>
      <c r="F60" s="73"/>
      <c r="G60" s="73"/>
      <c r="H60" s="73"/>
      <c r="I60" s="73"/>
      <c r="J60" s="73"/>
      <c r="K60" s="73"/>
      <c r="L60" s="73"/>
      <c r="M60" s="73"/>
      <c r="N60" s="73"/>
      <c r="O60" s="73"/>
      <c r="P60" s="73"/>
      <c r="Q60" s="73"/>
      <c r="R60" s="73"/>
      <c r="S60" s="73"/>
      <c r="T60" s="73"/>
      <c r="U60" s="73"/>
      <c r="V60" s="73"/>
      <c r="W60" s="73"/>
      <c r="X60" s="73"/>
    </row>
    <row r="61" spans="1:24">
      <c r="A61" s="73"/>
      <c r="B61" s="73"/>
      <c r="C61" s="73"/>
      <c r="D61" s="73"/>
      <c r="E61" s="73"/>
      <c r="F61" s="73"/>
      <c r="G61" s="73"/>
      <c r="H61" s="73"/>
      <c r="I61" s="73"/>
      <c r="J61" s="73"/>
      <c r="K61" s="73"/>
      <c r="L61" s="73"/>
      <c r="M61" s="73"/>
      <c r="N61" s="73"/>
      <c r="O61" s="73"/>
      <c r="P61" s="73"/>
      <c r="Q61" s="73"/>
      <c r="R61" s="73"/>
      <c r="S61" s="73"/>
      <c r="T61" s="73"/>
      <c r="U61" s="73"/>
      <c r="V61" s="73"/>
      <c r="W61" s="73"/>
      <c r="X61" s="73"/>
    </row>
    <row r="62" spans="1:24">
      <c r="A62" s="73"/>
      <c r="B62" s="73"/>
      <c r="C62" s="73"/>
      <c r="D62" s="73"/>
      <c r="E62" s="73"/>
      <c r="F62" s="73"/>
      <c r="G62" s="73"/>
      <c r="H62" s="73"/>
      <c r="I62" s="73"/>
      <c r="J62" s="73"/>
      <c r="K62" s="73"/>
      <c r="L62" s="73"/>
      <c r="M62" s="73"/>
      <c r="N62" s="73"/>
      <c r="O62" s="73"/>
      <c r="P62" s="73"/>
      <c r="Q62" s="73"/>
      <c r="R62" s="73"/>
      <c r="S62" s="73"/>
      <c r="T62" s="73"/>
      <c r="U62" s="73"/>
      <c r="V62" s="73"/>
      <c r="W62" s="73"/>
      <c r="X62" s="73"/>
    </row>
    <row r="63" spans="1:24">
      <c r="A63" s="73"/>
      <c r="B63" s="73"/>
      <c r="C63" s="73"/>
      <c r="D63" s="73"/>
      <c r="E63" s="73"/>
      <c r="F63" s="73"/>
      <c r="G63" s="73"/>
      <c r="H63" s="73"/>
      <c r="I63" s="73"/>
      <c r="J63" s="73"/>
      <c r="K63" s="73"/>
      <c r="L63" s="73"/>
      <c r="M63" s="73"/>
      <c r="N63" s="73"/>
      <c r="O63" s="73"/>
      <c r="P63" s="73"/>
      <c r="Q63" s="73"/>
      <c r="R63" s="73"/>
      <c r="S63" s="73"/>
      <c r="T63" s="73"/>
      <c r="U63" s="73"/>
      <c r="V63" s="73"/>
      <c r="W63" s="73"/>
      <c r="X63" s="73"/>
    </row>
    <row r="64" spans="1:24">
      <c r="A64" s="73"/>
      <c r="B64" s="73"/>
      <c r="C64" s="73"/>
      <c r="D64" s="73"/>
      <c r="E64" s="73"/>
      <c r="F64" s="73"/>
      <c r="G64" s="73"/>
      <c r="H64" s="73"/>
      <c r="I64" s="73"/>
      <c r="J64" s="73"/>
      <c r="K64" s="73"/>
      <c r="L64" s="73"/>
      <c r="M64" s="73"/>
      <c r="N64" s="73"/>
      <c r="O64" s="73"/>
      <c r="P64" s="73"/>
      <c r="Q64" s="73"/>
      <c r="R64" s="73"/>
      <c r="S64" s="73"/>
      <c r="T64" s="73"/>
      <c r="U64" s="73"/>
      <c r="V64" s="73"/>
      <c r="W64" s="73"/>
      <c r="X64" s="73"/>
    </row>
    <row r="65" spans="1:24">
      <c r="A65" s="73"/>
      <c r="B65" s="73"/>
      <c r="C65" s="73"/>
      <c r="D65" s="73"/>
      <c r="E65" s="73"/>
      <c r="F65" s="73"/>
      <c r="G65" s="73"/>
      <c r="H65" s="73"/>
      <c r="I65" s="73"/>
      <c r="J65" s="73"/>
      <c r="K65" s="73"/>
      <c r="L65" s="73"/>
      <c r="M65" s="73"/>
      <c r="N65" s="73"/>
      <c r="O65" s="73"/>
      <c r="P65" s="73"/>
      <c r="Q65" s="73"/>
      <c r="R65" s="73"/>
      <c r="S65" s="73"/>
      <c r="T65" s="73"/>
      <c r="U65" s="73"/>
      <c r="V65" s="73"/>
      <c r="W65" s="73"/>
      <c r="X65" s="73"/>
    </row>
    <row r="66" spans="1:24">
      <c r="A66" s="73"/>
      <c r="B66" s="73"/>
      <c r="C66" s="73"/>
      <c r="D66" s="73"/>
      <c r="E66" s="73"/>
      <c r="F66" s="73"/>
      <c r="G66" s="73"/>
      <c r="H66" s="73"/>
      <c r="I66" s="73"/>
      <c r="J66" s="73"/>
      <c r="K66" s="73"/>
      <c r="L66" s="73"/>
      <c r="M66" s="73"/>
      <c r="N66" s="73"/>
      <c r="O66" s="73"/>
      <c r="P66" s="73"/>
      <c r="Q66" s="73"/>
      <c r="R66" s="73"/>
      <c r="S66" s="73"/>
      <c r="T66" s="73"/>
      <c r="U66" s="73"/>
      <c r="V66" s="73"/>
      <c r="W66" s="73"/>
      <c r="X66" s="73"/>
    </row>
    <row r="67" spans="1:24">
      <c r="A67" s="73"/>
      <c r="B67" s="73"/>
      <c r="C67" s="73"/>
      <c r="D67" s="73"/>
      <c r="E67" s="73"/>
      <c r="F67" s="73"/>
      <c r="G67" s="73"/>
      <c r="H67" s="73"/>
      <c r="I67" s="73"/>
      <c r="J67" s="73"/>
      <c r="K67" s="73"/>
      <c r="L67" s="73"/>
      <c r="M67" s="73"/>
      <c r="N67" s="73"/>
      <c r="O67" s="73"/>
      <c r="P67" s="73"/>
      <c r="Q67" s="73"/>
      <c r="R67" s="73"/>
      <c r="S67" s="73"/>
      <c r="T67" s="73"/>
      <c r="U67" s="73"/>
      <c r="V67" s="73"/>
      <c r="W67" s="73"/>
      <c r="X67" s="73"/>
    </row>
    <row r="68" spans="1:24">
      <c r="A68" s="73"/>
      <c r="B68" s="73"/>
      <c r="C68" s="73"/>
      <c r="D68" s="73"/>
      <c r="E68" s="73"/>
      <c r="F68" s="73"/>
      <c r="G68" s="73"/>
      <c r="H68" s="73"/>
      <c r="I68" s="73"/>
      <c r="J68" s="73"/>
      <c r="K68" s="73"/>
      <c r="L68" s="73"/>
      <c r="M68" s="73"/>
      <c r="N68" s="73"/>
      <c r="O68" s="73"/>
      <c r="P68" s="73"/>
      <c r="Q68" s="73"/>
      <c r="R68" s="73"/>
      <c r="S68" s="73"/>
      <c r="T68" s="73"/>
      <c r="U68" s="73"/>
      <c r="V68" s="73"/>
      <c r="W68" s="73"/>
      <c r="X68" s="73"/>
    </row>
    <row r="69" spans="1:24">
      <c r="A69" s="73"/>
      <c r="B69" s="73"/>
      <c r="C69" s="73"/>
      <c r="D69" s="73"/>
      <c r="E69" s="73"/>
      <c r="F69" s="73"/>
      <c r="G69" s="73"/>
      <c r="H69" s="73"/>
      <c r="I69" s="73"/>
      <c r="J69" s="73"/>
      <c r="K69" s="73"/>
      <c r="L69" s="73"/>
      <c r="M69" s="73"/>
      <c r="N69" s="73"/>
      <c r="O69" s="73"/>
      <c r="P69" s="73"/>
      <c r="Q69" s="73"/>
      <c r="R69" s="73"/>
      <c r="S69" s="73"/>
      <c r="T69" s="73"/>
      <c r="U69" s="73"/>
      <c r="V69" s="73"/>
      <c r="W69" s="73"/>
      <c r="X69" s="73"/>
    </row>
    <row r="70" spans="1:24">
      <c r="A70" s="73"/>
      <c r="B70" s="73"/>
      <c r="C70" s="73"/>
      <c r="D70" s="73"/>
      <c r="E70" s="73"/>
      <c r="F70" s="73"/>
      <c r="G70" s="73"/>
      <c r="H70" s="73"/>
      <c r="I70" s="73"/>
      <c r="J70" s="73"/>
      <c r="K70" s="73"/>
      <c r="L70" s="73"/>
      <c r="M70" s="73"/>
      <c r="N70" s="73"/>
      <c r="O70" s="73"/>
      <c r="P70" s="73"/>
      <c r="Q70" s="73"/>
      <c r="R70" s="73"/>
      <c r="S70" s="73"/>
      <c r="T70" s="73"/>
      <c r="U70" s="73"/>
      <c r="V70" s="73"/>
      <c r="W70" s="73"/>
      <c r="X70" s="73"/>
    </row>
    <row r="71" spans="1:24">
      <c r="A71" s="73"/>
      <c r="B71" s="73"/>
      <c r="C71" s="73"/>
      <c r="D71" s="73"/>
      <c r="E71" s="73"/>
      <c r="F71" s="73"/>
      <c r="G71" s="73"/>
      <c r="H71" s="73"/>
      <c r="I71" s="73"/>
      <c r="J71" s="73"/>
      <c r="K71" s="73"/>
      <c r="L71" s="73"/>
      <c r="M71" s="73"/>
      <c r="N71" s="73"/>
      <c r="O71" s="73"/>
      <c r="P71" s="73"/>
      <c r="Q71" s="73"/>
      <c r="R71" s="73"/>
      <c r="S71" s="73"/>
      <c r="T71" s="73"/>
      <c r="U71" s="73"/>
      <c r="V71" s="73"/>
      <c r="W71" s="73"/>
      <c r="X71" s="73"/>
    </row>
    <row r="72" spans="1:24">
      <c r="A72" s="73"/>
      <c r="B72" s="73"/>
      <c r="C72" s="73"/>
      <c r="D72" s="73"/>
      <c r="E72" s="73"/>
      <c r="F72" s="73"/>
      <c r="G72" s="73"/>
      <c r="H72" s="73"/>
      <c r="I72" s="73"/>
      <c r="J72" s="73"/>
      <c r="K72" s="73"/>
      <c r="L72" s="73"/>
      <c r="M72" s="73"/>
      <c r="N72" s="73"/>
      <c r="O72" s="73"/>
      <c r="P72" s="73"/>
      <c r="Q72" s="73"/>
      <c r="R72" s="73"/>
      <c r="S72" s="73"/>
      <c r="T72" s="73"/>
      <c r="U72" s="73"/>
      <c r="V72" s="73"/>
      <c r="W72" s="73"/>
      <c r="X72" s="73"/>
    </row>
    <row r="73" spans="1:24">
      <c r="A73" s="73"/>
      <c r="B73" s="73"/>
      <c r="C73" s="73"/>
      <c r="D73" s="73"/>
      <c r="E73" s="73"/>
      <c r="F73" s="73"/>
      <c r="G73" s="73"/>
      <c r="H73" s="73"/>
      <c r="I73" s="73"/>
      <c r="J73" s="73"/>
      <c r="K73" s="73"/>
      <c r="L73" s="73"/>
      <c r="M73" s="73"/>
      <c r="N73" s="73"/>
      <c r="O73" s="73"/>
      <c r="P73" s="73"/>
      <c r="Q73" s="73"/>
      <c r="R73" s="73"/>
      <c r="S73" s="73"/>
      <c r="T73" s="73"/>
      <c r="U73" s="73"/>
      <c r="V73" s="73"/>
      <c r="W73" s="73"/>
      <c r="X73" s="73"/>
    </row>
    <row r="74" spans="1:24">
      <c r="A74" s="73"/>
      <c r="B74" s="73"/>
      <c r="C74" s="73"/>
      <c r="D74" s="73"/>
      <c r="E74" s="73"/>
      <c r="F74" s="73"/>
      <c r="G74" s="73"/>
      <c r="H74" s="73"/>
      <c r="I74" s="73"/>
      <c r="J74" s="73"/>
      <c r="K74" s="73"/>
      <c r="L74" s="73"/>
      <c r="M74" s="73"/>
      <c r="N74" s="73"/>
      <c r="O74" s="73"/>
      <c r="P74" s="73"/>
      <c r="Q74" s="73"/>
      <c r="R74" s="73"/>
      <c r="S74" s="73"/>
      <c r="T74" s="73"/>
      <c r="U74" s="73"/>
      <c r="V74" s="73"/>
      <c r="W74" s="73"/>
      <c r="X74" s="73"/>
    </row>
    <row r="75" spans="1:24">
      <c r="A75" s="73"/>
      <c r="B75" s="73"/>
      <c r="C75" s="73"/>
      <c r="D75" s="73"/>
      <c r="E75" s="73"/>
      <c r="F75" s="73"/>
      <c r="G75" s="73"/>
      <c r="H75" s="73"/>
      <c r="I75" s="73"/>
      <c r="J75" s="73"/>
      <c r="K75" s="73"/>
      <c r="L75" s="73"/>
      <c r="M75" s="73"/>
      <c r="N75" s="73"/>
      <c r="O75" s="73"/>
      <c r="P75" s="73"/>
      <c r="Q75" s="73"/>
      <c r="R75" s="73"/>
      <c r="S75" s="73"/>
      <c r="T75" s="73"/>
      <c r="U75" s="73"/>
      <c r="V75" s="73"/>
      <c r="W75" s="73"/>
      <c r="X75" s="73"/>
    </row>
    <row r="76" spans="1:24">
      <c r="A76" s="73"/>
      <c r="B76" s="73"/>
      <c r="C76" s="73"/>
      <c r="D76" s="73"/>
      <c r="E76" s="73"/>
      <c r="F76" s="73"/>
      <c r="G76" s="73"/>
      <c r="H76" s="73"/>
      <c r="I76" s="73"/>
      <c r="J76" s="73"/>
      <c r="K76" s="73"/>
      <c r="L76" s="73"/>
      <c r="M76" s="73"/>
      <c r="N76" s="73"/>
      <c r="O76" s="73"/>
      <c r="P76" s="73"/>
      <c r="Q76" s="73"/>
      <c r="R76" s="73"/>
      <c r="S76" s="73"/>
      <c r="T76" s="73"/>
      <c r="U76" s="73"/>
      <c r="V76" s="73"/>
      <c r="W76" s="73"/>
      <c r="X76" s="73"/>
    </row>
    <row r="77" spans="1:24">
      <c r="A77" s="73"/>
      <c r="B77" s="73"/>
      <c r="C77" s="73"/>
      <c r="D77" s="73"/>
      <c r="E77" s="73"/>
      <c r="F77" s="73"/>
      <c r="G77" s="73"/>
      <c r="H77" s="73"/>
      <c r="I77" s="73"/>
      <c r="J77" s="73"/>
      <c r="K77" s="73"/>
      <c r="L77" s="73"/>
      <c r="M77" s="73"/>
      <c r="N77" s="73"/>
      <c r="O77" s="73"/>
      <c r="P77" s="73"/>
      <c r="Q77" s="73"/>
      <c r="R77" s="73"/>
      <c r="S77" s="73"/>
      <c r="T77" s="73"/>
      <c r="U77" s="73"/>
      <c r="V77" s="73"/>
      <c r="W77" s="73"/>
      <c r="X77" s="73"/>
    </row>
    <row r="78" spans="1:24">
      <c r="A78" s="73"/>
      <c r="B78" s="73"/>
      <c r="C78" s="73"/>
      <c r="D78" s="73"/>
      <c r="E78" s="73"/>
      <c r="F78" s="73"/>
      <c r="G78" s="73"/>
      <c r="H78" s="73"/>
      <c r="I78" s="73"/>
      <c r="J78" s="73"/>
      <c r="K78" s="73"/>
      <c r="L78" s="73"/>
      <c r="M78" s="73"/>
      <c r="N78" s="73"/>
      <c r="O78" s="73"/>
      <c r="P78" s="73"/>
      <c r="Q78" s="73"/>
      <c r="R78" s="73"/>
      <c r="S78" s="73"/>
      <c r="T78" s="73"/>
      <c r="U78" s="73"/>
      <c r="V78" s="73"/>
      <c r="W78" s="73"/>
      <c r="X78" s="73"/>
    </row>
    <row r="79" spans="1:24">
      <c r="A79" s="73"/>
      <c r="B79" s="73"/>
      <c r="C79" s="73"/>
      <c r="D79" s="73"/>
      <c r="E79" s="73"/>
      <c r="F79" s="73"/>
      <c r="G79" s="73"/>
      <c r="H79" s="73"/>
      <c r="I79" s="73"/>
      <c r="J79" s="73"/>
      <c r="K79" s="73"/>
      <c r="L79" s="73"/>
      <c r="M79" s="73"/>
      <c r="N79" s="73"/>
      <c r="O79" s="73"/>
      <c r="P79" s="73"/>
      <c r="Q79" s="73"/>
      <c r="R79" s="73"/>
      <c r="S79" s="73"/>
      <c r="T79" s="73"/>
      <c r="U79" s="73"/>
      <c r="V79" s="73"/>
      <c r="W79" s="73"/>
      <c r="X79" s="73"/>
    </row>
    <row r="80" spans="1:24">
      <c r="A80" s="73"/>
      <c r="B80" s="73"/>
      <c r="C80" s="73"/>
      <c r="D80" s="73"/>
      <c r="E80" s="73"/>
      <c r="F80" s="73"/>
      <c r="G80" s="73"/>
      <c r="H80" s="73"/>
      <c r="I80" s="73"/>
      <c r="J80" s="73"/>
      <c r="K80" s="73"/>
      <c r="L80" s="73"/>
      <c r="M80" s="73"/>
      <c r="N80" s="73"/>
      <c r="O80" s="73"/>
      <c r="P80" s="73"/>
      <c r="Q80" s="73"/>
      <c r="R80" s="73"/>
      <c r="S80" s="73"/>
      <c r="T80" s="73"/>
      <c r="U80" s="73"/>
      <c r="V80" s="73"/>
      <c r="W80" s="73"/>
      <c r="X80" s="73"/>
    </row>
    <row r="81" spans="1:24">
      <c r="A81" s="73"/>
      <c r="B81" s="73"/>
      <c r="C81" s="73"/>
      <c r="D81" s="73"/>
      <c r="E81" s="73"/>
      <c r="F81" s="73"/>
      <c r="G81" s="73"/>
      <c r="H81" s="73"/>
      <c r="I81" s="73"/>
      <c r="J81" s="73"/>
      <c r="K81" s="73"/>
      <c r="L81" s="73"/>
      <c r="M81" s="73"/>
      <c r="N81" s="73"/>
      <c r="O81" s="73"/>
      <c r="P81" s="73"/>
      <c r="Q81" s="73"/>
      <c r="R81" s="73"/>
      <c r="S81" s="73"/>
      <c r="T81" s="73"/>
      <c r="U81" s="73"/>
      <c r="V81" s="73"/>
      <c r="W81" s="73"/>
      <c r="X81" s="73"/>
    </row>
    <row r="82" spans="1:24">
      <c r="A82" s="73"/>
      <c r="B82" s="73"/>
      <c r="C82" s="73"/>
      <c r="D82" s="73"/>
      <c r="E82" s="73"/>
      <c r="F82" s="73"/>
      <c r="G82" s="73"/>
      <c r="H82" s="73"/>
      <c r="I82" s="73"/>
      <c r="J82" s="73"/>
      <c r="K82" s="73"/>
      <c r="L82" s="73"/>
      <c r="M82" s="73"/>
      <c r="N82" s="73"/>
      <c r="O82" s="73"/>
      <c r="P82" s="73"/>
      <c r="Q82" s="73"/>
      <c r="R82" s="73"/>
      <c r="S82" s="73"/>
      <c r="T82" s="73"/>
      <c r="U82" s="73"/>
      <c r="V82" s="73"/>
      <c r="W82" s="73"/>
      <c r="X82" s="73"/>
    </row>
    <row r="83" spans="1:24">
      <c r="A83" s="73"/>
      <c r="B83" s="73"/>
      <c r="C83" s="73"/>
      <c r="D83" s="73"/>
      <c r="E83" s="73"/>
      <c r="F83" s="73"/>
      <c r="G83" s="73"/>
      <c r="H83" s="73"/>
      <c r="I83" s="73"/>
      <c r="J83" s="73"/>
      <c r="K83" s="73"/>
      <c r="L83" s="73"/>
      <c r="M83" s="73"/>
      <c r="N83" s="73"/>
      <c r="O83" s="73"/>
      <c r="P83" s="73"/>
      <c r="Q83" s="73"/>
      <c r="R83" s="73"/>
      <c r="S83" s="73"/>
      <c r="T83" s="73"/>
      <c r="U83" s="73"/>
      <c r="V83" s="73"/>
      <c r="W83" s="73"/>
      <c r="X83" s="73"/>
    </row>
    <row r="84" spans="1:24">
      <c r="A84" s="73"/>
      <c r="B84" s="73"/>
      <c r="C84" s="73"/>
      <c r="D84" s="73"/>
      <c r="E84" s="73"/>
      <c r="F84" s="73"/>
      <c r="G84" s="73"/>
      <c r="H84" s="73"/>
      <c r="I84" s="73"/>
      <c r="J84" s="73"/>
      <c r="K84" s="73"/>
      <c r="L84" s="73"/>
      <c r="M84" s="73"/>
      <c r="N84" s="73"/>
      <c r="O84" s="73"/>
      <c r="P84" s="73"/>
      <c r="Q84" s="73"/>
      <c r="R84" s="73"/>
      <c r="S84" s="73"/>
      <c r="T84" s="73"/>
      <c r="U84" s="73"/>
      <c r="V84" s="73"/>
      <c r="W84" s="73"/>
      <c r="X84" s="73"/>
    </row>
    <row r="85" spans="1:24">
      <c r="A85" s="73"/>
      <c r="B85" s="73"/>
      <c r="C85" s="73"/>
      <c r="D85" s="73"/>
      <c r="E85" s="73"/>
      <c r="F85" s="73"/>
      <c r="G85" s="73"/>
      <c r="H85" s="73"/>
      <c r="I85" s="73"/>
      <c r="J85" s="73"/>
      <c r="K85" s="73"/>
      <c r="L85" s="73"/>
      <c r="M85" s="73"/>
      <c r="N85" s="73"/>
      <c r="O85" s="73"/>
      <c r="P85" s="73"/>
      <c r="Q85" s="73"/>
      <c r="R85" s="73"/>
      <c r="S85" s="73"/>
      <c r="T85" s="73"/>
      <c r="U85" s="73"/>
      <c r="V85" s="73"/>
      <c r="W85" s="73"/>
      <c r="X85" s="73"/>
    </row>
    <row r="86" spans="1:24">
      <c r="A86" s="73"/>
      <c r="B86" s="73"/>
      <c r="C86" s="73"/>
      <c r="D86" s="73"/>
      <c r="E86" s="73"/>
      <c r="F86" s="73"/>
      <c r="G86" s="73"/>
      <c r="H86" s="73"/>
      <c r="I86" s="73"/>
      <c r="J86" s="73"/>
      <c r="K86" s="73"/>
      <c r="L86" s="73"/>
      <c r="M86" s="73"/>
      <c r="N86" s="73"/>
      <c r="O86" s="73"/>
      <c r="P86" s="73"/>
      <c r="Q86" s="73"/>
      <c r="R86" s="73"/>
      <c r="S86" s="73"/>
      <c r="T86" s="73"/>
      <c r="U86" s="73"/>
      <c r="V86" s="73"/>
      <c r="W86" s="73"/>
      <c r="X86" s="73"/>
    </row>
    <row r="87" spans="1:24">
      <c r="A87" s="73"/>
      <c r="B87" s="73"/>
      <c r="C87" s="73"/>
      <c r="D87" s="73"/>
      <c r="E87" s="73"/>
      <c r="F87" s="73"/>
      <c r="G87" s="73"/>
      <c r="H87" s="73"/>
      <c r="I87" s="73"/>
      <c r="J87" s="73"/>
      <c r="K87" s="73"/>
      <c r="L87" s="73"/>
      <c r="M87" s="73"/>
      <c r="N87" s="73"/>
      <c r="O87" s="73"/>
      <c r="P87" s="73"/>
      <c r="Q87" s="73"/>
      <c r="R87" s="73"/>
      <c r="S87" s="73"/>
      <c r="T87" s="73"/>
      <c r="U87" s="73"/>
      <c r="V87" s="73"/>
      <c r="W87" s="73"/>
      <c r="X87" s="73"/>
    </row>
    <row r="88" spans="1:24">
      <c r="A88" s="73"/>
      <c r="B88" s="73"/>
      <c r="C88" s="73"/>
      <c r="D88" s="73"/>
      <c r="E88" s="73"/>
      <c r="F88" s="73"/>
      <c r="G88" s="73"/>
      <c r="H88" s="73"/>
      <c r="I88" s="73"/>
      <c r="J88" s="73"/>
      <c r="K88" s="73"/>
      <c r="L88" s="73"/>
      <c r="M88" s="73"/>
      <c r="N88" s="73"/>
      <c r="O88" s="73"/>
      <c r="P88" s="73"/>
      <c r="Q88" s="73"/>
      <c r="R88" s="73"/>
      <c r="S88" s="73"/>
      <c r="T88" s="73"/>
      <c r="U88" s="73"/>
      <c r="V88" s="73"/>
      <c r="W88" s="73"/>
      <c r="X88" s="73"/>
    </row>
    <row r="89" spans="1:24">
      <c r="A89" s="73"/>
      <c r="B89" s="73"/>
      <c r="C89" s="73"/>
      <c r="D89" s="73"/>
      <c r="E89" s="73"/>
      <c r="F89" s="73"/>
      <c r="G89" s="73"/>
      <c r="H89" s="73"/>
      <c r="I89" s="73"/>
      <c r="J89" s="73"/>
      <c r="K89" s="73"/>
      <c r="L89" s="73"/>
      <c r="M89" s="73"/>
      <c r="N89" s="73"/>
      <c r="O89" s="73"/>
      <c r="P89" s="73"/>
      <c r="Q89" s="73"/>
      <c r="R89" s="73"/>
      <c r="S89" s="73"/>
      <c r="T89" s="73"/>
      <c r="U89" s="73"/>
      <c r="V89" s="73"/>
      <c r="W89" s="73"/>
      <c r="X89" s="73"/>
    </row>
    <row r="90" spans="1:24">
      <c r="A90" s="73"/>
      <c r="B90" s="73"/>
      <c r="C90" s="73"/>
      <c r="D90" s="73"/>
      <c r="E90" s="73"/>
      <c r="F90" s="73"/>
      <c r="G90" s="73"/>
      <c r="H90" s="73"/>
      <c r="I90" s="73"/>
      <c r="J90" s="73"/>
      <c r="K90" s="73"/>
      <c r="L90" s="73"/>
      <c r="M90" s="73"/>
      <c r="N90" s="73"/>
      <c r="O90" s="73"/>
      <c r="P90" s="73"/>
      <c r="Q90" s="73"/>
      <c r="R90" s="73"/>
      <c r="S90" s="73"/>
      <c r="T90" s="73"/>
      <c r="U90" s="73"/>
      <c r="V90" s="73"/>
      <c r="W90" s="73"/>
      <c r="X90" s="73"/>
    </row>
    <row r="91" spans="1:24">
      <c r="A91" s="73"/>
      <c r="B91" s="73"/>
      <c r="C91" s="73"/>
      <c r="D91" s="73"/>
      <c r="E91" s="73"/>
      <c r="F91" s="73"/>
      <c r="G91" s="73"/>
      <c r="H91" s="73"/>
      <c r="I91" s="73"/>
      <c r="J91" s="73"/>
      <c r="K91" s="73"/>
      <c r="L91" s="73"/>
      <c r="M91" s="73"/>
      <c r="N91" s="73"/>
      <c r="O91" s="73"/>
      <c r="P91" s="73"/>
      <c r="Q91" s="73"/>
      <c r="R91" s="73"/>
      <c r="S91" s="73"/>
      <c r="T91" s="73"/>
      <c r="U91" s="73"/>
      <c r="V91" s="73"/>
      <c r="W91" s="73"/>
      <c r="X91" s="73"/>
    </row>
    <row r="92" spans="1:24">
      <c r="A92" s="73"/>
      <c r="B92" s="73"/>
      <c r="C92" s="73"/>
      <c r="D92" s="73"/>
      <c r="E92" s="73"/>
      <c r="F92" s="73"/>
      <c r="G92" s="73"/>
      <c r="H92" s="73"/>
      <c r="I92" s="73"/>
      <c r="J92" s="73"/>
      <c r="K92" s="73"/>
      <c r="L92" s="73"/>
      <c r="M92" s="73"/>
      <c r="N92" s="73"/>
      <c r="O92" s="73"/>
      <c r="P92" s="73"/>
      <c r="Q92" s="73"/>
      <c r="R92" s="73"/>
      <c r="S92" s="73"/>
      <c r="T92" s="73"/>
      <c r="U92" s="73"/>
      <c r="V92" s="73"/>
      <c r="W92" s="73"/>
      <c r="X92" s="73"/>
    </row>
    <row r="93" spans="1:24">
      <c r="A93" s="73"/>
      <c r="B93" s="73"/>
      <c r="C93" s="73"/>
      <c r="D93" s="73"/>
      <c r="E93" s="73"/>
      <c r="F93" s="73"/>
      <c r="G93" s="73"/>
      <c r="H93" s="73"/>
      <c r="I93" s="73"/>
      <c r="J93" s="73"/>
      <c r="K93" s="73"/>
      <c r="L93" s="73"/>
      <c r="M93" s="73"/>
      <c r="N93" s="73"/>
      <c r="O93" s="73"/>
      <c r="P93" s="73"/>
      <c r="Q93" s="73"/>
      <c r="R93" s="73"/>
      <c r="S93" s="73"/>
      <c r="T93" s="73"/>
      <c r="U93" s="73"/>
      <c r="V93" s="73"/>
      <c r="W93" s="73"/>
      <c r="X93" s="73"/>
    </row>
    <row r="94" spans="1:24">
      <c r="A94" s="73"/>
      <c r="B94" s="73"/>
      <c r="C94" s="73"/>
      <c r="D94" s="73"/>
      <c r="E94" s="73"/>
      <c r="F94" s="73"/>
      <c r="G94" s="73"/>
      <c r="H94" s="73"/>
      <c r="I94" s="73"/>
      <c r="J94" s="73"/>
      <c r="K94" s="73"/>
      <c r="L94" s="73"/>
      <c r="M94" s="73"/>
      <c r="N94" s="73"/>
      <c r="O94" s="73"/>
      <c r="P94" s="73"/>
      <c r="Q94" s="73"/>
      <c r="R94" s="73"/>
      <c r="S94" s="73"/>
      <c r="T94" s="73"/>
      <c r="U94" s="73"/>
      <c r="V94" s="73"/>
      <c r="W94" s="73"/>
      <c r="X94" s="73"/>
    </row>
    <row r="95" spans="1:24">
      <c r="A95" s="73"/>
      <c r="B95" s="73"/>
      <c r="C95" s="73"/>
      <c r="D95" s="73"/>
      <c r="E95" s="73"/>
      <c r="F95" s="73"/>
      <c r="G95" s="73"/>
      <c r="H95" s="73"/>
      <c r="I95" s="73"/>
      <c r="J95" s="73"/>
      <c r="K95" s="73"/>
      <c r="L95" s="73"/>
      <c r="M95" s="73"/>
      <c r="N95" s="73"/>
      <c r="O95" s="73"/>
      <c r="P95" s="73"/>
      <c r="Q95" s="73"/>
      <c r="R95" s="73"/>
      <c r="S95" s="73"/>
      <c r="T95" s="73"/>
      <c r="U95" s="73"/>
      <c r="V95" s="73"/>
      <c r="W95" s="73"/>
      <c r="X95" s="73"/>
    </row>
    <row r="96" spans="1:24">
      <c r="A96" s="73"/>
      <c r="B96" s="73"/>
      <c r="C96" s="73"/>
      <c r="D96" s="73"/>
      <c r="E96" s="73"/>
      <c r="F96" s="73"/>
      <c r="G96" s="73"/>
      <c r="H96" s="73"/>
      <c r="I96" s="73"/>
      <c r="J96" s="73"/>
      <c r="K96" s="73"/>
      <c r="L96" s="73"/>
      <c r="M96" s="73"/>
      <c r="N96" s="73"/>
      <c r="O96" s="73"/>
      <c r="P96" s="73"/>
      <c r="Q96" s="73"/>
      <c r="R96" s="73"/>
      <c r="S96" s="73"/>
      <c r="T96" s="73"/>
      <c r="U96" s="73"/>
      <c r="V96" s="73"/>
      <c r="W96" s="73"/>
      <c r="X96" s="73"/>
    </row>
    <row r="97" spans="1:24">
      <c r="A97" s="73"/>
      <c r="B97" s="73"/>
      <c r="C97" s="73"/>
      <c r="D97" s="73"/>
      <c r="E97" s="73"/>
      <c r="F97" s="73"/>
      <c r="G97" s="73"/>
      <c r="H97" s="73"/>
      <c r="I97" s="73"/>
      <c r="J97" s="73"/>
      <c r="K97" s="73"/>
      <c r="L97" s="73"/>
      <c r="M97" s="73"/>
      <c r="N97" s="73"/>
      <c r="O97" s="73"/>
      <c r="P97" s="73"/>
      <c r="Q97" s="73"/>
      <c r="R97" s="73"/>
      <c r="S97" s="73"/>
      <c r="T97" s="73"/>
      <c r="U97" s="73"/>
      <c r="V97" s="73"/>
      <c r="W97" s="73"/>
      <c r="X97" s="73"/>
    </row>
    <row r="98" spans="1:24">
      <c r="A98" s="73"/>
      <c r="B98" s="73"/>
      <c r="C98" s="73"/>
      <c r="D98" s="73"/>
      <c r="E98" s="73"/>
      <c r="F98" s="73"/>
      <c r="G98" s="73"/>
      <c r="H98" s="73"/>
      <c r="I98" s="73"/>
      <c r="J98" s="73"/>
      <c r="K98" s="73"/>
      <c r="L98" s="73"/>
      <c r="M98" s="73"/>
      <c r="N98" s="73"/>
      <c r="O98" s="73"/>
      <c r="P98" s="73"/>
      <c r="Q98" s="73"/>
      <c r="R98" s="73"/>
      <c r="S98" s="73"/>
      <c r="T98" s="73"/>
      <c r="U98" s="73"/>
      <c r="V98" s="73"/>
      <c r="W98" s="73"/>
      <c r="X98" s="73"/>
    </row>
    <row r="99" spans="1:24">
      <c r="A99" s="73"/>
      <c r="B99" s="73"/>
      <c r="C99" s="73"/>
      <c r="D99" s="73"/>
      <c r="E99" s="73"/>
      <c r="F99" s="73"/>
      <c r="G99" s="73"/>
      <c r="H99" s="73"/>
      <c r="I99" s="73"/>
      <c r="J99" s="73"/>
      <c r="K99" s="73"/>
      <c r="L99" s="73"/>
      <c r="M99" s="73"/>
      <c r="N99" s="73"/>
      <c r="O99" s="73"/>
      <c r="P99" s="73"/>
      <c r="Q99" s="73"/>
      <c r="R99" s="73"/>
      <c r="S99" s="73"/>
      <c r="T99" s="73"/>
      <c r="U99" s="73"/>
      <c r="V99" s="73"/>
      <c r="W99" s="73"/>
      <c r="X99" s="73"/>
    </row>
    <row r="100" spans="1:24">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row>
    <row r="101" spans="1:24">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row>
    <row r="102" spans="1:24">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row>
    <row r="103" spans="1:24">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row>
    <row r="104" spans="1:2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row>
    <row r="105" spans="1:24">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row>
    <row r="106" spans="1:24">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row>
    <row r="107" spans="1:24">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row>
    <row r="108" spans="1:24">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row>
    <row r="109" spans="1:24">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row>
    <row r="110" spans="1:24">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row>
    <row r="111" spans="1:24">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row>
    <row r="112" spans="1:24">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row>
    <row r="113" spans="1:24">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row>
    <row r="114" spans="1:2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row>
    <row r="115" spans="1:24">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row>
    <row r="116" spans="1:24">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row>
    <row r="117" spans="1:24">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row>
    <row r="118" spans="1:24">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row>
    <row r="119" spans="1:24">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row>
    <row r="120" spans="1:24">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row>
    <row r="121" spans="1:24">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row>
    <row r="122" spans="1:24">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row>
    <row r="123" spans="1:24">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row>
    <row r="124" spans="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row>
    <row r="125" spans="1:24">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row>
    <row r="126" spans="1:24">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row>
    <row r="127" spans="1:24">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row>
    <row r="128" spans="1:24">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row>
    <row r="129" spans="1:24">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row>
    <row r="130" spans="1:24">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row>
    <row r="131" spans="1:24">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row>
    <row r="132" spans="1:24">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row>
    <row r="133" spans="1:24">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row>
    <row r="134" spans="1:2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row>
    <row r="135" spans="1:24">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row>
    <row r="136" spans="1:24">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row>
    <row r="137" spans="1:24">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row>
    <row r="138" spans="1:24">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row>
    <row r="139" spans="1:24">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row>
    <row r="140" spans="1:24">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row>
    <row r="141" spans="1:24">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row>
    <row r="142" spans="1:24">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row>
    <row r="143" spans="1:24">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row>
    <row r="144" spans="1:2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row>
    <row r="145" spans="1:24">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row>
    <row r="146" spans="1:24">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row>
    <row r="147" spans="1:24">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row>
    <row r="148" spans="1:24">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row>
    <row r="149" spans="1:24">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row>
    <row r="150" spans="1:24">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row>
    <row r="151" spans="1:24">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row>
    <row r="152" spans="1:24">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row>
    <row r="153" spans="1:24">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row>
    <row r="154" spans="1:2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row>
    <row r="155" spans="1:24">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row>
    <row r="156" spans="1:24">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row>
    <row r="157" spans="1:24">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row>
    <row r="158" spans="1:24">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row>
    <row r="159" spans="1:24">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row>
    <row r="160" spans="1:24">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row>
    <row r="161" spans="1:24">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row>
    <row r="162" spans="1:24">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row>
    <row r="163" spans="1:24">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row>
    <row r="164" spans="1:2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row>
    <row r="165" spans="1:24">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row>
    <row r="166" spans="1:24">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row>
    <row r="167" spans="1:24">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row>
    <row r="168" spans="1:24">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row>
    <row r="169" spans="1:24">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row>
    <row r="170" spans="1:24">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row>
    <row r="171" spans="1:24">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row>
    <row r="172" spans="1:24">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row>
    <row r="173" spans="1:24">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row>
    <row r="174" spans="1:2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row>
    <row r="175" spans="1:24">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row>
    <row r="176" spans="1:24">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row>
    <row r="177" spans="1:24">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row>
    <row r="178" spans="1:24">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row>
    <row r="179" spans="1:24">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row>
    <row r="180" spans="1:24">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row>
    <row r="181" spans="1:24">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row>
    <row r="182" spans="1:24">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row>
    <row r="183" spans="1:24">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row>
    <row r="184" spans="1:2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row>
    <row r="185" spans="1:24">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row>
    <row r="186" spans="1:24">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row>
    <row r="187" spans="1:24">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row>
    <row r="188" spans="1:24">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row>
    <row r="189" spans="1:24">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row>
    <row r="190" spans="1:24">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row>
    <row r="191" spans="1:24">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row>
    <row r="192" spans="1:24">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row>
    <row r="193" spans="1:24">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row>
    <row r="194" spans="1:2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row>
    <row r="195" spans="1:24">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row>
    <row r="196" spans="1:24">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row>
    <row r="197" spans="1:24">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row>
    <row r="198" spans="1:24">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row>
    <row r="199" spans="1:24">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row>
    <row r="200" spans="1:24">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row>
    <row r="201" spans="1:24">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row>
    <row r="202" spans="1:24">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row>
    <row r="203" spans="1:24">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row>
    <row r="204" spans="1:2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row>
    <row r="205" spans="1:24">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row>
    <row r="206" spans="1:24">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row>
    <row r="207" spans="1:24">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row>
    <row r="208" spans="1:24">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row>
    <row r="209" spans="1:24">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row>
    <row r="210" spans="1:24">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row>
    <row r="211" spans="1:24">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row>
    <row r="212" spans="1:24">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row>
    <row r="213" spans="1:24">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row>
    <row r="214" spans="1:2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row>
    <row r="215" spans="1:24">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row>
    <row r="216" spans="1:24">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row>
    <row r="217" spans="1:24">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row>
    <row r="218" spans="1:24">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row>
    <row r="219" spans="1:24">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row>
    <row r="220" spans="1:24">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row>
    <row r="221" spans="1:24">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row>
    <row r="222" spans="1:24">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row>
    <row r="223" spans="1:24">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row>
    <row r="224" spans="1: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row>
    <row r="225" spans="1:24">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row>
    <row r="226" spans="1:24">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row>
    <row r="227" spans="1:24">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row>
    <row r="228" spans="1:24">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row>
    <row r="229" spans="1:24">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row>
    <row r="230" spans="1:24">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row>
    <row r="231" spans="1:24">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row>
    <row r="232" spans="1:24">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row>
    <row r="233" spans="1:24">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row>
    <row r="234" spans="1:2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row>
    <row r="235" spans="1:24">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row>
    <row r="236" spans="1:24">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row>
    <row r="237" spans="1:24">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row>
    <row r="238" spans="1:24">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row>
    <row r="239" spans="1:24">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row>
    <row r="240" spans="1:24">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row>
    <row r="241" spans="1:24">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row>
    <row r="242" spans="1:24">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row>
    <row r="243" spans="1:24">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row>
    <row r="244" spans="1:2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row>
    <row r="245" spans="1:24">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row>
    <row r="246" spans="1:24">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row>
    <row r="247" spans="1:24">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row>
    <row r="248" spans="1:24">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row>
    <row r="249" spans="1:24">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row>
    <row r="250" spans="1:24">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row>
    <row r="251" spans="1:24">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row>
    <row r="252" spans="1:24">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row>
    <row r="253" spans="1:24">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row>
    <row r="254" spans="1:2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row>
    <row r="255" spans="1:24">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row>
    <row r="256" spans="1:24">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row>
    <row r="257" spans="1:24">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row>
    <row r="258" spans="1:24">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row>
    <row r="259" spans="1:24">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row>
    <row r="260" spans="1:24">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row>
    <row r="261" spans="1:24">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row>
    <row r="262" spans="1:24">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row>
    <row r="263" spans="1:24">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row>
    <row r="264" spans="1:2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row>
    <row r="265" spans="1:24">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row>
    <row r="266" spans="1:24">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row>
    <row r="267" spans="1:24">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row>
    <row r="268" spans="1:24">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row>
    <row r="269" spans="1:24">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row>
    <row r="270" spans="1:24">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row>
    <row r="271" spans="1:24">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row>
    <row r="272" spans="1:24">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row>
    <row r="273" spans="1:24">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row>
    <row r="274" spans="1:2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row>
    <row r="275" spans="1:24">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row>
    <row r="276" spans="1:24">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row>
    <row r="277" spans="1:24">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row>
    <row r="278" spans="1:24">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row>
    <row r="279" spans="1:24">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row>
    <row r="280" spans="1:24">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row>
    <row r="281" spans="1:24">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row>
    <row r="282" spans="1:24">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row>
    <row r="283" spans="1:24">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row>
    <row r="284" spans="1:2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row>
    <row r="285" spans="1:24">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row>
    <row r="286" spans="1:24">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row>
    <row r="287" spans="1:24">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row>
    <row r="288" spans="1:24">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row>
    <row r="289" spans="1:24">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row>
    <row r="290" spans="1:24">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row>
    <row r="291" spans="1:24">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row>
    <row r="292" spans="1:24">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row>
    <row r="293" spans="1:24">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row>
    <row r="294" spans="1:2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row>
    <row r="295" spans="1:24">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row>
    <row r="296" spans="1:24">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row>
    <row r="297" spans="1:24">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row>
    <row r="298" spans="1:24">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row>
    <row r="299" spans="1:24">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row>
    <row r="300" spans="1:24">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row>
    <row r="301" spans="1:24">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row>
    <row r="302" spans="1:24">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row>
    <row r="303" spans="1:24">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row>
    <row r="304" spans="1:2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row>
    <row r="305" spans="1:24">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row>
    <row r="306" spans="1:24">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row>
    <row r="307" spans="1:24">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row>
    <row r="308" spans="1:24">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row>
    <row r="309" spans="1:24">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row>
    <row r="310" spans="1:24">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row>
    <row r="311" spans="1:24">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row>
    <row r="312" spans="1:24">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row>
    <row r="313" spans="1:24">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row>
    <row r="314" spans="1:2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row>
    <row r="315" spans="1:24">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row>
    <row r="316" spans="1:24">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row>
    <row r="317" spans="1:24">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row>
    <row r="318" spans="1:24">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row>
    <row r="319" spans="1:24">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row>
    <row r="320" spans="1:24">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row>
    <row r="321" spans="1:24">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row>
    <row r="322" spans="1:24">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row>
    <row r="323" spans="1:24">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row>
    <row r="324" spans="1: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row>
    <row r="325" spans="1:24">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row>
    <row r="326" spans="1:24">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row>
    <row r="327" spans="1:24">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row>
    <row r="328" spans="1:24">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row>
    <row r="329" spans="1:24">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row>
    <row r="330" spans="1:24">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row>
    <row r="331" spans="1:24">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row>
    <row r="332" spans="1:24">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row>
    <row r="333" spans="1:24">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row>
    <row r="334" spans="1:2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row>
    <row r="335" spans="1:24">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row>
    <row r="336" spans="1:24">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row>
    <row r="337" spans="1:24">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row>
    <row r="338" spans="1:24">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row>
    <row r="339" spans="1:24">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row>
    <row r="340" spans="1:24">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row>
    <row r="341" spans="1:24">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row>
    <row r="342" spans="1:24">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row>
    <row r="343" spans="1:24">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row>
    <row r="344" spans="1:2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row>
    <row r="345" spans="1:24">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row>
    <row r="346" spans="1:24">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row>
    <row r="347" spans="1:24">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row>
    <row r="348" spans="1:24">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row>
    <row r="349" spans="1:24">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row>
    <row r="350" spans="1:24">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row>
    <row r="351" spans="1:24">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row>
    <row r="352" spans="1:24">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row>
    <row r="353" spans="1:24">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row>
    <row r="354" spans="1:2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row>
    <row r="355" spans="1:24">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row>
    <row r="356" spans="1:24">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row>
    <row r="357" spans="1:24">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row>
    <row r="358" spans="1:24">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row>
    <row r="359" spans="1:24">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row>
    <row r="360" spans="1:24">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row>
    <row r="361" spans="1:24">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row>
    <row r="362" spans="1:24">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row>
    <row r="363" spans="1:24">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row>
    <row r="364" spans="1:2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row>
    <row r="365" spans="1:24">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row>
    <row r="366" spans="1:24">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row>
    <row r="367" spans="1:24">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row>
    <row r="368" spans="1:24">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row>
    <row r="369" spans="1:24">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row>
    <row r="370" spans="1:24">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row>
    <row r="371" spans="1:24">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row>
    <row r="372" spans="1:24">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row>
    <row r="373" spans="1:24">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row>
    <row r="374" spans="1:2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row>
    <row r="375" spans="1:24">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row>
    <row r="376" spans="1:24">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row>
    <row r="377" spans="1:24">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row>
    <row r="378" spans="1:24">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row>
    <row r="379" spans="1:24">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row>
    <row r="380" spans="1:24">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row>
    <row r="381" spans="1:24">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row>
    <row r="382" spans="1:24">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row>
    <row r="383" spans="1:24">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row>
    <row r="384" spans="1:2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row>
    <row r="385" spans="1:24">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row>
    <row r="386" spans="1:24">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row>
    <row r="387" spans="1:24">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row>
    <row r="388" spans="1:24">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row>
    <row r="389" spans="1:24">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row>
    <row r="390" spans="1:24">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row>
    <row r="391" spans="1:24">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row>
    <row r="392" spans="1:24">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row>
    <row r="393" spans="1:24">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row>
    <row r="394" spans="1:2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row>
    <row r="395" spans="1:24">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row>
    <row r="396" spans="1:24">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row>
    <row r="397" spans="1:24">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row>
    <row r="398" spans="1:24">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row>
    <row r="399" spans="1:24">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row>
    <row r="400" spans="1:24">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row>
    <row r="401" spans="1:24">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row>
    <row r="402" spans="1:24">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row>
    <row r="403" spans="1:24">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row>
    <row r="404" spans="1:2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row>
    <row r="405" spans="1:24">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row>
    <row r="406" spans="1:24">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row>
    <row r="407" spans="1:24">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row>
    <row r="408" spans="1:24">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row>
    <row r="409" spans="1:24">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row>
    <row r="410" spans="1:24">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row>
    <row r="411" spans="1:24">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row>
    <row r="412" spans="1:24">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row>
    <row r="413" spans="1:24">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row>
    <row r="414" spans="1:2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row>
    <row r="415" spans="1:24">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row>
    <row r="416" spans="1:24">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row>
    <row r="417" spans="1:24">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row>
    <row r="418" spans="1:24">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row>
    <row r="419" spans="1:24">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row>
    <row r="420" spans="1:24">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row>
    <row r="421" spans="1:24">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row>
    <row r="422" spans="1:24">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row>
    <row r="423" spans="1:24">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row>
    <row r="424" spans="1: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row>
    <row r="425" spans="1:24">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row>
    <row r="426" spans="1:24">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row>
    <row r="427" spans="1:24">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row>
    <row r="428" spans="1:24">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row>
    <row r="429" spans="1:24">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row>
    <row r="430" spans="1:24">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row>
    <row r="431" spans="1:24">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row>
    <row r="432" spans="1:24">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row>
    <row r="433" spans="1:24">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row>
    <row r="434" spans="1:2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row>
    <row r="435" spans="1:24">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row>
    <row r="436" spans="1:24">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row>
    <row r="437" spans="1:24">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row>
    <row r="438" spans="1:24">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row>
    <row r="439" spans="1:24">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row>
    <row r="440" spans="1:24">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row>
    <row r="441" spans="1:24">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row>
    <row r="442" spans="1:24">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row>
    <row r="443" spans="1:24">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row>
    <row r="444" spans="1:2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row>
    <row r="445" spans="1:24">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row>
    <row r="446" spans="1:24">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row>
    <row r="447" spans="1:24">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row>
    <row r="448" spans="1:24">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row>
    <row r="449" spans="1:24">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row>
    <row r="450" spans="1:24">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row>
    <row r="451" spans="1:24">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row>
    <row r="452" spans="1:24">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row>
    <row r="453" spans="1:24">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row>
    <row r="454" spans="1:2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row>
    <row r="455" spans="1:24">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row>
    <row r="456" spans="1:24">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row>
    <row r="457" spans="1:24">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row>
    <row r="458" spans="1:24">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row>
    <row r="459" spans="1:24">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row>
    <row r="460" spans="1:24">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row>
    <row r="461" spans="1:24">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row>
    <row r="462" spans="1:24">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row>
    <row r="463" spans="1:24">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row>
    <row r="464" spans="1:2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row>
    <row r="465" spans="1:24">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row>
    <row r="466" spans="1:24">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row>
    <row r="467" spans="1:24">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row>
    <row r="468" spans="1:24">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row>
    <row r="469" spans="1:24">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row>
    <row r="470" spans="1:24">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row>
    <row r="471" spans="1:24">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row>
    <row r="472" spans="1:24">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row>
    <row r="473" spans="1:24">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row>
    <row r="474" spans="1:2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row>
    <row r="475" spans="1:24">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row>
    <row r="476" spans="1:24">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row>
    <row r="477" spans="1:24">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row>
    <row r="478" spans="1:24">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row>
    <row r="479" spans="1:24">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row>
    <row r="480" spans="1:24">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row>
    <row r="481" spans="1:24">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row>
    <row r="482" spans="1:24">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row>
    <row r="483" spans="1:24">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row>
    <row r="484" spans="1:2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row>
    <row r="485" spans="1:24">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row>
    <row r="486" spans="1:24">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row>
    <row r="487" spans="1:24">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row>
    <row r="488" spans="1:24">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row>
    <row r="489" spans="1:24">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row>
    <row r="490" spans="1:24">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row>
    <row r="491" spans="1:24">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row>
    <row r="492" spans="1:24">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row>
    <row r="493" spans="1:24">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row>
    <row r="494" spans="1:2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row>
    <row r="495" spans="1:24">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row>
    <row r="496" spans="1:24">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row>
    <row r="497" spans="1:24">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row>
    <row r="498" spans="1:24">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row>
    <row r="499" spans="1:24">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row>
    <row r="500" spans="1:24">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row>
    <row r="501" spans="1:24">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row>
    <row r="502" spans="1:24">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row>
    <row r="503" spans="1:24">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row>
    <row r="504" spans="1:2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row>
    <row r="505" spans="1:24">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row>
    <row r="506" spans="1:24">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row>
    <row r="507" spans="1:24">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row>
    <row r="508" spans="1:24">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row>
    <row r="509" spans="1:24">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row>
    <row r="510" spans="1:24">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row>
    <row r="511" spans="1:24">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row>
    <row r="512" spans="1:24">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row>
    <row r="513" spans="1:24">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row>
    <row r="514" spans="1:2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row>
    <row r="515" spans="1:24">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row>
    <row r="516" spans="1:24">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row>
    <row r="517" spans="1:24">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row>
    <row r="518" spans="1:24">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row>
    <row r="519" spans="1:24">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row>
    <row r="520" spans="1:24">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row>
    <row r="521" spans="1:24">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row>
    <row r="522" spans="1:24">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row>
    <row r="523" spans="1:24">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row>
    <row r="524" spans="1: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row>
    <row r="525" spans="1:24">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row>
    <row r="526" spans="1:24">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row>
    <row r="527" spans="1:24">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row>
    <row r="528" spans="1:24">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row>
    <row r="529" spans="1:24">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row>
    <row r="530" spans="1:24">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row>
    <row r="531" spans="1:24">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row>
    <row r="532" spans="1:24">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row>
    <row r="533" spans="1:24">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row>
    <row r="534" spans="1:2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row>
    <row r="535" spans="1:24">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row>
    <row r="536" spans="1:24">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row>
    <row r="537" spans="1:24">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row>
    <row r="538" spans="1:24">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row>
    <row r="539" spans="1:24">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row>
    <row r="540" spans="1:24">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row>
    <row r="541" spans="1:24">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row>
    <row r="542" spans="1:24">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row>
    <row r="543" spans="1:24">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row>
    <row r="544" spans="1:2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row>
    <row r="545" spans="1:24">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row>
    <row r="546" spans="1:24">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row>
    <row r="547" spans="1:24">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row>
    <row r="548" spans="1:24">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row>
    <row r="549" spans="1:24">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row>
    <row r="550" spans="1:24">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row>
    <row r="551" spans="1:24">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row>
    <row r="552" spans="1:24">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row>
    <row r="553" spans="1:24">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row>
    <row r="554" spans="1:2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row>
    <row r="555" spans="1:24">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row>
    <row r="556" spans="1:24">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row>
    <row r="557" spans="1:24">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row>
    <row r="558" spans="1:24">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row>
    <row r="559" spans="1:24">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row>
    <row r="560" spans="1:24">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row>
    <row r="561" spans="1:24">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row>
    <row r="562" spans="1:24">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row>
    <row r="563" spans="1:24">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row>
    <row r="564" spans="1:2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row>
    <row r="565" spans="1:24">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row>
    <row r="566" spans="1:24">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row>
    <row r="567" spans="1:24">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row>
    <row r="568" spans="1:24">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row>
    <row r="569" spans="1:24">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row>
    <row r="570" spans="1:24">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row>
    <row r="571" spans="1:24">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row>
    <row r="572" spans="1:24">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row>
    <row r="573" spans="1:24">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row>
    <row r="574" spans="1:2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row>
    <row r="575" spans="1:24">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row>
    <row r="576" spans="1:24">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row>
    <row r="577" spans="1:24">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row>
    <row r="578" spans="1:24">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row>
    <row r="579" spans="1:24">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row>
    <row r="580" spans="1:24">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row>
    <row r="581" spans="1:24">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row>
    <row r="582" spans="1:24">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row>
    <row r="583" spans="1:24">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row>
    <row r="584" spans="1:2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row>
    <row r="585" spans="1:24">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row>
    <row r="586" spans="1:24">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row>
    <row r="587" spans="1:24">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row>
    <row r="588" spans="1:24">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row>
    <row r="589" spans="1:24">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row>
    <row r="590" spans="1:24">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row>
    <row r="591" spans="1:24">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row>
    <row r="592" spans="1:24">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row>
    <row r="593" spans="1:24">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row>
    <row r="594" spans="1:2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row>
    <row r="595" spans="1:24">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row>
    <row r="596" spans="1:24">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row>
    <row r="597" spans="1:24">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row>
    <row r="598" spans="1:24">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row>
    <row r="599" spans="1:24">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row>
    <row r="600" spans="1:24">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row>
    <row r="601" spans="1:24">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row>
    <row r="602" spans="1:24">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row>
    <row r="603" spans="1:24">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row>
    <row r="604" spans="1:2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row>
    <row r="605" spans="1:24">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row>
    <row r="606" spans="1:24">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row>
    <row r="607" spans="1:24">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row>
    <row r="608" spans="1:24">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row>
    <row r="609" spans="1:24">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row>
    <row r="610" spans="1:24">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row>
    <row r="611" spans="1:24">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row>
    <row r="612" spans="1:24">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row>
    <row r="613" spans="1:24">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row>
    <row r="614" spans="1:2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row>
    <row r="615" spans="1:24">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row>
    <row r="616" spans="1:24">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row>
    <row r="617" spans="1:24">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row>
    <row r="618" spans="1:24">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row>
    <row r="619" spans="1:24">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row>
    <row r="620" spans="1:24">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row>
    <row r="621" spans="1:24">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row>
    <row r="622" spans="1:24">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row>
    <row r="623" spans="1:24">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row>
    <row r="624" spans="1: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row>
    <row r="625" spans="1:24">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row>
    <row r="626" spans="1:24">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row>
    <row r="627" spans="1:24">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row>
    <row r="628" spans="1:24">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row>
    <row r="629" spans="1:24">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row>
    <row r="630" spans="1:24">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row>
    <row r="631" spans="1:24">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row>
    <row r="632" spans="1:24">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row>
    <row r="633" spans="1:24">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row>
    <row r="634" spans="1:2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row>
    <row r="635" spans="1:24">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row>
    <row r="636" spans="1:24">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row>
    <row r="637" spans="1:24">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row>
    <row r="638" spans="1:24">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row>
    <row r="639" spans="1:24">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row>
    <row r="640" spans="1:24">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row>
    <row r="641" spans="1:24">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row>
    <row r="642" spans="1:24">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row>
    <row r="643" spans="1:24">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row>
    <row r="644" spans="1:2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row>
    <row r="645" spans="1:24">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row>
    <row r="646" spans="1:24">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row>
    <row r="647" spans="1:24">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row>
    <row r="648" spans="1:24">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row>
    <row r="649" spans="1:24">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row>
    <row r="650" spans="1:24">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row>
    <row r="651" spans="1:24">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row>
    <row r="652" spans="1:24">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row>
    <row r="653" spans="1:24">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row>
    <row r="654" spans="1:2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row>
    <row r="655" spans="1:24">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row>
    <row r="656" spans="1:24">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row>
    <row r="657" spans="1:24">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row>
    <row r="658" spans="1:24">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row>
    <row r="659" spans="1:24">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row>
    <row r="660" spans="1:24">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row>
    <row r="661" spans="1:24">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row>
    <row r="662" spans="1:24">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row>
    <row r="663" spans="1:24">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row>
    <row r="664" spans="1:2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row>
    <row r="665" spans="1:24">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row>
    <row r="666" spans="1:24">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row>
    <row r="667" spans="1:24">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row>
    <row r="668" spans="1:24">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row>
    <row r="669" spans="1:24">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row>
    <row r="670" spans="1:24">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row>
    <row r="671" spans="1:24">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row>
    <row r="672" spans="1:24">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row>
    <row r="673" spans="1:24">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row>
    <row r="674" spans="1:2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row>
    <row r="675" spans="1:24">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row>
    <row r="676" spans="1:24">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row>
    <row r="677" spans="1:24">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row>
    <row r="678" spans="1:24">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row>
    <row r="679" spans="1:24">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row>
    <row r="680" spans="1:24">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row>
    <row r="681" spans="1:24">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row>
    <row r="682" spans="1:24">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row>
    <row r="683" spans="1:24">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row>
    <row r="684" spans="1:2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row>
    <row r="685" spans="1:24">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row>
    <row r="686" spans="1:24">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row>
    <row r="687" spans="1:24">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row>
    <row r="688" spans="1:24">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row>
    <row r="689" spans="1:24">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row>
    <row r="690" spans="1:24">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row>
    <row r="691" spans="1:24">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row>
    <row r="692" spans="1:24">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row>
    <row r="693" spans="1:24">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row>
    <row r="694" spans="1:2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row>
    <row r="695" spans="1:24">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row>
    <row r="696" spans="1:24">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row>
    <row r="697" spans="1:24">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row>
    <row r="698" spans="1:24">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row>
    <row r="699" spans="1:24">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row>
    <row r="700" spans="1:24">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row>
    <row r="701" spans="1:24">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row>
    <row r="702" spans="1:24">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row>
    <row r="703" spans="1:24">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row>
    <row r="704" spans="1:2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row>
    <row r="705" spans="1:24">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row>
    <row r="706" spans="1:24">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row>
    <row r="707" spans="1:24">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row>
    <row r="708" spans="1:24">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row>
    <row r="709" spans="1:24">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row>
    <row r="710" spans="1:24">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row>
    <row r="711" spans="1:24">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row>
    <row r="712" spans="1:24">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row>
    <row r="713" spans="1:24">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row>
    <row r="714" spans="1:2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row>
    <row r="715" spans="1:24">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row>
    <row r="716" spans="1:24">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row>
    <row r="717" spans="1:24">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row>
    <row r="718" spans="1:24">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row>
    <row r="719" spans="1:24">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row>
    <row r="720" spans="1:24">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row>
    <row r="721" spans="1:24">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row>
    <row r="722" spans="1:24">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row>
    <row r="723" spans="1:24">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row>
    <row r="724" spans="1: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row>
    <row r="725" spans="1:24">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row>
    <row r="726" spans="1:24">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row>
    <row r="727" spans="1:24">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row>
    <row r="728" spans="1:24">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row>
    <row r="729" spans="1:24">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row>
    <row r="730" spans="1:24">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row>
    <row r="731" spans="1:24">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row>
    <row r="732" spans="1:24">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row>
    <row r="733" spans="1:24">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row>
    <row r="734" spans="1:2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row>
    <row r="735" spans="1:24">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row>
    <row r="736" spans="1:24">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row>
    <row r="737" spans="1:24">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row>
    <row r="738" spans="1:24">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row>
    <row r="739" spans="1:24">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row>
    <row r="740" spans="1:24">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row>
    <row r="741" spans="1:24">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row>
    <row r="742" spans="1:24">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row>
    <row r="743" spans="1:24">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row>
    <row r="744" spans="1:2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row>
    <row r="745" spans="1:24">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row>
    <row r="746" spans="1:24">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row>
    <row r="747" spans="1:24">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row>
    <row r="748" spans="1:24">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row>
    <row r="749" spans="1:24">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row>
    <row r="750" spans="1:24">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row>
    <row r="751" spans="1:24">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row>
    <row r="752" spans="1:24">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row>
    <row r="753" spans="1:24">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row>
    <row r="754" spans="1:2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row>
    <row r="755" spans="1:24">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row>
    <row r="756" spans="1:24">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row>
    <row r="757" spans="1:24">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row>
    <row r="758" spans="1:24">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row>
    <row r="759" spans="1:24">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row>
    <row r="760" spans="1:24">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row>
    <row r="761" spans="1:24">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row>
    <row r="762" spans="1:24">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row>
    <row r="763" spans="1:24">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row>
    <row r="764" spans="1:2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row>
    <row r="765" spans="1:24">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row>
    <row r="766" spans="1:24">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row>
    <row r="767" spans="1:24">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row>
    <row r="768" spans="1:24">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row>
    <row r="769" spans="1:24">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row>
    <row r="770" spans="1:24">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row>
    <row r="771" spans="1:24">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row>
    <row r="772" spans="1:24">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row>
    <row r="773" spans="1:24">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row>
    <row r="774" spans="1:2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row>
    <row r="775" spans="1:24">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row>
    <row r="776" spans="1:24">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row>
    <row r="777" spans="1:24">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row>
    <row r="778" spans="1:24">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row>
    <row r="779" spans="1:24">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row>
    <row r="780" spans="1:24">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row>
    <row r="781" spans="1:24">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row>
    <row r="782" spans="1:24">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row>
    <row r="783" spans="1:24">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row>
    <row r="784" spans="1:2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row>
    <row r="785" spans="1:24">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row>
    <row r="786" spans="1:24">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row>
    <row r="787" spans="1:24">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row>
    <row r="788" spans="1:24">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row>
    <row r="789" spans="1:24">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row>
    <row r="790" spans="1:24">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row>
    <row r="791" spans="1:24">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row>
    <row r="792" spans="1:24">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row>
    <row r="793" spans="1:24">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row>
    <row r="794" spans="1:2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row>
    <row r="795" spans="1:24">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row>
    <row r="796" spans="1:24">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row>
    <row r="797" spans="1:24">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row>
    <row r="798" spans="1:24">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row>
    <row r="799" spans="1:24">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row>
    <row r="800" spans="1:24">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row>
    <row r="801" spans="1:24">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row>
    <row r="802" spans="1:24">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row>
    <row r="803" spans="1:24">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row>
    <row r="804" spans="1:2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row>
    <row r="805" spans="1:24">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row>
    <row r="806" spans="1:24">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row>
    <row r="807" spans="1:24">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row>
    <row r="808" spans="1:24">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row>
    <row r="809" spans="1:24">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row>
    <row r="810" spans="1:24">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row>
    <row r="811" spans="1:24">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row>
    <row r="812" spans="1:24">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row>
    <row r="813" spans="1:24">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row>
    <row r="814" spans="1:2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row>
    <row r="815" spans="1:24">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row>
    <row r="816" spans="1:24">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row>
    <row r="817" spans="1:24">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row>
    <row r="818" spans="1:24">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row>
    <row r="819" spans="1:24">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row>
    <row r="820" spans="1:24">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row>
    <row r="821" spans="1:24">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row>
    <row r="822" spans="1:24">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row>
    <row r="823" spans="1:24">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row>
    <row r="824" spans="1: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row>
    <row r="825" spans="1:24">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row>
    <row r="826" spans="1:24">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row>
    <row r="827" spans="1:24">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row>
    <row r="828" spans="1:24">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row>
    <row r="829" spans="1:24">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row>
    <row r="830" spans="1:24">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row>
    <row r="831" spans="1:24">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row>
    <row r="832" spans="1:24">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row>
    <row r="833" spans="1:24">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row>
    <row r="834" spans="1:2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row>
    <row r="835" spans="1:24">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row>
    <row r="836" spans="1:24">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row>
    <row r="837" spans="1:24">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row>
    <row r="838" spans="1:24">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row>
    <row r="839" spans="1:24">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row>
    <row r="840" spans="1:24">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row>
    <row r="841" spans="1:24">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row>
    <row r="842" spans="1:24">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row>
    <row r="843" spans="1:24">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row>
    <row r="844" spans="1:2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row>
    <row r="845" spans="1:24">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row>
    <row r="846" spans="1:24">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row>
    <row r="847" spans="1:24">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row>
    <row r="848" spans="1:24">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row>
    <row r="849" spans="1:24">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row>
    <row r="850" spans="1:24">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row>
    <row r="851" spans="1:24">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row>
    <row r="852" spans="1:24">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row>
    <row r="853" spans="1:24">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row>
    <row r="854" spans="1:2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row>
    <row r="855" spans="1:24">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row>
    <row r="856" spans="1:24">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row>
    <row r="857" spans="1:24">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row>
    <row r="858" spans="1:24">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row>
    <row r="859" spans="1:24">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row>
    <row r="860" spans="1:24">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row>
    <row r="861" spans="1:24">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row>
    <row r="862" spans="1:24">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row>
    <row r="863" spans="1:24">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row>
    <row r="864" spans="1:2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row>
    <row r="865" spans="1:24">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row>
    <row r="866" spans="1:24">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row>
    <row r="867" spans="1:24">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row>
    <row r="868" spans="1:24">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row>
    <row r="869" spans="1:24">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row>
    <row r="870" spans="1:24">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row>
    <row r="871" spans="1:24">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row>
    <row r="872" spans="1:24">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row>
    <row r="873" spans="1:24">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row>
    <row r="874" spans="1:2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row>
    <row r="875" spans="1:24">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row>
    <row r="876" spans="1:24">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row>
    <row r="877" spans="1:24">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row>
    <row r="878" spans="1:24">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row>
    <row r="879" spans="1:24">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row>
    <row r="880" spans="1:24">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row>
    <row r="881" spans="1:24">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row>
    <row r="882" spans="1:24">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row>
    <row r="883" spans="1:24">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row>
    <row r="884" spans="1:2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row>
    <row r="885" spans="1:24">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row>
    <row r="886" spans="1:24">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row>
    <row r="887" spans="1:24">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row>
    <row r="888" spans="1:24">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row>
    <row r="889" spans="1:24">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row>
    <row r="890" spans="1:24">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row>
    <row r="891" spans="1:24">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row>
    <row r="892" spans="1:24">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row>
    <row r="893" spans="1:24">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row>
    <row r="894" spans="1:2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row>
    <row r="895" spans="1:24">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row>
    <row r="896" spans="1:24">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row>
    <row r="897" spans="1:24">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row>
    <row r="898" spans="1:24">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row>
    <row r="899" spans="1:24">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row>
    <row r="900" spans="1:24">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row>
    <row r="901" spans="1:24">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row>
    <row r="902" spans="1:24">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row>
    <row r="903" spans="1:24">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row>
    <row r="904" spans="1:2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row>
    <row r="905" spans="1:24">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row>
    <row r="906" spans="1:24">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row>
    <row r="907" spans="1:24">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row>
    <row r="908" spans="1:24">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row>
    <row r="909" spans="1:24">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row>
    <row r="910" spans="1:24">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row>
    <row r="911" spans="1:24">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row>
    <row r="912" spans="1:24">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row>
    <row r="913" spans="1:24">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row>
    <row r="914" spans="1:2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row>
    <row r="915" spans="1:24">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row>
    <row r="916" spans="1:24">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row>
    <row r="917" spans="1:24">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row>
    <row r="918" spans="1:24">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row>
    <row r="919" spans="1:24">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row>
    <row r="920" spans="1:24">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row>
    <row r="921" spans="1:24">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row>
    <row r="922" spans="1:24">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row>
    <row r="923" spans="1:24">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row>
    <row r="924" spans="1: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row>
    <row r="925" spans="1:24">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row>
    <row r="926" spans="1:24">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row>
    <row r="927" spans="1:24">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row>
    <row r="928" spans="1:24">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row>
    <row r="929" spans="1:24">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row>
    <row r="930" spans="1:24">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row>
    <row r="931" spans="1:24">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row>
    <row r="932" spans="1:24">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row>
    <row r="933" spans="1:24">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row>
    <row r="934" spans="1:2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row>
    <row r="935" spans="1:24">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row>
    <row r="936" spans="1:24">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row>
    <row r="937" spans="1:24">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row>
    <row r="938" spans="1:24">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row>
    <row r="939" spans="1:24">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row>
    <row r="940" spans="1:24">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row>
    <row r="941" spans="1:24">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row>
    <row r="942" spans="1:24">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row>
    <row r="943" spans="1:24">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row>
    <row r="944" spans="1:2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row>
    <row r="945" spans="1:24">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row>
    <row r="946" spans="1:24">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row>
    <row r="947" spans="1:24">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row>
    <row r="948" spans="1:24">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row>
    <row r="949" spans="1:24">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row>
    <row r="950" spans="1:24">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row>
    <row r="951" spans="1:24">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row>
    <row r="952" spans="1:24">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row>
    <row r="953" spans="1:24">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row>
    <row r="954" spans="1:2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row>
    <row r="955" spans="1:24">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row>
    <row r="956" spans="1:24">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row>
    <row r="957" spans="1:24">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row>
    <row r="958" spans="1:24">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row>
    <row r="959" spans="1:24">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row>
    <row r="960" spans="1:24">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row>
    <row r="961" spans="1:24">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row>
    <row r="962" spans="1:24">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row>
    <row r="963" spans="1:24">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row>
    <row r="964" spans="1:2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row>
    <row r="965" spans="1:24">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row>
    <row r="966" spans="1:24">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row>
    <row r="967" spans="1:24">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row>
    <row r="968" spans="1:24">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row>
    <row r="969" spans="1:24">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row>
    <row r="970" spans="1:24">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row>
    <row r="971" spans="1:24">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row>
    <row r="972" spans="1:24">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row>
    <row r="973" spans="1:24">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row>
    <row r="974" spans="1:2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row>
    <row r="975" spans="1:24">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row>
    <row r="976" spans="1:24">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row>
    <row r="977" spans="1:24">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row>
    <row r="978" spans="1:24">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row>
    <row r="979" spans="1:24">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row>
    <row r="980" spans="1:24">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row>
    <row r="981" spans="1:24">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row>
    <row r="982" spans="1:24">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row>
    <row r="983" spans="1:24">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row>
    <row r="984" spans="1:2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row>
    <row r="985" spans="1:24">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row>
    <row r="986" spans="1:24">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row>
    <row r="987" spans="1:24">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row>
    <row r="988" spans="1:24">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row>
    <row r="989" spans="1:24">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row>
    <row r="990" spans="1:24">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row>
    <row r="991" spans="1:24">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row>
    <row r="992" spans="1:24">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row>
    <row r="993" spans="1:24">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row>
    <row r="994" spans="1:2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row>
  </sheetData>
  <mergeCells count="19">
    <mergeCell ref="B2:I2"/>
    <mergeCell ref="B3:I3"/>
    <mergeCell ref="B4:C4"/>
    <mergeCell ref="E4:F4"/>
    <mergeCell ref="A5:A6"/>
    <mergeCell ref="B5:B6"/>
    <mergeCell ref="C5:C6"/>
    <mergeCell ref="D5:D6"/>
    <mergeCell ref="E5:F5"/>
    <mergeCell ref="H5:H6"/>
    <mergeCell ref="I5:I6"/>
    <mergeCell ref="F7:F9"/>
    <mergeCell ref="H7:H9"/>
    <mergeCell ref="I7:I9"/>
    <mergeCell ref="A7:A9"/>
    <mergeCell ref="B7:B9"/>
    <mergeCell ref="C7:C9"/>
    <mergeCell ref="D7:D9"/>
    <mergeCell ref="E7:E9"/>
  </mergeCells>
  <hyperlinks>
    <hyperlink ref="A1" location="'Modelo de dominio'!A1" display="&lt;&lt;&lt;Modelo de Dominio" xr:uid="{34FC9245-0FAC-4D5B-B571-5689F4E57113}"/>
    <hyperlink ref="B1" location="'Objetos de dominio'!A1" display="&lt;&lt;&lt;Objetos de Dominio" xr:uid="{D370ADC0-3D3C-44B5-935A-2B9193A33AA6}"/>
    <hyperlink ref="B3" location="'Objetos de dominio'!B6" display="Objeto de dominio que representa las unidades de medida que va a utilizar el sistema " xr:uid="{C132022C-6325-411B-A662-94FA9972AF66}"/>
  </hyperlink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71EF-1D28-4C12-81EE-D0B897DC5751}">
  <sheetPr>
    <outlinePr summaryBelow="0" summaryRight="0"/>
  </sheetPr>
  <dimension ref="A1:Z993"/>
  <sheetViews>
    <sheetView workbookViewId="0">
      <selection activeCell="B1" sqref="B1"/>
    </sheetView>
  </sheetViews>
  <sheetFormatPr baseColWidth="10" defaultColWidth="12.625" defaultRowHeight="15.8" customHeight="1"/>
  <cols>
    <col min="2" max="2" width="130.25" customWidth="1"/>
    <col min="3" max="3" width="18.125" customWidth="1"/>
    <col min="4" max="4" width="19.625" customWidth="1"/>
    <col min="6" max="6" width="130.25" customWidth="1"/>
  </cols>
  <sheetData>
    <row r="1" spans="1:26">
      <c r="A1" s="49" t="s">
        <v>0</v>
      </c>
      <c r="B1" s="50" t="s">
        <v>1</v>
      </c>
      <c r="C1" s="73"/>
      <c r="D1" s="73"/>
      <c r="E1" s="73"/>
      <c r="F1" s="73"/>
      <c r="G1" s="73"/>
      <c r="H1" s="73"/>
      <c r="I1" s="73"/>
      <c r="J1" s="73"/>
      <c r="K1" s="73"/>
      <c r="L1" s="73"/>
      <c r="M1" s="73"/>
      <c r="N1" s="73"/>
      <c r="O1" s="73"/>
      <c r="P1" s="73"/>
      <c r="Q1" s="73"/>
      <c r="R1" s="73"/>
      <c r="S1" s="73"/>
      <c r="T1" s="73"/>
      <c r="U1" s="73"/>
      <c r="V1" s="73"/>
      <c r="W1" s="73"/>
      <c r="X1" s="73"/>
      <c r="Y1" s="73"/>
      <c r="Z1" s="73"/>
    </row>
    <row r="2" spans="1:26">
      <c r="A2" s="54" t="s">
        <v>233</v>
      </c>
      <c r="B2" s="1112" t="s">
        <v>1204</v>
      </c>
      <c r="C2" s="1033"/>
      <c r="E2" s="73"/>
      <c r="F2" s="73"/>
      <c r="G2" s="73"/>
      <c r="H2" s="73"/>
      <c r="I2" s="73"/>
      <c r="J2" s="73"/>
      <c r="K2" s="73"/>
      <c r="L2" s="73"/>
      <c r="M2" s="73"/>
      <c r="N2" s="73"/>
      <c r="O2" s="73"/>
      <c r="P2" s="73"/>
      <c r="Q2" s="73"/>
      <c r="R2" s="73"/>
      <c r="S2" s="73"/>
      <c r="T2" s="73"/>
      <c r="U2" s="73"/>
      <c r="V2" s="73"/>
      <c r="W2" s="73"/>
      <c r="X2" s="73"/>
      <c r="Y2" s="73"/>
      <c r="Z2" s="73"/>
    </row>
    <row r="3" spans="1:26">
      <c r="A3" s="54" t="s">
        <v>21</v>
      </c>
      <c r="B3" s="1111" t="str">
        <f>'C-Usuario'!B3</f>
        <v>Es la persona que puede ingresar a la aplicacion; solo el administrador de la pizzeria puede iniciar sesion.</v>
      </c>
      <c r="C3" s="1033"/>
      <c r="E3" s="73"/>
      <c r="F3" s="73"/>
      <c r="G3" s="73"/>
      <c r="H3" s="73"/>
      <c r="I3" s="73"/>
      <c r="J3" s="73"/>
      <c r="K3" s="73"/>
      <c r="L3" s="73"/>
      <c r="M3" s="73"/>
      <c r="N3" s="73"/>
      <c r="O3" s="73"/>
      <c r="P3" s="73"/>
      <c r="Q3" s="73"/>
      <c r="R3" s="73"/>
      <c r="S3" s="73"/>
      <c r="T3" s="73"/>
      <c r="U3" s="73"/>
      <c r="V3" s="73"/>
      <c r="W3" s="73"/>
      <c r="X3" s="73"/>
      <c r="Y3" s="73"/>
      <c r="Z3" s="73"/>
    </row>
    <row r="4" spans="1:26">
      <c r="A4" s="55" t="s">
        <v>234</v>
      </c>
      <c r="B4" s="55" t="s">
        <v>235</v>
      </c>
      <c r="C4" s="55" t="s">
        <v>236</v>
      </c>
      <c r="D4" s="55" t="s">
        <v>237</v>
      </c>
      <c r="E4" s="73"/>
      <c r="F4" s="73"/>
      <c r="G4" s="73"/>
      <c r="H4" s="73"/>
      <c r="I4" s="73"/>
      <c r="J4" s="73"/>
      <c r="K4" s="73"/>
      <c r="L4" s="73"/>
      <c r="M4" s="73"/>
      <c r="N4" s="73"/>
      <c r="O4" s="73"/>
      <c r="P4" s="73"/>
      <c r="Q4" s="73"/>
      <c r="R4" s="73"/>
      <c r="S4" s="73"/>
      <c r="T4" s="73"/>
      <c r="U4" s="73"/>
      <c r="V4" s="73"/>
      <c r="W4" s="73"/>
      <c r="X4" s="73"/>
      <c r="Y4" s="73"/>
      <c r="Z4" s="73"/>
    </row>
    <row r="5" spans="1:26">
      <c r="A5" s="114" t="s">
        <v>1236</v>
      </c>
      <c r="B5" s="114" t="s">
        <v>1237</v>
      </c>
      <c r="C5" s="114" t="s">
        <v>1204</v>
      </c>
      <c r="D5" s="114"/>
      <c r="I5" s="73"/>
      <c r="J5" s="73"/>
      <c r="K5" s="73"/>
      <c r="L5" s="73"/>
      <c r="M5" s="73"/>
      <c r="N5" s="73"/>
      <c r="O5" s="73"/>
      <c r="P5" s="73"/>
      <c r="Q5" s="73"/>
      <c r="R5" s="73"/>
      <c r="S5" s="73"/>
      <c r="T5" s="73"/>
      <c r="U5" s="73"/>
      <c r="V5" s="73"/>
      <c r="W5" s="73"/>
      <c r="X5" s="73"/>
      <c r="Y5" s="73"/>
      <c r="Z5" s="73"/>
    </row>
    <row r="6" spans="1:26">
      <c r="A6" s="114" t="s">
        <v>1238</v>
      </c>
      <c r="B6" s="202" t="s">
        <v>1239</v>
      </c>
      <c r="C6" s="114" t="s">
        <v>1204</v>
      </c>
      <c r="D6" s="298"/>
      <c r="E6" s="73"/>
      <c r="F6" s="73"/>
      <c r="G6" s="73"/>
      <c r="H6" s="73"/>
      <c r="I6" s="73"/>
      <c r="J6" s="73"/>
      <c r="K6" s="73"/>
      <c r="L6" s="73"/>
      <c r="M6" s="73"/>
      <c r="N6" s="73"/>
      <c r="O6" s="73"/>
      <c r="P6" s="73"/>
      <c r="Q6" s="73"/>
      <c r="R6" s="73"/>
      <c r="S6" s="73"/>
      <c r="T6" s="73"/>
      <c r="U6" s="73"/>
      <c r="V6" s="73"/>
      <c r="W6" s="73"/>
      <c r="X6" s="73"/>
      <c r="Y6" s="73"/>
      <c r="Z6" s="73"/>
    </row>
    <row r="7" spans="1:26">
      <c r="A7" s="114" t="s">
        <v>1240</v>
      </c>
      <c r="B7" s="114" t="s">
        <v>1241</v>
      </c>
      <c r="C7" s="114" t="s">
        <v>1204</v>
      </c>
      <c r="D7" s="114"/>
      <c r="I7" s="73"/>
      <c r="J7" s="73"/>
      <c r="K7" s="73"/>
      <c r="L7" s="73"/>
      <c r="M7" s="73"/>
      <c r="N7" s="73"/>
      <c r="O7" s="73"/>
      <c r="P7" s="73"/>
      <c r="Q7" s="73"/>
      <c r="R7" s="73"/>
      <c r="S7" s="73"/>
      <c r="T7" s="73"/>
      <c r="U7" s="73"/>
      <c r="V7" s="73"/>
      <c r="W7" s="73"/>
      <c r="X7" s="73"/>
      <c r="Y7" s="73"/>
      <c r="Z7" s="73"/>
    </row>
    <row r="8" spans="1:26">
      <c r="A8" s="73"/>
      <c r="B8" s="73"/>
      <c r="C8" s="73"/>
      <c r="D8" s="73"/>
      <c r="E8" s="73"/>
      <c r="F8" s="73"/>
      <c r="G8" s="73"/>
      <c r="H8" s="73"/>
      <c r="I8" s="73"/>
      <c r="J8" s="73"/>
      <c r="K8" s="73"/>
      <c r="L8" s="73"/>
      <c r="M8" s="73"/>
      <c r="N8" s="73"/>
      <c r="O8" s="73"/>
      <c r="P8" s="73"/>
      <c r="Q8" s="73"/>
      <c r="R8" s="73"/>
      <c r="S8" s="73"/>
      <c r="T8" s="73"/>
      <c r="U8" s="73"/>
      <c r="V8" s="73"/>
      <c r="W8" s="73"/>
      <c r="X8" s="73"/>
      <c r="Y8" s="73"/>
      <c r="Z8" s="73"/>
    </row>
    <row r="9" spans="1:26">
      <c r="A9" s="73"/>
      <c r="B9" s="73"/>
      <c r="C9" s="73"/>
      <c r="D9" s="73"/>
      <c r="E9" s="73"/>
      <c r="F9" s="73"/>
      <c r="G9" s="73"/>
      <c r="H9" s="73"/>
      <c r="I9" s="73"/>
      <c r="J9" s="73"/>
      <c r="K9" s="73"/>
      <c r="L9" s="73"/>
      <c r="M9" s="73"/>
      <c r="N9" s="73"/>
      <c r="O9" s="73"/>
      <c r="P9" s="73"/>
      <c r="Q9" s="73"/>
      <c r="R9" s="73"/>
      <c r="S9" s="73"/>
      <c r="T9" s="73"/>
      <c r="U9" s="73"/>
      <c r="V9" s="73"/>
      <c r="W9" s="73"/>
      <c r="X9" s="73"/>
      <c r="Y9" s="73"/>
      <c r="Z9" s="73"/>
    </row>
    <row r="10" spans="1:26">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c r="A993" s="73"/>
      <c r="B993" s="73"/>
      <c r="C993" s="73"/>
      <c r="D993" s="27"/>
      <c r="E993" s="73"/>
      <c r="F993" s="73"/>
      <c r="G993" s="73"/>
      <c r="H993" s="73"/>
      <c r="I993" s="73"/>
      <c r="J993" s="73"/>
      <c r="K993" s="73"/>
      <c r="L993" s="73"/>
      <c r="M993" s="73"/>
      <c r="N993" s="73"/>
      <c r="O993" s="73"/>
      <c r="P993" s="73"/>
      <c r="Q993" s="73"/>
      <c r="R993" s="73"/>
      <c r="S993" s="73"/>
      <c r="T993" s="73"/>
      <c r="U993" s="73"/>
      <c r="V993" s="73"/>
      <c r="W993" s="73"/>
      <c r="X993" s="73"/>
      <c r="Y993" s="73"/>
      <c r="Z993" s="73"/>
    </row>
  </sheetData>
  <mergeCells count="2">
    <mergeCell ref="B2:C2"/>
    <mergeCell ref="B3:C3"/>
  </mergeCells>
  <hyperlinks>
    <hyperlink ref="A1" location="'Modelo de dominio'!A1" display="&lt;&lt;&lt;Modelo de Dominio" xr:uid="{1B4DE513-5DF7-4DDF-9C39-4B7E0D2FCC33}"/>
    <hyperlink ref="B1" location="'Objetos de dominio'!A1" display="&lt;&lt;&lt;Objetos de Dominio" xr:uid="{9E44FA51-66B8-4EF1-B64C-77ED733B14AF}"/>
    <hyperlink ref="B3" location="'Objetos de dominio'!B6" display="Objeto de dominio que representa las unidades de medida que va a utilizar el sistema " xr:uid="{8C2C0C87-B70C-4691-8F3B-ACD35973D44E}"/>
  </hyperlinks>
  <pageMargins left="0.75" right="0.75" top="1" bottom="1" header="0.5" footer="0.5"/>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J63"/>
  <sheetViews>
    <sheetView workbookViewId="0">
      <selection activeCell="D13" sqref="D13"/>
    </sheetView>
  </sheetViews>
  <sheetFormatPr baseColWidth="10" defaultRowHeight="12.9"/>
  <cols>
    <col min="4" max="4" width="23.75" customWidth="1"/>
    <col min="5" max="5" width="14.375" customWidth="1"/>
    <col min="10" max="10" width="20.125" customWidth="1"/>
  </cols>
  <sheetData>
    <row r="5" spans="3:10">
      <c r="E5" s="1651" t="s">
        <v>140</v>
      </c>
      <c r="F5" s="1124"/>
    </row>
    <row r="6" spans="3:10" s="614" customFormat="1">
      <c r="E6" s="520" t="s">
        <v>141</v>
      </c>
      <c r="F6" s="520"/>
    </row>
    <row r="7" spans="3:10">
      <c r="E7" s="562" t="s">
        <v>142</v>
      </c>
      <c r="F7" s="562"/>
    </row>
    <row r="8" spans="3:10">
      <c r="E8" s="562" t="s">
        <v>143</v>
      </c>
      <c r="F8" s="562"/>
    </row>
    <row r="9" spans="3:10">
      <c r="E9" s="562" t="s">
        <v>144</v>
      </c>
      <c r="F9" s="562"/>
    </row>
    <row r="12" spans="3:10">
      <c r="F12" s="1651" t="s">
        <v>145</v>
      </c>
      <c r="G12" s="1124"/>
      <c r="J12" t="s">
        <v>146</v>
      </c>
    </row>
    <row r="13" spans="3:10">
      <c r="F13" s="562">
        <v>1</v>
      </c>
      <c r="G13" s="562" t="s">
        <v>147</v>
      </c>
    </row>
    <row r="14" spans="3:10">
      <c r="F14" s="562">
        <v>2</v>
      </c>
      <c r="G14" s="562" t="s">
        <v>148</v>
      </c>
    </row>
    <row r="15" spans="3:10">
      <c r="C15" s="1652"/>
      <c r="D15" s="971"/>
      <c r="F15" s="562">
        <v>3</v>
      </c>
      <c r="G15" s="562" t="s">
        <v>149</v>
      </c>
    </row>
    <row r="16" spans="3:10">
      <c r="C16" s="614"/>
      <c r="D16" s="614"/>
      <c r="H16" s="1651" t="s">
        <v>150</v>
      </c>
      <c r="I16" s="1124"/>
      <c r="J16" s="562"/>
    </row>
    <row r="17" spans="2:10">
      <c r="C17" s="614"/>
      <c r="D17" s="614"/>
      <c r="H17" s="562" t="s">
        <v>151</v>
      </c>
      <c r="I17" s="562" t="s">
        <v>152</v>
      </c>
      <c r="J17" s="562" t="s">
        <v>143</v>
      </c>
    </row>
    <row r="18" spans="2:10">
      <c r="C18" s="614"/>
      <c r="D18" s="614"/>
      <c r="H18" s="562" t="s">
        <v>153</v>
      </c>
      <c r="I18" s="562" t="s">
        <v>152</v>
      </c>
      <c r="J18" s="562" t="s">
        <v>144</v>
      </c>
    </row>
    <row r="19" spans="2:10">
      <c r="H19" s="562" t="s">
        <v>154</v>
      </c>
      <c r="I19" s="562" t="s">
        <v>152</v>
      </c>
      <c r="J19" s="562"/>
    </row>
    <row r="21" spans="2:10">
      <c r="B21" s="1651" t="s">
        <v>53</v>
      </c>
      <c r="C21" s="1124"/>
      <c r="D21" s="562"/>
    </row>
    <row r="22" spans="2:10">
      <c r="B22" s="562" t="s">
        <v>155</v>
      </c>
      <c r="C22" s="562" t="s">
        <v>156</v>
      </c>
      <c r="D22" s="562" t="s">
        <v>142</v>
      </c>
    </row>
    <row r="23" spans="2:10">
      <c r="B23" s="562" t="s">
        <v>157</v>
      </c>
      <c r="C23" s="562" t="s">
        <v>156</v>
      </c>
      <c r="D23" s="562"/>
    </row>
    <row r="24" spans="2:10">
      <c r="B24" s="562" t="s">
        <v>158</v>
      </c>
      <c r="C24" s="562" t="s">
        <v>156</v>
      </c>
      <c r="D24" s="562"/>
    </row>
    <row r="28" spans="2:10" ht="18.350000000000001" customHeight="1">
      <c r="B28" s="615" t="s">
        <v>159</v>
      </c>
    </row>
    <row r="29" spans="2:10">
      <c r="B29" s="616" t="s">
        <v>160</v>
      </c>
    </row>
    <row r="30" spans="2:10">
      <c r="B30" s="616" t="s">
        <v>161</v>
      </c>
    </row>
    <row r="31" spans="2:10">
      <c r="B31" s="616" t="s">
        <v>162</v>
      </c>
    </row>
    <row r="32" spans="2:10">
      <c r="B32" s="617" t="s">
        <v>163</v>
      </c>
    </row>
    <row r="34" spans="2:9" ht="14.3" customHeight="1">
      <c r="B34" s="1655" t="s">
        <v>164</v>
      </c>
      <c r="C34" s="971"/>
      <c r="D34" s="971"/>
      <c r="F34" s="1653" t="s">
        <v>53</v>
      </c>
      <c r="G34" s="971"/>
      <c r="H34" s="971"/>
      <c r="I34" s="971"/>
    </row>
    <row r="35" spans="2:9" ht="13.75" customHeight="1">
      <c r="B35" s="618" t="s">
        <v>165</v>
      </c>
      <c r="C35" s="618" t="s">
        <v>166</v>
      </c>
      <c r="D35" s="618" t="s">
        <v>9</v>
      </c>
      <c r="F35" s="618" t="s">
        <v>16</v>
      </c>
      <c r="G35" s="618" t="s">
        <v>167</v>
      </c>
      <c r="H35" s="618" t="s">
        <v>76</v>
      </c>
      <c r="I35" s="618" t="s">
        <v>165</v>
      </c>
    </row>
    <row r="36" spans="2:9" ht="13.75" customHeight="1">
      <c r="B36" s="619" t="s">
        <v>168</v>
      </c>
      <c r="C36" s="620" t="s">
        <v>53</v>
      </c>
      <c r="D36" s="620" t="s">
        <v>169</v>
      </c>
      <c r="F36" s="620" t="s">
        <v>155</v>
      </c>
      <c r="G36" s="620" t="s">
        <v>170</v>
      </c>
      <c r="H36" s="620" t="s">
        <v>171</v>
      </c>
      <c r="I36" s="619" t="s">
        <v>168</v>
      </c>
    </row>
    <row r="37" spans="2:9" ht="13.75" customHeight="1">
      <c r="B37" s="619" t="s">
        <v>172</v>
      </c>
      <c r="C37" s="620" t="s">
        <v>53</v>
      </c>
      <c r="D37" s="620" t="s">
        <v>173</v>
      </c>
      <c r="F37" s="620" t="s">
        <v>157</v>
      </c>
      <c r="G37" s="620" t="s">
        <v>174</v>
      </c>
      <c r="H37" s="620" t="s">
        <v>175</v>
      </c>
      <c r="I37" s="619" t="s">
        <v>172</v>
      </c>
    </row>
    <row r="38" spans="2:9" ht="13.75" customHeight="1">
      <c r="B38" s="619" t="s">
        <v>176</v>
      </c>
      <c r="C38" s="620" t="s">
        <v>36</v>
      </c>
      <c r="D38" s="620" t="s">
        <v>177</v>
      </c>
      <c r="F38" s="617" t="s">
        <v>178</v>
      </c>
    </row>
    <row r="39" spans="2:9" ht="13.75" customHeight="1">
      <c r="B39" s="619" t="s">
        <v>179</v>
      </c>
      <c r="C39" s="620" t="s">
        <v>36</v>
      </c>
      <c r="D39" s="620" t="s">
        <v>180</v>
      </c>
    </row>
    <row r="40" spans="2:9" ht="14.3" customHeight="1">
      <c r="B40" s="619" t="s">
        <v>181</v>
      </c>
      <c r="C40" s="620" t="s">
        <v>44</v>
      </c>
      <c r="D40" s="620" t="s">
        <v>182</v>
      </c>
      <c r="F40" s="1656" t="s">
        <v>183</v>
      </c>
      <c r="G40" s="971"/>
      <c r="H40" s="971"/>
      <c r="I40" s="971"/>
    </row>
    <row r="41" spans="2:9" ht="13.75" customHeight="1">
      <c r="B41" s="617" t="s">
        <v>184</v>
      </c>
      <c r="F41" s="618" t="s">
        <v>16</v>
      </c>
      <c r="G41" s="618" t="s">
        <v>167</v>
      </c>
      <c r="H41" s="618" t="s">
        <v>76</v>
      </c>
      <c r="I41" s="618" t="s">
        <v>165</v>
      </c>
    </row>
    <row r="42" spans="2:9" ht="13.75" customHeight="1">
      <c r="F42" s="620" t="s">
        <v>151</v>
      </c>
      <c r="G42" s="620" t="s">
        <v>185</v>
      </c>
      <c r="H42" s="620" t="s">
        <v>186</v>
      </c>
      <c r="I42" s="619" t="s">
        <v>176</v>
      </c>
    </row>
    <row r="43" spans="2:9" ht="13.75" customHeight="1">
      <c r="F43" s="620" t="s">
        <v>153</v>
      </c>
      <c r="G43" s="620" t="s">
        <v>187</v>
      </c>
      <c r="H43" s="620" t="s">
        <v>188</v>
      </c>
      <c r="I43" s="619" t="s">
        <v>179</v>
      </c>
    </row>
    <row r="44" spans="2:9">
      <c r="F44" s="617" t="s">
        <v>189</v>
      </c>
    </row>
    <row r="46" spans="2:9" ht="14.3" customHeight="1">
      <c r="F46" s="1654" t="s">
        <v>190</v>
      </c>
      <c r="G46" s="971"/>
      <c r="H46" s="971"/>
      <c r="I46" s="971"/>
    </row>
    <row r="47" spans="2:9" ht="13.75" customHeight="1">
      <c r="F47" s="618" t="s">
        <v>16</v>
      </c>
      <c r="G47" s="618" t="s">
        <v>42</v>
      </c>
      <c r="H47" s="618" t="s">
        <v>76</v>
      </c>
      <c r="I47" s="618" t="s">
        <v>165</v>
      </c>
    </row>
    <row r="48" spans="2:9" ht="13.75" customHeight="1">
      <c r="F48" s="620" t="s">
        <v>191</v>
      </c>
      <c r="G48" s="620" t="s">
        <v>192</v>
      </c>
      <c r="H48" s="620" t="s">
        <v>193</v>
      </c>
      <c r="I48" s="619" t="s">
        <v>181</v>
      </c>
    </row>
    <row r="49" spans="2:9">
      <c r="F49" s="617" t="s">
        <v>194</v>
      </c>
    </row>
    <row r="52" spans="2:9" ht="14.3" customHeight="1">
      <c r="B52" s="1650" t="s">
        <v>195</v>
      </c>
      <c r="C52" s="971"/>
      <c r="D52" s="971"/>
      <c r="E52" s="971"/>
      <c r="F52" s="971"/>
      <c r="G52" s="971"/>
      <c r="H52" s="971"/>
      <c r="I52" s="971"/>
    </row>
    <row r="53" spans="2:9" ht="27.2" customHeight="1">
      <c r="B53" s="618" t="s">
        <v>16</v>
      </c>
      <c r="C53" s="618" t="s">
        <v>166</v>
      </c>
      <c r="D53" s="618" t="s">
        <v>196</v>
      </c>
      <c r="E53" s="618" t="s">
        <v>167</v>
      </c>
      <c r="F53" s="618" t="s">
        <v>76</v>
      </c>
      <c r="G53" s="618" t="s">
        <v>165</v>
      </c>
      <c r="H53" s="618" t="s">
        <v>197</v>
      </c>
      <c r="I53" s="618" t="s">
        <v>198</v>
      </c>
    </row>
    <row r="54" spans="2:9" ht="13.75" customHeight="1">
      <c r="B54" s="620" t="s">
        <v>142</v>
      </c>
      <c r="C54" s="620" t="s">
        <v>115</v>
      </c>
      <c r="D54" s="620" t="s">
        <v>199</v>
      </c>
      <c r="E54" s="620" t="s">
        <v>170</v>
      </c>
      <c r="F54" s="620" t="s">
        <v>171</v>
      </c>
      <c r="G54" s="619" t="s">
        <v>168</v>
      </c>
      <c r="H54" s="621" t="str">
        <f t="shared" ref="H54:H61" si="0">IF(OR(D54="Cambio",D54="Lote - cambio"),INDEX($F$36:$F$37,MATCH(G54,$I$36:$I$37,0)),IF(D54="Compra",INDEX($F$42:$F$43,MATCH(G54,$I$42:$I$43,0)),IF(D54="Venta",INDEX($F$48:$F$48,MATCH(G54,$I$48:$I$48,0)),"(sin documento)")))</f>
        <v>cam-01</v>
      </c>
      <c r="I54" s="620" t="str">
        <f t="shared" ref="I54:I61" si="1">"Origen "&amp;D54&amp;" → busco en la tabla "&amp;IF(OR(D54="Cambio",D54="Lote - cambio"),"Cambio",IF(D54="Compra","Compra","Venta"))&amp;"; el que tiene "&amp;G54&amp;" es "&amp;H54</f>
        <v>Origen Lote - cambio → busco en la tabla Cambio; el que tiene OP-01 es cam-01</v>
      </c>
    </row>
    <row r="55" spans="2:9" ht="13.75" customHeight="1">
      <c r="B55" s="620" t="s">
        <v>143</v>
      </c>
      <c r="C55" s="620" t="s">
        <v>200</v>
      </c>
      <c r="D55" s="620" t="s">
        <v>53</v>
      </c>
      <c r="E55" s="620" t="s">
        <v>170</v>
      </c>
      <c r="F55" s="620" t="s">
        <v>171</v>
      </c>
      <c r="G55" s="619" t="s">
        <v>168</v>
      </c>
      <c r="H55" s="621" t="str">
        <f t="shared" si="0"/>
        <v>cam-01</v>
      </c>
      <c r="I55" s="620" t="str">
        <f t="shared" si="1"/>
        <v>Origen Cambio → busco en la tabla Cambio; el que tiene OP-01 es cam-01</v>
      </c>
    </row>
    <row r="56" spans="2:9" ht="13.75" customHeight="1">
      <c r="B56" s="620" t="s">
        <v>144</v>
      </c>
      <c r="C56" s="620" t="s">
        <v>115</v>
      </c>
      <c r="D56" s="620" t="s">
        <v>199</v>
      </c>
      <c r="E56" s="620" t="s">
        <v>174</v>
      </c>
      <c r="F56" s="620" t="s">
        <v>175</v>
      </c>
      <c r="G56" s="619" t="s">
        <v>172</v>
      </c>
      <c r="H56" s="621" t="str">
        <f t="shared" si="0"/>
        <v>cam-02</v>
      </c>
      <c r="I56" s="620" t="str">
        <f t="shared" si="1"/>
        <v>Origen Lote - cambio → busco en la tabla Cambio; el que tiene OP-02 es cam-02</v>
      </c>
    </row>
    <row r="57" spans="2:9" ht="13.75" customHeight="1">
      <c r="B57" s="620" t="s">
        <v>201</v>
      </c>
      <c r="C57" s="620" t="s">
        <v>200</v>
      </c>
      <c r="D57" s="620" t="s">
        <v>53</v>
      </c>
      <c r="E57" s="620" t="s">
        <v>174</v>
      </c>
      <c r="F57" s="620" t="s">
        <v>175</v>
      </c>
      <c r="G57" s="619" t="s">
        <v>172</v>
      </c>
      <c r="H57" s="621" t="str">
        <f t="shared" si="0"/>
        <v>cam-02</v>
      </c>
      <c r="I57" s="620" t="str">
        <f t="shared" si="1"/>
        <v>Origen Cambio → busco en la tabla Cambio; el que tiene OP-02 es cam-02</v>
      </c>
    </row>
    <row r="58" spans="2:9" ht="13.75" customHeight="1">
      <c r="B58" s="620" t="s">
        <v>202</v>
      </c>
      <c r="C58" s="620" t="s">
        <v>200</v>
      </c>
      <c r="D58" s="620" t="s">
        <v>36</v>
      </c>
      <c r="E58" s="620" t="s">
        <v>185</v>
      </c>
      <c r="F58" s="620" t="s">
        <v>186</v>
      </c>
      <c r="G58" s="619" t="s">
        <v>176</v>
      </c>
      <c r="H58" s="621" t="str">
        <f t="shared" si="0"/>
        <v>com-01</v>
      </c>
      <c r="I58" s="620" t="str">
        <f t="shared" si="1"/>
        <v>Origen Compra → busco en la tabla Compra; el que tiene OP-03 es com-01</v>
      </c>
    </row>
    <row r="59" spans="2:9" ht="13.75" customHeight="1">
      <c r="B59" s="620" t="s">
        <v>203</v>
      </c>
      <c r="C59" s="620" t="s">
        <v>200</v>
      </c>
      <c r="D59" s="620" t="s">
        <v>36</v>
      </c>
      <c r="E59" s="620" t="s">
        <v>187</v>
      </c>
      <c r="F59" s="620" t="s">
        <v>188</v>
      </c>
      <c r="G59" s="619" t="s">
        <v>179</v>
      </c>
      <c r="H59" s="621" t="str">
        <f t="shared" si="0"/>
        <v>com-02</v>
      </c>
      <c r="I59" s="620" t="str">
        <f t="shared" si="1"/>
        <v>Origen Compra → busco en la tabla Compra; el que tiene OP-04 es com-02</v>
      </c>
    </row>
    <row r="60" spans="2:9" ht="13.75" customHeight="1">
      <c r="B60" s="620" t="s">
        <v>204</v>
      </c>
      <c r="C60" s="620" t="s">
        <v>115</v>
      </c>
      <c r="D60" s="620" t="s">
        <v>44</v>
      </c>
      <c r="E60" s="620" t="s">
        <v>187</v>
      </c>
      <c r="F60" s="620" t="s">
        <v>205</v>
      </c>
      <c r="G60" s="619" t="s">
        <v>181</v>
      </c>
      <c r="H60" s="621" t="str">
        <f t="shared" si="0"/>
        <v>dv-01</v>
      </c>
      <c r="I60" s="620" t="str">
        <f t="shared" si="1"/>
        <v>Origen Venta → busco en la tabla Venta; el que tiene OP-05 es dv-01</v>
      </c>
    </row>
    <row r="61" spans="2:9" ht="13.75" customHeight="1">
      <c r="B61" s="620" t="s">
        <v>206</v>
      </c>
      <c r="C61" s="620" t="s">
        <v>115</v>
      </c>
      <c r="D61" s="620" t="s">
        <v>44</v>
      </c>
      <c r="E61" s="620" t="s">
        <v>185</v>
      </c>
      <c r="F61" s="620" t="s">
        <v>207</v>
      </c>
      <c r="G61" s="619" t="s">
        <v>181</v>
      </c>
      <c r="H61" s="621" t="str">
        <f t="shared" si="0"/>
        <v>dv-01</v>
      </c>
      <c r="I61" s="620" t="str">
        <f t="shared" si="1"/>
        <v>Origen Venta → busco en la tabla Venta; el que tiene OP-05 es dv-01</v>
      </c>
    </row>
    <row r="63" spans="2:9">
      <c r="B63" s="617" t="s">
        <v>208</v>
      </c>
    </row>
  </sheetData>
  <mergeCells count="10">
    <mergeCell ref="B52:I52"/>
    <mergeCell ref="H16:I16"/>
    <mergeCell ref="C15:D15"/>
    <mergeCell ref="E5:F5"/>
    <mergeCell ref="F34:I34"/>
    <mergeCell ref="F46:I46"/>
    <mergeCell ref="B34:D34"/>
    <mergeCell ref="B21:C21"/>
    <mergeCell ref="F12:G12"/>
    <mergeCell ref="F40:I4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92</vt:i4>
      </vt:variant>
    </vt:vector>
  </HeadingPairs>
  <TitlesOfParts>
    <vt:vector size="92" baseType="lpstr">
      <vt:lpstr>Modelo de dominio</vt:lpstr>
      <vt:lpstr>Objetos de dominio</vt:lpstr>
      <vt:lpstr>Reglas de negocio</vt:lpstr>
      <vt:lpstr>M-Proveedor</vt:lpstr>
      <vt:lpstr>C-Proveedor</vt:lpstr>
      <vt:lpstr>E-Proveedor</vt:lpstr>
      <vt:lpstr>P-Proveedor</vt:lpstr>
      <vt:lpstr>M-UnidadMedida</vt:lpstr>
      <vt:lpstr>C-UnidadMedida</vt:lpstr>
      <vt:lpstr>E-UnidadMedida</vt:lpstr>
      <vt:lpstr>P-UnidadMedida</vt:lpstr>
      <vt:lpstr>M-TipoProducto</vt:lpstr>
      <vt:lpstr>C-TipoProducto</vt:lpstr>
      <vt:lpstr>E-TipoProducto</vt:lpstr>
      <vt:lpstr>P-TipoProducto</vt:lpstr>
      <vt:lpstr>M-ClaseMovimiento</vt:lpstr>
      <vt:lpstr>C-ClaseMovimiento</vt:lpstr>
      <vt:lpstr>E-ClaseMovimiento</vt:lpstr>
      <vt:lpstr>P-ClaseMovimiento</vt:lpstr>
      <vt:lpstr>M-Tamaño</vt:lpstr>
      <vt:lpstr>C-Tamaño</vt:lpstr>
      <vt:lpstr>E-Tamaño</vt:lpstr>
      <vt:lpstr>P-Tamaño</vt:lpstr>
      <vt:lpstr>M-CategoriaOrigen</vt:lpstr>
      <vt:lpstr>C-CategoriaOrigen</vt:lpstr>
      <vt:lpstr>E-CategoriaOrigen</vt:lpstr>
      <vt:lpstr>P-CategoriaOrigen</vt:lpstr>
      <vt:lpstr>M-Compra</vt:lpstr>
      <vt:lpstr>C-Compra</vt:lpstr>
      <vt:lpstr>E-Compra</vt:lpstr>
      <vt:lpstr>P-Compra</vt:lpstr>
      <vt:lpstr>M-ProductoInterno</vt:lpstr>
      <vt:lpstr>C-ProductoInterno</vt:lpstr>
      <vt:lpstr>E-ProductoInterno</vt:lpstr>
      <vt:lpstr>P-ProductoInterno</vt:lpstr>
      <vt:lpstr>M-DetalleCompra</vt:lpstr>
      <vt:lpstr>C-DetalleCompra</vt:lpstr>
      <vt:lpstr>E-DetalleCompra</vt:lpstr>
      <vt:lpstr>P-DetalleCompra</vt:lpstr>
      <vt:lpstr>M-Producto</vt:lpstr>
      <vt:lpstr>C-Producto</vt:lpstr>
      <vt:lpstr>E-Producto</vt:lpstr>
      <vt:lpstr>P-Producto</vt:lpstr>
      <vt:lpstr>M-Venta</vt:lpstr>
      <vt:lpstr>C-Venta</vt:lpstr>
      <vt:lpstr>E-Venta</vt:lpstr>
      <vt:lpstr>P-Venta</vt:lpstr>
      <vt:lpstr>M-MovimientoInventario</vt:lpstr>
      <vt:lpstr>C-MovimientoInventario</vt:lpstr>
      <vt:lpstr>E-MovimientoInventario</vt:lpstr>
      <vt:lpstr>P-MovimientoInventario</vt:lpstr>
      <vt:lpstr>M-HistoricoPrecio</vt:lpstr>
      <vt:lpstr>C-HistoricoPrecio</vt:lpstr>
      <vt:lpstr>E-HistoricoPrecio</vt:lpstr>
      <vt:lpstr>P-HistoricoPrecio</vt:lpstr>
      <vt:lpstr>M-DetalleVenta</vt:lpstr>
      <vt:lpstr>C-DetalleVenta</vt:lpstr>
      <vt:lpstr>E-DetalleVenta</vt:lpstr>
      <vt:lpstr>P-DetalleVenta</vt:lpstr>
      <vt:lpstr>M-DetalleReceta</vt:lpstr>
      <vt:lpstr>C-DetalleReceta</vt:lpstr>
      <vt:lpstr>E-DetalleReceta</vt:lpstr>
      <vt:lpstr>P-DetalleReceta</vt:lpstr>
      <vt:lpstr>M-Cambio</vt:lpstr>
      <vt:lpstr>C-Cambio</vt:lpstr>
      <vt:lpstr>E-Cambio</vt:lpstr>
      <vt:lpstr>P-Cambio</vt:lpstr>
      <vt:lpstr>M-Lote</vt:lpstr>
      <vt:lpstr>C-Lote</vt:lpstr>
      <vt:lpstr>E-Lote</vt:lpstr>
      <vt:lpstr>P-Lote</vt:lpstr>
      <vt:lpstr>M-Inventario</vt:lpstr>
      <vt:lpstr>C-Inventario</vt:lpstr>
      <vt:lpstr>E-Inventario</vt:lpstr>
      <vt:lpstr>P-Inventario</vt:lpstr>
      <vt:lpstr>M-TipoMovimiento</vt:lpstr>
      <vt:lpstr>C-TipoMovimiento</vt:lpstr>
      <vt:lpstr>E-TipoMovimiento</vt:lpstr>
      <vt:lpstr>P-TipoMovimiento</vt:lpstr>
      <vt:lpstr>M-ConsumoVenta</vt:lpstr>
      <vt:lpstr>C-ConsumoVenta</vt:lpstr>
      <vt:lpstr>E-ConsumoVenta</vt:lpstr>
      <vt:lpstr>P-ConsumoVenta</vt:lpstr>
      <vt:lpstr>M-SalidaLote</vt:lpstr>
      <vt:lpstr>C-SalidaLote</vt:lpstr>
      <vt:lpstr>E-SalidaLote</vt:lpstr>
      <vt:lpstr>P-SalidaLote</vt:lpstr>
      <vt:lpstr>M-Usuario</vt:lpstr>
      <vt:lpstr>C-Usuario</vt:lpstr>
      <vt:lpstr>E-Usuario</vt:lpstr>
      <vt:lpstr>P-Usuario</vt:lpstr>
      <vt:lpstr>Boceto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Jaider Alejandro Soto Ramirez</cp:lastModifiedBy>
  <dcterms:created xsi:type="dcterms:W3CDTF">2026-09-06T13:29:14Z</dcterms:created>
  <dcterms:modified xsi:type="dcterms:W3CDTF">2026-10-29T19:27:28Z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0x0101004DF5451BD9907940B9C5FBEE10A69246</vt:lpwstr>
  </property>
</Properties>
</file>