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5" windowWidth="15195" windowHeight="8715"/>
  </bookViews>
  <sheets>
    <sheet name="Gastuak uztaila-abendua 2019" sheetId="1" r:id="rId1"/>
  </sheets>
  <definedNames>
    <definedName name="_xlnm.Print_Area" localSheetId="0">'Gastuak uztaila-abendua 2019'!$B$1:$E$176</definedName>
  </definedNames>
  <calcPr calcId="145621"/>
  <customWorkbookViews>
    <customWorkbookView name="IZFE - Vista personalizada" guid="{DA42C2D2-95CF-45F8-81A4-7A70513DE9E8}" mergeInterval="0" personalView="1" maximized="1" windowWidth="1020" windowHeight="566" activeSheetId="1"/>
  </customWorkbookViews>
</workbook>
</file>

<file path=xl/calcChain.xml><?xml version="1.0" encoding="utf-8"?>
<calcChain xmlns="http://schemas.openxmlformats.org/spreadsheetml/2006/main">
  <c r="E19" i="1" l="1"/>
  <c r="E144" i="1" l="1"/>
  <c r="E143" i="1"/>
  <c r="E142" i="1"/>
  <c r="E141" i="1"/>
  <c r="E121" i="1"/>
  <c r="E153" i="1"/>
  <c r="E152" i="1"/>
  <c r="E140" i="1"/>
  <c r="E139" i="1" l="1"/>
  <c r="E138" i="1"/>
  <c r="E137" i="1"/>
  <c r="E123" i="1" l="1"/>
  <c r="E159" i="1"/>
  <c r="E136" i="1"/>
  <c r="E135" i="1"/>
  <c r="E134" i="1"/>
  <c r="E133" i="1"/>
  <c r="E132" i="1" l="1"/>
  <c r="E131" i="1"/>
  <c r="E149" i="1"/>
  <c r="E130" i="1"/>
  <c r="E124" i="1" l="1"/>
  <c r="E129" i="1" l="1"/>
  <c r="E128" i="1"/>
  <c r="E127" i="1"/>
  <c r="E85" i="1"/>
  <c r="E145" i="1" l="1"/>
  <c r="E151" i="1"/>
  <c r="E150" i="1"/>
  <c r="E148" i="1"/>
  <c r="E171" i="1"/>
  <c r="E170" i="1"/>
  <c r="E7" i="1" l="1"/>
  <c r="E27" i="1"/>
  <c r="E55" i="1"/>
  <c r="E167" i="1"/>
  <c r="E57" i="1" l="1"/>
  <c r="E56" i="1"/>
  <c r="E164" i="1" l="1"/>
  <c r="E163" i="1"/>
  <c r="E172" i="1" s="1"/>
  <c r="E160" i="1"/>
  <c r="E156" i="1"/>
  <c r="E161" i="1" l="1"/>
  <c r="E118" i="1"/>
  <c r="E15" i="1"/>
  <c r="E119" i="1" l="1"/>
  <c r="E28" i="1" l="1"/>
  <c r="E174" i="1"/>
  <c r="E175" i="1" s="1"/>
  <c r="E147" i="1"/>
  <c r="E154" i="1" s="1"/>
  <c r="E26" i="1"/>
  <c r="E25" i="1"/>
  <c r="E24" i="1"/>
  <c r="E23" i="1"/>
  <c r="E22" i="1"/>
  <c r="E21" i="1"/>
  <c r="E20" i="1"/>
  <c r="E18" i="1"/>
  <c r="E17" i="1"/>
  <c r="E111" i="1"/>
  <c r="E110" i="1"/>
  <c r="E16" i="1" l="1"/>
  <c r="E14" i="1" l="1"/>
  <c r="E122" i="1"/>
  <c r="E109" i="1" l="1"/>
  <c r="E112" i="1" s="1"/>
  <c r="E10" i="1" l="1"/>
  <c r="E9" i="1"/>
  <c r="E8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117" i="1"/>
  <c r="E116" i="1"/>
  <c r="E11" i="1"/>
  <c r="E12" i="1" l="1"/>
  <c r="E40" i="1" l="1"/>
  <c r="E39" i="1"/>
  <c r="E38" i="1"/>
  <c r="E37" i="1"/>
  <c r="E32" i="1"/>
  <c r="E31" i="1"/>
  <c r="E30" i="1"/>
  <c r="E29" i="1"/>
  <c r="E36" i="1"/>
  <c r="E35" i="1"/>
  <c r="E34" i="1"/>
  <c r="E33" i="1"/>
  <c r="E107" i="1" l="1"/>
  <c r="E115" i="1"/>
  <c r="E125" i="1" s="1"/>
  <c r="E176" i="1" s="1"/>
</calcChain>
</file>

<file path=xl/sharedStrings.xml><?xml version="1.0" encoding="utf-8"?>
<sst xmlns="http://schemas.openxmlformats.org/spreadsheetml/2006/main" count="378" uniqueCount="156">
  <si>
    <t>GUZTIRA</t>
  </si>
  <si>
    <t>PUBLIZITATE KANPAINETAN EGINDAKO GASTUA
(Hedabideetan gastatutakoa)</t>
  </si>
  <si>
    <t>Irratia - Soinu deia
Radio - Anuncio</t>
  </si>
  <si>
    <t>Prentsa - Iragarkiak
Prensa - Anuncios</t>
  </si>
  <si>
    <t>NOTICIAS DE GIPUZKOA</t>
  </si>
  <si>
    <t>EL DIARIO VASCO</t>
  </si>
  <si>
    <t>KANPAINETATIK HARATAGO DOAZENAK
(Hedabideetan gastatutakoa)</t>
  </si>
  <si>
    <t>Aldizkari espezializatua
Publicación especializada</t>
  </si>
  <si>
    <t>ONDA VASCA GIPUZKOA</t>
  </si>
  <si>
    <t>Telebista - Iragarkiak
Televisión  - Anuncios</t>
  </si>
  <si>
    <t>Tokiko telebista - Iragarkiak
Televisión local  - Anuncios</t>
  </si>
  <si>
    <t>INSERCIONES PUBLICITARIAS</t>
  </si>
  <si>
    <t>HERRIZ HERRI</t>
  </si>
  <si>
    <t>ETORKIZUNA ERAIKIZ</t>
  </si>
  <si>
    <t>Hedabidea
Medio de comunicación</t>
  </si>
  <si>
    <t>Edukiak
Contenidos</t>
  </si>
  <si>
    <t>COPE San Sebastián</t>
  </si>
  <si>
    <t>Donostitik.com</t>
  </si>
  <si>
    <t>Orain.eus</t>
  </si>
  <si>
    <t>Erlo Telebista</t>
  </si>
  <si>
    <t>Goiena Telebista</t>
  </si>
  <si>
    <t>28 Kanala Tolosa</t>
  </si>
  <si>
    <t>Goierri Telebista</t>
  </si>
  <si>
    <t>El Diario Vasco</t>
  </si>
  <si>
    <t>Noticiasdegipuzkoa.com</t>
  </si>
  <si>
    <t>Noticias de Gipuzkoa</t>
  </si>
  <si>
    <t>Teledonosti</t>
  </si>
  <si>
    <t>Hamaika Telebista</t>
  </si>
  <si>
    <t>EITB.eus</t>
  </si>
  <si>
    <t>7K</t>
  </si>
  <si>
    <t>Aldizkaria
Publicación</t>
  </si>
  <si>
    <t>Diariovasco.com</t>
  </si>
  <si>
    <t>Onda Vasca Gipuzkoa</t>
  </si>
  <si>
    <t>Tokiko prentsa
Prensa local</t>
  </si>
  <si>
    <t>Berria</t>
  </si>
  <si>
    <t>Gara</t>
  </si>
  <si>
    <t>Radio MARCA Donostia</t>
  </si>
  <si>
    <t>CADENA 100 San Sebastián</t>
  </si>
  <si>
    <t>Arrate Irratia</t>
  </si>
  <si>
    <t>Radio Segura</t>
  </si>
  <si>
    <t>Europa FM Donostia</t>
  </si>
  <si>
    <t>GOAZEN</t>
  </si>
  <si>
    <t>Radio Euskadi</t>
  </si>
  <si>
    <t>Euskadi Irratia</t>
  </si>
  <si>
    <t>SER Gipuzkoa conjunta</t>
  </si>
  <si>
    <t>40 Principales San Sebastián</t>
  </si>
  <si>
    <t>40 Principales Eibar</t>
  </si>
  <si>
    <t>LURRALDEBUS</t>
  </si>
  <si>
    <r>
      <t>DIPUTATU NAGUSIA</t>
    </r>
    <r>
      <rPr>
        <sz val="11"/>
        <color theme="1"/>
        <rFont val="Calibri"/>
        <family val="2"/>
      </rPr>
      <t xml:space="preserve"> / DIPUTADO GENERAL</t>
    </r>
  </si>
  <si>
    <t>Digitala
Digital</t>
  </si>
  <si>
    <t>BERTSOLARI aldizkaria</t>
  </si>
  <si>
    <t>Facebook, red social</t>
  </si>
  <si>
    <t>Instagram</t>
  </si>
  <si>
    <t>Babesletza
Patrocinio</t>
  </si>
  <si>
    <t>GIPUZKOA KIROLAK</t>
  </si>
  <si>
    <t>KIROLETAKO IRAGARKIAK</t>
  </si>
  <si>
    <t>Argia</t>
  </si>
  <si>
    <r>
      <t xml:space="preserve">MUGIKORTASUNA ETA LURRALDE ANTOLAKETA / </t>
    </r>
    <r>
      <rPr>
        <sz val="11"/>
        <color theme="1"/>
        <rFont val="Calibri"/>
        <family val="2"/>
      </rPr>
      <t>MOVILIDAD Y ORDENACIÓN DEL TERRITORIO</t>
    </r>
  </si>
  <si>
    <r>
      <t xml:space="preserve">INGURUMENA ETA OBRA HIDRAULIKOAK </t>
    </r>
    <r>
      <rPr>
        <sz val="11"/>
        <color theme="1"/>
        <rFont val="Calibri"/>
        <family val="2"/>
      </rPr>
      <t>/ MEDIO AMBIENTE Y OBRAS HIDRÁULICAS</t>
    </r>
  </si>
  <si>
    <t>THE KARMA aldizkaria</t>
  </si>
  <si>
    <r>
      <t xml:space="preserve">Urtea: 2019, uztailaren 1etik abenduaren 31ra
</t>
    </r>
    <r>
      <rPr>
        <sz val="11"/>
        <color theme="1"/>
        <rFont val="Arial"/>
        <family val="2"/>
      </rPr>
      <t>Año: 2019, desde el 1 de julio a 31 de diciembre</t>
    </r>
  </si>
  <si>
    <r>
      <t xml:space="preserve">Publizitate Kanpaina
</t>
    </r>
    <r>
      <rPr>
        <sz val="9"/>
        <color theme="1"/>
        <rFont val="Arial"/>
        <family val="2"/>
      </rPr>
      <t>Campaña de publicidad</t>
    </r>
  </si>
  <si>
    <r>
      <t xml:space="preserve">Euskarria
</t>
    </r>
    <r>
      <rPr>
        <sz val="9"/>
        <color theme="1"/>
        <rFont val="Arial"/>
        <family val="2"/>
      </rPr>
      <t>Soporte</t>
    </r>
  </si>
  <si>
    <r>
      <t>Gastua</t>
    </r>
    <r>
      <rPr>
        <sz val="9"/>
        <color theme="1"/>
        <rFont val="Arial"/>
        <family val="2"/>
      </rPr>
      <t xml:space="preserve">
Gasto</t>
    </r>
  </si>
  <si>
    <t>Euskadi Gaztea</t>
  </si>
  <si>
    <t>2020KO EGUTEGIA. ARGAZKI LEHIAKETA</t>
  </si>
  <si>
    <t>KILOMETROAK 2019</t>
  </si>
  <si>
    <t>EMPRESA XXI</t>
  </si>
  <si>
    <t>ARRATE IRRATIA</t>
  </si>
  <si>
    <t>PREMIOS A LA EXCELENCIA</t>
  </si>
  <si>
    <t>Youtube</t>
  </si>
  <si>
    <t>Cadena 100 San Sebastián</t>
  </si>
  <si>
    <t>ELEKTROMUGIKORTASUNA</t>
  </si>
  <si>
    <t>DURANGOKO AZOKA</t>
  </si>
  <si>
    <t>Gaztezulo aldizkaria</t>
  </si>
  <si>
    <t>EMPRESA GUIPUZCOANA. GIPUZKOAN EGINAK</t>
  </si>
  <si>
    <r>
      <t xml:space="preserve">GIZARTE POLITIKAK </t>
    </r>
    <r>
      <rPr>
        <sz val="11"/>
        <color theme="1"/>
        <rFont val="Calibri"/>
        <family val="2"/>
      </rPr>
      <t>/ POLÍTICAS SOCIALES</t>
    </r>
  </si>
  <si>
    <t>ADINBERRI</t>
  </si>
  <si>
    <t>Naturaren Ahotsa aldizkaria</t>
  </si>
  <si>
    <t>PREMIOS DIARIOVASCO.COM 2019</t>
  </si>
  <si>
    <t>EGUTEGIAREN EGUNEKO ORRIA</t>
  </si>
  <si>
    <r>
      <t xml:space="preserve">EKONOMIA SUSTAPENA, TURISMOA ETA LANDA INGURUNEA / </t>
    </r>
    <r>
      <rPr>
        <sz val="11"/>
        <color theme="1"/>
        <rFont val="Calibri"/>
        <family val="2"/>
      </rPr>
      <t>PROMOCIÓN ECONÓMICA, TURISMO Y MEDIO RURAL</t>
    </r>
  </si>
  <si>
    <r>
      <t xml:space="preserve">KULTURA, LANKIDETZA, GAZTERIA ETA KIROLAK </t>
    </r>
    <r>
      <rPr>
        <sz val="11"/>
        <color theme="1"/>
        <rFont val="Calibri"/>
        <family val="2"/>
      </rPr>
      <t>/ CULTURA, COOPERACIÓN, JUVENTUD Y DEPORTES</t>
    </r>
  </si>
  <si>
    <t>Euskal Telebista instituciones</t>
  </si>
  <si>
    <t>NATURKLIMA</t>
  </si>
  <si>
    <t>VIA CICLISTA-PEATONAL AZPEITIA</t>
  </si>
  <si>
    <t>VIA CICLISTA-PEATONAL EIBAR</t>
  </si>
  <si>
    <t>ANUNCIO OFICIAL</t>
  </si>
  <si>
    <t>GUZTIAK MUGITUZ</t>
  </si>
  <si>
    <t>GIPUZKOA, ETORKIZUNA ORAIN</t>
  </si>
  <si>
    <t>Onda Vasca GIPUZKOA</t>
  </si>
  <si>
    <t>INSERCIONES PUBLICITARIAS. TURISMO</t>
  </si>
  <si>
    <t>GURE LURRA</t>
  </si>
  <si>
    <t>ON</t>
  </si>
  <si>
    <t>GIPUZKOA DE MODA</t>
  </si>
  <si>
    <t>PREVENCIÓN DE RESIDUOS</t>
  </si>
  <si>
    <t>JORNADA INTERNACIONAL DEL CAMBIO CLIMÁTICO</t>
  </si>
  <si>
    <t>SUPLEMENTO MEDIO AMBIENTE</t>
  </si>
  <si>
    <t>eldiarionorte.es</t>
  </si>
  <si>
    <t>SUPLEMENTO CAMBIO CLIMÁTICO</t>
  </si>
  <si>
    <t>DBUS Autobuses Donostia</t>
  </si>
  <si>
    <t>Interior Bus San Sebastián</t>
  </si>
  <si>
    <t>OPPIS Euskotren Gipuzkoa</t>
  </si>
  <si>
    <t>OPPIS circuito Donostia-San Sebastián</t>
  </si>
  <si>
    <t>Marca.com</t>
  </si>
  <si>
    <t>Berria.eus</t>
  </si>
  <si>
    <t>Google</t>
  </si>
  <si>
    <t>Elmundo.es</t>
  </si>
  <si>
    <t>elpais.com</t>
  </si>
  <si>
    <t>TOKIKOM digital</t>
  </si>
  <si>
    <t>Twitter, red social</t>
  </si>
  <si>
    <t>Hitza Gipuzkoa</t>
  </si>
  <si>
    <t>Irutxuloko hitza</t>
  </si>
  <si>
    <t>… Eta Kitto - Eibar</t>
  </si>
  <si>
    <t>Red TOKIKOM</t>
  </si>
  <si>
    <t>ONDA CERO Donostia</t>
  </si>
  <si>
    <t>ONDA VASCA Gipuzkoa</t>
  </si>
  <si>
    <t>40 PRINCIPALES San Sebastián</t>
  </si>
  <si>
    <t>40 PRINCIPALES Eibar</t>
  </si>
  <si>
    <t>Gaztezulo</t>
  </si>
  <si>
    <t>El Karma</t>
  </si>
  <si>
    <t>Euskal Telebista Instituciones</t>
  </si>
  <si>
    <t>Urola Telebista</t>
  </si>
  <si>
    <t>Markesinak
Marquesinas</t>
  </si>
  <si>
    <t>OPPIS circuito Irun</t>
  </si>
  <si>
    <t>Tokiko hedabideak
Medios locales</t>
  </si>
  <si>
    <t>GAITUZSPORT SARIAK 2019</t>
  </si>
  <si>
    <t>GaituzSport Fundazioa</t>
  </si>
  <si>
    <t>HAKATON TOLOSA</t>
  </si>
  <si>
    <t>Navarprensa, SL</t>
  </si>
  <si>
    <t>INSERCIONES PUBLICITARIAS. SAN FERMIN</t>
  </si>
  <si>
    <t>ON Revistas y Suplementos, SL</t>
  </si>
  <si>
    <t>Zinea Sortzen, SL</t>
  </si>
  <si>
    <t>I ENCUENTRO DEPORTE Y MUJER</t>
  </si>
  <si>
    <t>Cadena SER</t>
  </si>
  <si>
    <t>Radio MARCA</t>
  </si>
  <si>
    <t>Revista REAL SOCIEDAD</t>
  </si>
  <si>
    <t>DV KIROLAK</t>
  </si>
  <si>
    <t>Zure Leku, SL</t>
  </si>
  <si>
    <t>Revista FESTIVAL DE CINE DE SAN SEBASTIÁN</t>
  </si>
  <si>
    <t xml:space="preserve">INSERCIONES PUBLICITARIAS </t>
  </si>
  <si>
    <t>MÁS DERECHOS ES MENOS MIEDO</t>
  </si>
  <si>
    <t>PREMIOS ONDA CERO 2018-2019</t>
  </si>
  <si>
    <t>EXPO GUERRA CIVIL</t>
  </si>
  <si>
    <t>FIGHTING BASQUES</t>
  </si>
  <si>
    <t>El Diario Norte, SL</t>
  </si>
  <si>
    <t>Banner-a
Banner</t>
  </si>
  <si>
    <t>GABIRIAKO ERREZIL SAGAR LEHIAKETA</t>
  </si>
  <si>
    <t>Segura Irratia</t>
  </si>
  <si>
    <t>Guía de la Innovación</t>
  </si>
  <si>
    <t>Euskal Telebista</t>
  </si>
  <si>
    <t>EXPOSICIÓN "ELKANO. LA PRIMERA VUELTA AL MUNDO"</t>
  </si>
  <si>
    <t>PIDE UN DESEO- ESKATU DESIO BAT</t>
  </si>
  <si>
    <t>PUBLIZITATE TXERTAKETAK / INSERCIONES PUBLICITARIAS. DONOSTIAKO ASTE NAGUSIA</t>
  </si>
  <si>
    <t>Jaien egitaraua
Programa de fiestas</t>
  </si>
  <si>
    <r>
      <t xml:space="preserve">KANPAINA INSTITUZIONALAK / </t>
    </r>
    <r>
      <rPr>
        <i/>
        <sz val="11"/>
        <color theme="1"/>
        <rFont val="Calibri"/>
        <family val="2"/>
      </rPr>
      <t>CAMPAÑAS INSTITUCIONALES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</si>
</sst>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color rgb="FFFF0000"/>
      <name val="Calibri"/>
      <family val="2"/>
    </font>
    <font>
      <sz val="8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8">
    <xf numFmtId="0" fontId="0" fillId="0" borderId="0" xfId="0"/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4" fontId="4" fillId="0" borderId="0" xfId="0" applyNumberFormat="1" applyFont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4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22" xfId="0" applyFont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4" fontId="12" fillId="2" borderId="5" xfId="0" applyNumberFormat="1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8" fillId="5" borderId="11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4" fontId="9" fillId="5" borderId="12" xfId="0" applyNumberFormat="1" applyFont="1" applyFill="1" applyBorder="1" applyAlignment="1">
      <alignment horizontal="right" vertical="center"/>
    </xf>
    <xf numFmtId="0" fontId="9" fillId="5" borderId="0" xfId="0" applyFont="1" applyFill="1" applyAlignment="1">
      <alignment vertical="center" wrapText="1"/>
    </xf>
    <xf numFmtId="0" fontId="9" fillId="5" borderId="14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14" fillId="5" borderId="0" xfId="0" applyFont="1" applyFill="1" applyBorder="1" applyAlignment="1">
      <alignment vertical="center" wrapText="1"/>
    </xf>
    <xf numFmtId="0" fontId="14" fillId="5" borderId="0" xfId="0" applyFont="1" applyFill="1" applyAlignment="1">
      <alignment vertical="center" wrapText="1"/>
    </xf>
    <xf numFmtId="0" fontId="9" fillId="5" borderId="18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horizontal="left" vertical="center" wrapText="1"/>
    </xf>
    <xf numFmtId="0" fontId="9" fillId="5" borderId="0" xfId="0" applyFont="1" applyFill="1" applyBorder="1" applyAlignment="1">
      <alignment vertical="center" wrapText="1"/>
    </xf>
    <xf numFmtId="0" fontId="9" fillId="5" borderId="27" xfId="0" applyFont="1" applyFill="1" applyBorder="1" applyAlignment="1">
      <alignment horizontal="left" vertical="center" wrapText="1"/>
    </xf>
    <xf numFmtId="4" fontId="9" fillId="5" borderId="24" xfId="0" applyNumberFormat="1" applyFont="1" applyFill="1" applyBorder="1" applyAlignment="1">
      <alignment horizontal="right" vertical="center"/>
    </xf>
    <xf numFmtId="0" fontId="9" fillId="5" borderId="28" xfId="0" applyFont="1" applyFill="1" applyBorder="1" applyAlignment="1">
      <alignment vertical="center" wrapText="1"/>
    </xf>
    <xf numFmtId="0" fontId="9" fillId="5" borderId="16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9" fillId="5" borderId="16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left" vertical="center"/>
    </xf>
    <xf numFmtId="4" fontId="9" fillId="5" borderId="8" xfId="0" applyNumberFormat="1" applyFont="1" applyFill="1" applyBorder="1" applyAlignment="1">
      <alignment horizontal="right" vertical="center"/>
    </xf>
    <xf numFmtId="0" fontId="8" fillId="5" borderId="8" xfId="0" applyFont="1" applyFill="1" applyBorder="1" applyAlignment="1">
      <alignment horizontal="left" vertical="center" wrapText="1"/>
    </xf>
    <xf numFmtId="0" fontId="9" fillId="5" borderId="14" xfId="0" applyFont="1" applyFill="1" applyBorder="1" applyAlignment="1">
      <alignment horizontal="left" vertical="center"/>
    </xf>
    <xf numFmtId="0" fontId="9" fillId="5" borderId="15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 wrapText="1"/>
    </xf>
    <xf numFmtId="4" fontId="9" fillId="5" borderId="14" xfId="0" applyNumberFormat="1" applyFont="1" applyFill="1" applyBorder="1" applyAlignment="1">
      <alignment horizontal="right" vertical="center"/>
    </xf>
    <xf numFmtId="0" fontId="8" fillId="5" borderId="13" xfId="0" applyFont="1" applyFill="1" applyBorder="1" applyAlignment="1">
      <alignment horizontal="left" vertical="center" wrapText="1"/>
    </xf>
    <xf numFmtId="0" fontId="8" fillId="5" borderId="21" xfId="0" applyFont="1" applyFill="1" applyBorder="1" applyAlignment="1">
      <alignment horizontal="left" vertical="center" wrapText="1"/>
    </xf>
    <xf numFmtId="4" fontId="9" fillId="5" borderId="12" xfId="0" applyNumberFormat="1" applyFont="1" applyFill="1" applyBorder="1" applyAlignment="1">
      <alignment horizontal="righ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9" fillId="5" borderId="31" xfId="0" applyFont="1" applyFill="1" applyBorder="1" applyAlignment="1">
      <alignment vertical="center" wrapText="1"/>
    </xf>
    <xf numFmtId="0" fontId="9" fillId="5" borderId="30" xfId="0" applyFont="1" applyFill="1" applyBorder="1" applyAlignment="1">
      <alignment vertical="center" wrapText="1"/>
    </xf>
    <xf numFmtId="0" fontId="9" fillId="5" borderId="32" xfId="0" applyFont="1" applyFill="1" applyBorder="1" applyAlignment="1">
      <alignment horizontal="left" vertical="center" wrapText="1"/>
    </xf>
    <xf numFmtId="0" fontId="9" fillId="5" borderId="16" xfId="0" applyFont="1" applyFill="1" applyBorder="1" applyAlignment="1">
      <alignment vertical="center" wrapText="1"/>
    </xf>
    <xf numFmtId="0" fontId="9" fillId="5" borderId="3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vertical="center" wrapText="1"/>
    </xf>
    <xf numFmtId="4" fontId="9" fillId="5" borderId="7" xfId="0" applyNumberFormat="1" applyFont="1" applyFill="1" applyBorder="1" applyAlignment="1">
      <alignment horizontal="right" vertical="center"/>
    </xf>
    <xf numFmtId="0" fontId="10" fillId="5" borderId="8" xfId="0" applyFont="1" applyFill="1" applyBorder="1" applyAlignment="1">
      <alignment vertical="center" wrapText="1"/>
    </xf>
    <xf numFmtId="0" fontId="9" fillId="5" borderId="33" xfId="0" applyFont="1" applyFill="1" applyBorder="1" applyAlignment="1">
      <alignment vertical="center" wrapText="1"/>
    </xf>
    <xf numFmtId="0" fontId="9" fillId="5" borderId="34" xfId="0" applyFont="1" applyFill="1" applyBorder="1" applyAlignment="1">
      <alignment horizontal="left"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14" fillId="5" borderId="29" xfId="0" applyFont="1" applyFill="1" applyBorder="1" applyAlignment="1">
      <alignment vertical="center" wrapText="1"/>
    </xf>
    <xf numFmtId="0" fontId="9" fillId="5" borderId="29" xfId="0" applyFont="1" applyFill="1" applyBorder="1" applyAlignment="1">
      <alignment vertical="center" wrapText="1"/>
    </xf>
    <xf numFmtId="0" fontId="9" fillId="5" borderId="29" xfId="0" applyFont="1" applyFill="1" applyBorder="1" applyAlignment="1">
      <alignment horizontal="left" vertical="center"/>
    </xf>
    <xf numFmtId="0" fontId="9" fillId="5" borderId="35" xfId="0" applyFont="1" applyFill="1" applyBorder="1" applyAlignment="1">
      <alignment vertical="center" wrapText="1"/>
    </xf>
    <xf numFmtId="0" fontId="9" fillId="5" borderId="36" xfId="0" applyFont="1" applyFill="1" applyBorder="1" applyAlignment="1">
      <alignment vertical="center" wrapText="1"/>
    </xf>
    <xf numFmtId="4" fontId="14" fillId="5" borderId="37" xfId="0" applyNumberFormat="1" applyFont="1" applyFill="1" applyBorder="1" applyAlignment="1">
      <alignment horizontal="right" vertical="center"/>
    </xf>
    <xf numFmtId="4" fontId="9" fillId="5" borderId="37" xfId="0" applyNumberFormat="1" applyFont="1" applyFill="1" applyBorder="1" applyAlignment="1">
      <alignment horizontal="right" vertical="center"/>
    </xf>
    <xf numFmtId="4" fontId="9" fillId="5" borderId="38" xfId="0" applyNumberFormat="1" applyFont="1" applyFill="1" applyBorder="1" applyAlignment="1">
      <alignment horizontal="right" vertical="center"/>
    </xf>
    <xf numFmtId="0" fontId="9" fillId="5" borderId="39" xfId="0" applyFont="1" applyFill="1" applyBorder="1" applyAlignment="1">
      <alignment vertical="center" wrapText="1"/>
    </xf>
    <xf numFmtId="0" fontId="9" fillId="5" borderId="37" xfId="0" applyFont="1" applyFill="1" applyBorder="1" applyAlignment="1">
      <alignment vertical="center" wrapText="1"/>
    </xf>
    <xf numFmtId="0" fontId="9" fillId="5" borderId="38" xfId="0" applyFont="1" applyFill="1" applyBorder="1" applyAlignment="1">
      <alignment vertical="center" wrapText="1"/>
    </xf>
    <xf numFmtId="4" fontId="9" fillId="5" borderId="39" xfId="0" applyNumberFormat="1" applyFont="1" applyFill="1" applyBorder="1" applyAlignment="1">
      <alignment horizontal="right" vertical="center"/>
    </xf>
    <xf numFmtId="0" fontId="14" fillId="5" borderId="16" xfId="0" applyFont="1" applyFill="1" applyBorder="1" applyAlignment="1">
      <alignment horizontal="left" vertical="center" wrapText="1"/>
    </xf>
    <xf numFmtId="0" fontId="9" fillId="5" borderId="30" xfId="0" applyFont="1" applyFill="1" applyBorder="1" applyAlignment="1">
      <alignment horizontal="left" vertical="center" wrapText="1"/>
    </xf>
    <xf numFmtId="0" fontId="9" fillId="5" borderId="32" xfId="0" applyFont="1" applyFill="1" applyBorder="1" applyAlignment="1">
      <alignment vertical="center" wrapText="1"/>
    </xf>
    <xf numFmtId="0" fontId="15" fillId="5" borderId="16" xfId="0" applyFont="1" applyFill="1" applyBorder="1" applyAlignment="1">
      <alignment horizontal="left" vertical="center" wrapText="1"/>
    </xf>
    <xf numFmtId="0" fontId="9" fillId="5" borderId="29" xfId="0" applyFont="1" applyFill="1" applyBorder="1" applyAlignment="1">
      <alignment horizontal="left" vertical="center" wrapText="1"/>
    </xf>
    <xf numFmtId="0" fontId="9" fillId="5" borderId="35" xfId="0" applyFont="1" applyFill="1" applyBorder="1" applyAlignment="1">
      <alignment horizontal="left" vertical="center"/>
    </xf>
    <xf numFmtId="0" fontId="9" fillId="5" borderId="17" xfId="0" applyFont="1" applyFill="1" applyBorder="1" applyAlignment="1">
      <alignment horizontal="left" vertical="center"/>
    </xf>
    <xf numFmtId="0" fontId="10" fillId="5" borderId="1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4" fontId="8" fillId="3" borderId="8" xfId="0" applyNumberFormat="1" applyFont="1" applyFill="1" applyBorder="1" applyAlignment="1">
      <alignment horizontal="right" vertical="center"/>
    </xf>
    <xf numFmtId="4" fontId="8" fillId="6" borderId="8" xfId="0" applyNumberFormat="1" applyFont="1" applyFill="1" applyBorder="1" applyAlignment="1">
      <alignment horizontal="right" vertical="center"/>
    </xf>
    <xf numFmtId="0" fontId="8" fillId="5" borderId="13" xfId="0" applyFont="1" applyFill="1" applyBorder="1" applyAlignment="1">
      <alignment horizontal="left" vertical="center" wrapText="1"/>
    </xf>
    <xf numFmtId="0" fontId="8" fillId="5" borderId="8" xfId="0" applyFont="1" applyFill="1" applyBorder="1" applyAlignment="1">
      <alignment horizontal="left" vertical="center" wrapText="1"/>
    </xf>
    <xf numFmtId="0" fontId="9" fillId="5" borderId="1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right" vertical="center"/>
    </xf>
    <xf numFmtId="0" fontId="16" fillId="6" borderId="6" xfId="0" applyFont="1" applyFill="1" applyBorder="1" applyAlignment="1">
      <alignment horizontal="right" vertical="center"/>
    </xf>
    <xf numFmtId="0" fontId="16" fillId="6" borderId="12" xfId="0" applyFont="1" applyFill="1" applyBorder="1" applyAlignment="1">
      <alignment horizontal="right" vertical="center"/>
    </xf>
    <xf numFmtId="0" fontId="8" fillId="4" borderId="11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left" vertical="center" wrapText="1"/>
    </xf>
    <xf numFmtId="0" fontId="8" fillId="4" borderId="12" xfId="0" applyFont="1" applyFill="1" applyBorder="1" applyAlignment="1">
      <alignment horizontal="left" vertical="center" wrapText="1"/>
    </xf>
    <xf numFmtId="0" fontId="8" fillId="4" borderId="19" xfId="0" applyFont="1" applyFill="1" applyBorder="1" applyAlignment="1">
      <alignment horizontal="left" vertical="center" wrapText="1"/>
    </xf>
    <xf numFmtId="0" fontId="8" fillId="4" borderId="20" xfId="0" applyFont="1" applyFill="1" applyBorder="1" applyAlignment="1">
      <alignment horizontal="left" vertical="center" wrapText="1"/>
    </xf>
    <xf numFmtId="0" fontId="16" fillId="3" borderId="11" xfId="0" applyFont="1" applyFill="1" applyBorder="1" applyAlignment="1">
      <alignment horizontal="right" vertical="center"/>
    </xf>
    <xf numFmtId="0" fontId="16" fillId="3" borderId="6" xfId="0" applyFont="1" applyFill="1" applyBorder="1" applyAlignment="1">
      <alignment horizontal="right" vertical="center"/>
    </xf>
    <xf numFmtId="0" fontId="16" fillId="3" borderId="12" xfId="0" applyFont="1" applyFill="1" applyBorder="1" applyAlignment="1">
      <alignment horizontal="right" vertical="center"/>
    </xf>
    <xf numFmtId="0" fontId="8" fillId="2" borderId="1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left" vertical="center" wrapText="1"/>
    </xf>
    <xf numFmtId="0" fontId="8" fillId="5" borderId="13" xfId="0" applyFont="1" applyFill="1" applyBorder="1" applyAlignment="1">
      <alignment horizontal="left" vertical="center" wrapText="1"/>
    </xf>
    <xf numFmtId="0" fontId="8" fillId="5" borderId="23" xfId="0" applyFont="1" applyFill="1" applyBorder="1" applyAlignment="1">
      <alignment horizontal="left" vertical="center" wrapText="1"/>
    </xf>
    <xf numFmtId="0" fontId="8" fillId="5" borderId="21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8" fillId="5" borderId="25" xfId="0" applyFont="1" applyFill="1" applyBorder="1" applyAlignment="1">
      <alignment horizontal="left" vertical="center" wrapText="1"/>
    </xf>
    <xf numFmtId="0" fontId="8" fillId="5" borderId="26" xfId="0" applyFont="1" applyFill="1" applyBorder="1" applyAlignment="1">
      <alignment horizontal="left" vertical="center" wrapText="1"/>
    </xf>
    <xf numFmtId="0" fontId="8" fillId="5" borderId="14" xfId="0" applyFont="1" applyFill="1" applyBorder="1" applyAlignment="1">
      <alignment horizontal="left" vertical="center" wrapText="1"/>
    </xf>
    <xf numFmtId="0" fontId="8" fillId="5" borderId="7" xfId="0" applyFont="1" applyFill="1" applyBorder="1" applyAlignment="1">
      <alignment horizontal="left" vertical="center" wrapText="1"/>
    </xf>
    <xf numFmtId="0" fontId="8" fillId="5" borderId="32" xfId="0" applyFont="1" applyFill="1" applyBorder="1" applyAlignment="1">
      <alignment horizontal="left" vertical="center" wrapText="1"/>
    </xf>
    <xf numFmtId="0" fontId="8" fillId="5" borderId="16" xfId="0" applyFont="1" applyFill="1" applyBorder="1" applyAlignment="1">
      <alignment horizontal="left" vertical="center" wrapText="1"/>
    </xf>
    <xf numFmtId="0" fontId="8" fillId="5" borderId="8" xfId="0" applyFont="1" applyFill="1" applyBorder="1" applyAlignment="1">
      <alignment horizontal="left" vertical="center" wrapText="1"/>
    </xf>
    <xf numFmtId="0" fontId="10" fillId="5" borderId="13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15" xfId="0" applyFont="1" applyFill="1" applyBorder="1" applyAlignment="1">
      <alignment horizontal="left" vertical="center" wrapText="1"/>
    </xf>
    <xf numFmtId="0" fontId="10" fillId="5" borderId="7" xfId="0" applyFont="1" applyFill="1" applyBorder="1" applyAlignment="1">
      <alignment horizontal="left" vertical="center" wrapText="1"/>
    </xf>
    <xf numFmtId="0" fontId="10" fillId="5" borderId="14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47625</xdr:rowOff>
    </xdr:from>
    <xdr:to>
      <xdr:col>1</xdr:col>
      <xdr:colOff>3428134</xdr:colOff>
      <xdr:row>0</xdr:row>
      <xdr:rowOff>704850</xdr:rowOff>
    </xdr:to>
    <xdr:pic>
      <xdr:nvPicPr>
        <xdr:cNvPr id="102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47625"/>
          <a:ext cx="32861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H208"/>
  <sheetViews>
    <sheetView tabSelected="1" showRuler="0" zoomScaleNormal="100" zoomScaleSheetLayoutView="25" workbookViewId="0">
      <selection activeCell="B7" sqref="B7:B28"/>
    </sheetView>
  </sheetViews>
  <sheetFormatPr baseColWidth="10" defaultColWidth="11.42578125" defaultRowHeight="11.25" x14ac:dyDescent="0.2"/>
  <cols>
    <col min="1" max="1" width="5.7109375" style="4" customWidth="1"/>
    <col min="2" max="2" width="116.7109375" style="4" customWidth="1"/>
    <col min="3" max="3" width="66.7109375" style="4" bestFit="1" customWidth="1"/>
    <col min="4" max="4" width="31.85546875" style="5" bestFit="1" customWidth="1"/>
    <col min="5" max="5" width="15.28515625" style="6" bestFit="1" customWidth="1"/>
    <col min="6" max="6" width="11.42578125" style="3" bestFit="1" customWidth="1"/>
    <col min="7" max="138" width="11.42578125" style="3"/>
    <col min="139" max="16384" width="11.42578125" style="4"/>
  </cols>
  <sheetData>
    <row r="1" spans="2:138" ht="59.25" customHeight="1" x14ac:dyDescent="0.2"/>
    <row r="2" spans="2:138" ht="29.25" customHeight="1" x14ac:dyDescent="0.2">
      <c r="B2" s="103" t="s">
        <v>60</v>
      </c>
      <c r="C2" s="103"/>
      <c r="D2" s="103"/>
      <c r="E2" s="103"/>
    </row>
    <row r="3" spans="2:138" ht="12" thickBot="1" x14ac:dyDescent="0.25">
      <c r="B3" s="12"/>
      <c r="C3" s="7"/>
      <c r="D3" s="8"/>
      <c r="E3" s="9"/>
    </row>
    <row r="4" spans="2:138" ht="27.75" customHeight="1" thickBot="1" x14ac:dyDescent="0.25">
      <c r="B4" s="104" t="s">
        <v>1</v>
      </c>
      <c r="C4" s="105"/>
      <c r="D4" s="105"/>
      <c r="E4" s="106"/>
      <c r="F4" s="10"/>
    </row>
    <row r="5" spans="2:138" ht="24.75" thickBot="1" x14ac:dyDescent="0.25">
      <c r="B5" s="13" t="s">
        <v>61</v>
      </c>
      <c r="C5" s="14" t="s">
        <v>14</v>
      </c>
      <c r="D5" s="15" t="s">
        <v>62</v>
      </c>
      <c r="E5" s="16" t="s">
        <v>63</v>
      </c>
      <c r="F5" s="10"/>
    </row>
    <row r="6" spans="2:138" s="22" customFormat="1" ht="12" customHeight="1" thickBot="1" x14ac:dyDescent="0.25">
      <c r="B6" s="124" t="s">
        <v>155</v>
      </c>
      <c r="C6" s="125"/>
      <c r="D6" s="126"/>
      <c r="E6" s="127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</row>
    <row r="7" spans="2:138" s="25" customFormat="1" ht="30" x14ac:dyDescent="0.2">
      <c r="B7" s="107" t="s">
        <v>13</v>
      </c>
      <c r="C7" s="33" t="s">
        <v>50</v>
      </c>
      <c r="D7" s="53" t="s">
        <v>7</v>
      </c>
      <c r="E7" s="32">
        <f>1300.75+1300.75</f>
        <v>2601.5</v>
      </c>
      <c r="F7" s="24"/>
      <c r="G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</row>
    <row r="8" spans="2:138" s="27" customFormat="1" ht="30" x14ac:dyDescent="0.2">
      <c r="B8" s="107"/>
      <c r="C8" s="62" t="s">
        <v>17</v>
      </c>
      <c r="D8" s="74" t="s">
        <v>49</v>
      </c>
      <c r="E8" s="67">
        <f>1149.5</f>
        <v>1149.5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</row>
    <row r="9" spans="2:138" s="22" customFormat="1" ht="30" x14ac:dyDescent="0.2">
      <c r="B9" s="107"/>
      <c r="C9" s="63" t="s">
        <v>18</v>
      </c>
      <c r="D9" s="34" t="s">
        <v>49</v>
      </c>
      <c r="E9" s="68">
        <f>806.65</f>
        <v>806.65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</row>
    <row r="10" spans="2:138" s="22" customFormat="1" ht="30" x14ac:dyDescent="0.2">
      <c r="B10" s="107"/>
      <c r="C10" s="63" t="s">
        <v>34</v>
      </c>
      <c r="D10" s="34" t="s">
        <v>3</v>
      </c>
      <c r="E10" s="68">
        <f>1500+2420</f>
        <v>3920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</row>
    <row r="11" spans="2:138" s="25" customFormat="1" ht="30" x14ac:dyDescent="0.2">
      <c r="B11" s="107"/>
      <c r="C11" s="63" t="s">
        <v>25</v>
      </c>
      <c r="D11" s="34" t="s">
        <v>3</v>
      </c>
      <c r="E11" s="68">
        <f>1742.4</f>
        <v>1742.4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</row>
    <row r="12" spans="2:138" s="22" customFormat="1" ht="30" x14ac:dyDescent="0.2">
      <c r="B12" s="107"/>
      <c r="C12" s="64" t="s">
        <v>38</v>
      </c>
      <c r="D12" s="34" t="s">
        <v>2</v>
      </c>
      <c r="E12" s="68">
        <f>681.34</f>
        <v>681.34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</row>
    <row r="13" spans="2:138" s="22" customFormat="1" ht="30" x14ac:dyDescent="0.2">
      <c r="B13" s="107"/>
      <c r="C13" s="64" t="s">
        <v>67</v>
      </c>
      <c r="D13" s="34" t="s">
        <v>3</v>
      </c>
      <c r="E13" s="68">
        <v>908.71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</row>
    <row r="14" spans="2:138" s="22" customFormat="1" ht="30" x14ac:dyDescent="0.2">
      <c r="B14" s="107"/>
      <c r="C14" s="63" t="s">
        <v>43</v>
      </c>
      <c r="D14" s="54" t="s">
        <v>2</v>
      </c>
      <c r="E14" s="68">
        <f>3630</f>
        <v>3630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</row>
    <row r="15" spans="2:138" s="22" customFormat="1" ht="30" x14ac:dyDescent="0.2">
      <c r="B15" s="107"/>
      <c r="C15" s="63" t="s">
        <v>29</v>
      </c>
      <c r="D15" s="34" t="s">
        <v>30</v>
      </c>
      <c r="E15" s="68">
        <f>2843.5</f>
        <v>2843.5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</row>
    <row r="16" spans="2:138" s="22" customFormat="1" ht="30" x14ac:dyDescent="0.2">
      <c r="B16" s="107"/>
      <c r="C16" s="63" t="s">
        <v>56</v>
      </c>
      <c r="D16" s="34" t="s">
        <v>30</v>
      </c>
      <c r="E16" s="68">
        <f>9075</f>
        <v>9075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</row>
    <row r="17" spans="2:138" s="22" customFormat="1" ht="30" x14ac:dyDescent="0.2">
      <c r="B17" s="107"/>
      <c r="C17" s="63" t="s">
        <v>19</v>
      </c>
      <c r="D17" s="34" t="s">
        <v>10</v>
      </c>
      <c r="E17" s="68">
        <f>1361.25</f>
        <v>1361.25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</row>
    <row r="18" spans="2:138" s="22" customFormat="1" ht="30" x14ac:dyDescent="0.2">
      <c r="B18" s="107"/>
      <c r="C18" s="63" t="s">
        <v>20</v>
      </c>
      <c r="D18" s="34" t="s">
        <v>10</v>
      </c>
      <c r="E18" s="68">
        <f>1361.25</f>
        <v>1361.25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</row>
    <row r="19" spans="2:138" s="22" customFormat="1" ht="30" x14ac:dyDescent="0.2">
      <c r="B19" s="107"/>
      <c r="C19" s="63" t="s">
        <v>27</v>
      </c>
      <c r="D19" s="34" t="s">
        <v>10</v>
      </c>
      <c r="E19" s="68">
        <f>5445</f>
        <v>5445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</row>
    <row r="20" spans="2:138" s="22" customFormat="1" ht="30" x14ac:dyDescent="0.2">
      <c r="B20" s="107"/>
      <c r="C20" s="63" t="s">
        <v>21</v>
      </c>
      <c r="D20" s="34" t="s">
        <v>10</v>
      </c>
      <c r="E20" s="68">
        <f>1361.25</f>
        <v>1361.25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</row>
    <row r="21" spans="2:138" s="22" customFormat="1" ht="30" x14ac:dyDescent="0.2">
      <c r="B21" s="107"/>
      <c r="C21" s="63" t="s">
        <v>22</v>
      </c>
      <c r="D21" s="34" t="s">
        <v>10</v>
      </c>
      <c r="E21" s="68">
        <f>1361.25</f>
        <v>1361.25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</row>
    <row r="22" spans="2:138" s="22" customFormat="1" ht="30" x14ac:dyDescent="0.2">
      <c r="B22" s="107"/>
      <c r="C22" s="63" t="s">
        <v>83</v>
      </c>
      <c r="D22" s="34" t="s">
        <v>9</v>
      </c>
      <c r="E22" s="68">
        <f>9680</f>
        <v>9680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</row>
    <row r="23" spans="2:138" s="22" customFormat="1" ht="30" x14ac:dyDescent="0.2">
      <c r="B23" s="107"/>
      <c r="C23" s="63" t="s">
        <v>23</v>
      </c>
      <c r="D23" s="34" t="s">
        <v>3</v>
      </c>
      <c r="E23" s="68">
        <f>22855.75</f>
        <v>22855.75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</row>
    <row r="24" spans="2:138" s="22" customFormat="1" ht="30" x14ac:dyDescent="0.2">
      <c r="B24" s="107"/>
      <c r="C24" s="63" t="s">
        <v>31</v>
      </c>
      <c r="D24" s="34" t="s">
        <v>49</v>
      </c>
      <c r="E24" s="68">
        <f>11427.78</f>
        <v>11427.78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</row>
    <row r="25" spans="2:138" s="22" customFormat="1" ht="30" x14ac:dyDescent="0.2">
      <c r="B25" s="107"/>
      <c r="C25" s="63" t="s">
        <v>24</v>
      </c>
      <c r="D25" s="34" t="s">
        <v>49</v>
      </c>
      <c r="E25" s="68">
        <f>2541</f>
        <v>2541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</row>
    <row r="26" spans="2:138" s="22" customFormat="1" ht="30" x14ac:dyDescent="0.2">
      <c r="B26" s="107"/>
      <c r="C26" s="63" t="s">
        <v>25</v>
      </c>
      <c r="D26" s="34" t="s">
        <v>3</v>
      </c>
      <c r="E26" s="68">
        <f>11430.87</f>
        <v>11430.87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</row>
    <row r="27" spans="2:138" s="22" customFormat="1" ht="30" x14ac:dyDescent="0.2">
      <c r="B27" s="107"/>
      <c r="C27" s="63" t="s">
        <v>32</v>
      </c>
      <c r="D27" s="34" t="s">
        <v>2</v>
      </c>
      <c r="E27" s="68">
        <f>2439.36+1524.6</f>
        <v>3963.96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</row>
    <row r="28" spans="2:138" s="22" customFormat="1" ht="30.75" thickBot="1" x14ac:dyDescent="0.25">
      <c r="B28" s="107"/>
      <c r="C28" s="65" t="s">
        <v>26</v>
      </c>
      <c r="D28" s="75" t="s">
        <v>9</v>
      </c>
      <c r="E28" s="69">
        <f>1210</f>
        <v>1210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</row>
    <row r="29" spans="2:138" s="22" customFormat="1" ht="30" x14ac:dyDescent="0.2">
      <c r="B29" s="108" t="s">
        <v>65</v>
      </c>
      <c r="C29" s="66" t="s">
        <v>37</v>
      </c>
      <c r="D29" s="76" t="s">
        <v>2</v>
      </c>
      <c r="E29" s="70">
        <f>1086.82</f>
        <v>1086.82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</row>
    <row r="30" spans="2:138" s="22" customFormat="1" ht="30" x14ac:dyDescent="0.2">
      <c r="B30" s="109"/>
      <c r="C30" s="63" t="s">
        <v>42</v>
      </c>
      <c r="D30" s="54" t="s">
        <v>2</v>
      </c>
      <c r="E30" s="71">
        <f>2504.7</f>
        <v>2504.6999999999998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</row>
    <row r="31" spans="2:138" s="22" customFormat="1" ht="30" x14ac:dyDescent="0.2">
      <c r="B31" s="109"/>
      <c r="C31" s="63" t="s">
        <v>43</v>
      </c>
      <c r="D31" s="54" t="s">
        <v>2</v>
      </c>
      <c r="E31" s="71">
        <f>1391.5</f>
        <v>1391.5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</row>
    <row r="32" spans="2:138" s="22" customFormat="1" ht="30" x14ac:dyDescent="0.2">
      <c r="B32" s="109"/>
      <c r="C32" s="63" t="s">
        <v>64</v>
      </c>
      <c r="D32" s="54" t="s">
        <v>2</v>
      </c>
      <c r="E32" s="71">
        <f>1125.3</f>
        <v>1125.3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</row>
    <row r="33" spans="2:138" s="22" customFormat="1" ht="30" x14ac:dyDescent="0.2">
      <c r="B33" s="109"/>
      <c r="C33" s="63" t="s">
        <v>32</v>
      </c>
      <c r="D33" s="54" t="s">
        <v>2</v>
      </c>
      <c r="E33" s="71">
        <f>1481.04</f>
        <v>1481.04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</row>
    <row r="34" spans="2:138" s="22" customFormat="1" ht="30" x14ac:dyDescent="0.2">
      <c r="B34" s="109"/>
      <c r="C34" s="63" t="s">
        <v>44</v>
      </c>
      <c r="D34" s="54" t="s">
        <v>2</v>
      </c>
      <c r="E34" s="71">
        <f>5066.12</f>
        <v>5066.12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</row>
    <row r="35" spans="2:138" s="22" customFormat="1" ht="30" x14ac:dyDescent="0.2">
      <c r="B35" s="109"/>
      <c r="C35" s="63" t="s">
        <v>45</v>
      </c>
      <c r="D35" s="54" t="s">
        <v>2</v>
      </c>
      <c r="E35" s="71">
        <f>1477.17</f>
        <v>1477.17</v>
      </c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</row>
    <row r="36" spans="2:138" s="22" customFormat="1" ht="30.75" thickBot="1" x14ac:dyDescent="0.25">
      <c r="B36" s="110"/>
      <c r="C36" s="65" t="s">
        <v>46</v>
      </c>
      <c r="D36" s="52" t="s">
        <v>2</v>
      </c>
      <c r="E36" s="72">
        <f>822.8</f>
        <v>822.8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</row>
    <row r="37" spans="2:138" s="22" customFormat="1" ht="30" x14ac:dyDescent="0.2">
      <c r="B37" s="111" t="s">
        <v>66</v>
      </c>
      <c r="C37" s="66" t="s">
        <v>34</v>
      </c>
      <c r="D37" s="53" t="s">
        <v>3</v>
      </c>
      <c r="E37" s="73">
        <f>1210</f>
        <v>1210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</row>
    <row r="38" spans="2:138" s="22" customFormat="1" ht="30" x14ac:dyDescent="0.2">
      <c r="B38" s="112"/>
      <c r="C38" s="63" t="s">
        <v>25</v>
      </c>
      <c r="D38" s="34" t="s">
        <v>3</v>
      </c>
      <c r="E38" s="68">
        <f>1016.4</f>
        <v>1016.4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</row>
    <row r="39" spans="2:138" s="22" customFormat="1" ht="30" x14ac:dyDescent="0.2">
      <c r="B39" s="112"/>
      <c r="C39" s="63" t="s">
        <v>23</v>
      </c>
      <c r="D39" s="34" t="s">
        <v>3</v>
      </c>
      <c r="E39" s="68">
        <f>1694</f>
        <v>1694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</row>
    <row r="40" spans="2:138" s="22" customFormat="1" ht="30.75" thickBot="1" x14ac:dyDescent="0.25">
      <c r="B40" s="113"/>
      <c r="C40" s="65" t="s">
        <v>35</v>
      </c>
      <c r="D40" s="75" t="s">
        <v>3</v>
      </c>
      <c r="E40" s="69">
        <f>1210</f>
        <v>1210</v>
      </c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</row>
    <row r="41" spans="2:138" s="22" customFormat="1" ht="30" x14ac:dyDescent="0.2">
      <c r="B41" s="114" t="s">
        <v>152</v>
      </c>
      <c r="C41" s="66" t="s">
        <v>51</v>
      </c>
      <c r="D41" s="53" t="s">
        <v>15</v>
      </c>
      <c r="E41" s="73">
        <f>1210</f>
        <v>1210</v>
      </c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</row>
    <row r="42" spans="2:138" s="25" customFormat="1" ht="30" x14ac:dyDescent="0.2">
      <c r="B42" s="107"/>
      <c r="C42" s="63" t="s">
        <v>52</v>
      </c>
      <c r="D42" s="34" t="s">
        <v>15</v>
      </c>
      <c r="E42" s="68">
        <f>726</f>
        <v>726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</row>
    <row r="43" spans="2:138" s="25" customFormat="1" ht="30" x14ac:dyDescent="0.2">
      <c r="B43" s="107"/>
      <c r="C43" s="63" t="s">
        <v>70</v>
      </c>
      <c r="D43" s="34" t="s">
        <v>15</v>
      </c>
      <c r="E43" s="68">
        <f>1089</f>
        <v>1089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</row>
    <row r="44" spans="2:138" s="25" customFormat="1" ht="30" x14ac:dyDescent="0.2">
      <c r="B44" s="107"/>
      <c r="C44" s="63" t="s">
        <v>34</v>
      </c>
      <c r="D44" s="34" t="s">
        <v>3</v>
      </c>
      <c r="E44" s="68">
        <f>7773.09</f>
        <v>7773.09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</row>
    <row r="45" spans="2:138" s="25" customFormat="1" ht="30" x14ac:dyDescent="0.2">
      <c r="B45" s="107"/>
      <c r="C45" s="63" t="s">
        <v>25</v>
      </c>
      <c r="D45" s="34" t="s">
        <v>3</v>
      </c>
      <c r="E45" s="68">
        <f>6658.22</f>
        <v>6658.22</v>
      </c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</row>
    <row r="46" spans="2:138" s="25" customFormat="1" ht="30" x14ac:dyDescent="0.2">
      <c r="B46" s="107"/>
      <c r="C46" s="63" t="s">
        <v>23</v>
      </c>
      <c r="D46" s="34" t="s">
        <v>3</v>
      </c>
      <c r="E46" s="68">
        <f>11519.32</f>
        <v>11519.32</v>
      </c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</row>
    <row r="47" spans="2:138" s="25" customFormat="1" ht="30" x14ac:dyDescent="0.2">
      <c r="B47" s="107"/>
      <c r="C47" s="63" t="s">
        <v>35</v>
      </c>
      <c r="D47" s="34" t="s">
        <v>3</v>
      </c>
      <c r="E47" s="68">
        <f>9469.21</f>
        <v>9469.2099999999991</v>
      </c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</row>
    <row r="48" spans="2:138" s="25" customFormat="1" ht="30" x14ac:dyDescent="0.2">
      <c r="B48" s="107"/>
      <c r="C48" s="63" t="s">
        <v>36</v>
      </c>
      <c r="D48" s="34" t="s">
        <v>2</v>
      </c>
      <c r="E48" s="68">
        <f>484</f>
        <v>484</v>
      </c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</row>
    <row r="49" spans="2:138" s="25" customFormat="1" ht="30" x14ac:dyDescent="0.2">
      <c r="B49" s="107"/>
      <c r="C49" s="63" t="s">
        <v>71</v>
      </c>
      <c r="D49" s="34" t="s">
        <v>2</v>
      </c>
      <c r="E49" s="68">
        <f>1119.93</f>
        <v>1119.93</v>
      </c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</row>
    <row r="50" spans="2:138" s="25" customFormat="1" ht="30" x14ac:dyDescent="0.2">
      <c r="B50" s="107"/>
      <c r="C50" s="63" t="s">
        <v>16</v>
      </c>
      <c r="D50" s="34" t="s">
        <v>2</v>
      </c>
      <c r="E50" s="68">
        <f>1434.21</f>
        <v>1434.21</v>
      </c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</row>
    <row r="51" spans="2:138" s="25" customFormat="1" ht="30" x14ac:dyDescent="0.2">
      <c r="B51" s="107"/>
      <c r="C51" s="63" t="s">
        <v>38</v>
      </c>
      <c r="D51" s="34" t="s">
        <v>2</v>
      </c>
      <c r="E51" s="68">
        <f>907.5</f>
        <v>907.5</v>
      </c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</row>
    <row r="52" spans="2:138" s="25" customFormat="1" ht="30" x14ac:dyDescent="0.2">
      <c r="B52" s="107"/>
      <c r="C52" s="63" t="s">
        <v>39</v>
      </c>
      <c r="D52" s="34" t="s">
        <v>2</v>
      </c>
      <c r="E52" s="68">
        <f>726</f>
        <v>726</v>
      </c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</row>
    <row r="53" spans="2:138" s="25" customFormat="1" ht="30" x14ac:dyDescent="0.2">
      <c r="B53" s="107"/>
      <c r="C53" s="63" t="s">
        <v>40</v>
      </c>
      <c r="D53" s="34" t="s">
        <v>2</v>
      </c>
      <c r="E53" s="68">
        <f>837.8</f>
        <v>837.8</v>
      </c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</row>
    <row r="54" spans="2:138" s="25" customFormat="1" ht="30.75" thickBot="1" x14ac:dyDescent="0.25">
      <c r="B54" s="115"/>
      <c r="C54" s="65" t="s">
        <v>32</v>
      </c>
      <c r="D54" s="75" t="s">
        <v>2</v>
      </c>
      <c r="E54" s="69">
        <f>1360.04</f>
        <v>1360.04</v>
      </c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</row>
    <row r="55" spans="2:138" s="22" customFormat="1" ht="30" x14ac:dyDescent="0.2">
      <c r="B55" s="116" t="s">
        <v>89</v>
      </c>
      <c r="C55" s="66" t="s">
        <v>25</v>
      </c>
      <c r="D55" s="53" t="s">
        <v>3</v>
      </c>
      <c r="E55" s="73">
        <f>3872+3872</f>
        <v>7744</v>
      </c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</row>
    <row r="56" spans="2:138" s="25" customFormat="1" ht="30" x14ac:dyDescent="0.2">
      <c r="B56" s="117"/>
      <c r="C56" s="63" t="s">
        <v>32</v>
      </c>
      <c r="D56" s="34" t="s">
        <v>2</v>
      </c>
      <c r="E56" s="68">
        <f>3993</f>
        <v>3993</v>
      </c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</row>
    <row r="57" spans="2:138" s="25" customFormat="1" ht="30" x14ac:dyDescent="0.2">
      <c r="B57" s="117"/>
      <c r="C57" s="63" t="s">
        <v>44</v>
      </c>
      <c r="D57" s="54" t="s">
        <v>2</v>
      </c>
      <c r="E57" s="68">
        <f>7865</f>
        <v>7865</v>
      </c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</row>
    <row r="58" spans="2:138" s="25" customFormat="1" ht="30" x14ac:dyDescent="0.2">
      <c r="B58" s="117"/>
      <c r="C58" s="63" t="s">
        <v>100</v>
      </c>
      <c r="D58" s="34" t="s">
        <v>15</v>
      </c>
      <c r="E58" s="68">
        <v>10139.799999999999</v>
      </c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</row>
    <row r="59" spans="2:138" s="25" customFormat="1" ht="30" x14ac:dyDescent="0.2">
      <c r="B59" s="117"/>
      <c r="C59" s="63" t="s">
        <v>101</v>
      </c>
      <c r="D59" s="34" t="s">
        <v>15</v>
      </c>
      <c r="E59" s="68">
        <v>3025</v>
      </c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</row>
    <row r="60" spans="2:138" s="25" customFormat="1" ht="30" x14ac:dyDescent="0.2">
      <c r="B60" s="117"/>
      <c r="C60" s="63" t="s">
        <v>102</v>
      </c>
      <c r="D60" s="34" t="s">
        <v>123</v>
      </c>
      <c r="E60" s="68">
        <v>6050</v>
      </c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</row>
    <row r="61" spans="2:138" s="25" customFormat="1" ht="30" x14ac:dyDescent="0.2">
      <c r="B61" s="117"/>
      <c r="C61" s="63" t="s">
        <v>124</v>
      </c>
      <c r="D61" s="34" t="s">
        <v>123</v>
      </c>
      <c r="E61" s="68">
        <v>7453.6</v>
      </c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</row>
    <row r="62" spans="2:138" s="25" customFormat="1" ht="30" x14ac:dyDescent="0.2">
      <c r="B62" s="117"/>
      <c r="C62" s="63" t="s">
        <v>103</v>
      </c>
      <c r="D62" s="34" t="s">
        <v>123</v>
      </c>
      <c r="E62" s="68">
        <v>20545.8</v>
      </c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</row>
    <row r="63" spans="2:138" s="25" customFormat="1" ht="30" x14ac:dyDescent="0.2">
      <c r="B63" s="117"/>
      <c r="C63" s="63" t="s">
        <v>104</v>
      </c>
      <c r="D63" s="34" t="s">
        <v>49</v>
      </c>
      <c r="E63" s="68">
        <v>907.5</v>
      </c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</row>
    <row r="64" spans="2:138" s="25" customFormat="1" ht="30" x14ac:dyDescent="0.2">
      <c r="B64" s="117"/>
      <c r="C64" s="63" t="s">
        <v>105</v>
      </c>
      <c r="D64" s="34" t="s">
        <v>49</v>
      </c>
      <c r="E64" s="68">
        <v>2117.5</v>
      </c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</row>
    <row r="65" spans="2:138" s="25" customFormat="1" ht="30" x14ac:dyDescent="0.2">
      <c r="B65" s="117"/>
      <c r="C65" s="63" t="s">
        <v>98</v>
      </c>
      <c r="D65" s="34" t="s">
        <v>49</v>
      </c>
      <c r="E65" s="68">
        <v>484</v>
      </c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</row>
    <row r="66" spans="2:138" s="25" customFormat="1" ht="30" x14ac:dyDescent="0.2">
      <c r="B66" s="117"/>
      <c r="C66" s="63" t="s">
        <v>17</v>
      </c>
      <c r="D66" s="34" t="s">
        <v>49</v>
      </c>
      <c r="E66" s="68">
        <v>302.5</v>
      </c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</row>
    <row r="67" spans="2:138" s="25" customFormat="1" ht="30" x14ac:dyDescent="0.2">
      <c r="B67" s="117"/>
      <c r="C67" s="63" t="s">
        <v>31</v>
      </c>
      <c r="D67" s="34" t="s">
        <v>49</v>
      </c>
      <c r="E67" s="68">
        <v>5430.48</v>
      </c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</row>
    <row r="68" spans="2:138" s="25" customFormat="1" ht="30" x14ac:dyDescent="0.2">
      <c r="B68" s="117"/>
      <c r="C68" s="63" t="s">
        <v>28</v>
      </c>
      <c r="D68" s="34" t="s">
        <v>49</v>
      </c>
      <c r="E68" s="68">
        <v>1210</v>
      </c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</row>
    <row r="69" spans="2:138" s="25" customFormat="1" ht="30" x14ac:dyDescent="0.2">
      <c r="B69" s="117"/>
      <c r="C69" s="63" t="s">
        <v>51</v>
      </c>
      <c r="D69" s="34" t="s">
        <v>49</v>
      </c>
      <c r="E69" s="68">
        <v>1331</v>
      </c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</row>
    <row r="70" spans="2:138" s="25" customFormat="1" ht="30" x14ac:dyDescent="0.2">
      <c r="B70" s="117"/>
      <c r="C70" s="63" t="s">
        <v>106</v>
      </c>
      <c r="D70" s="34" t="s">
        <v>49</v>
      </c>
      <c r="E70" s="68">
        <v>1331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</row>
    <row r="71" spans="2:138" s="25" customFormat="1" ht="30" x14ac:dyDescent="0.2">
      <c r="B71" s="117"/>
      <c r="C71" s="63" t="s">
        <v>52</v>
      </c>
      <c r="D71" s="34" t="s">
        <v>49</v>
      </c>
      <c r="E71" s="68">
        <v>907.5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</row>
    <row r="72" spans="2:138" s="25" customFormat="1" ht="30" x14ac:dyDescent="0.2">
      <c r="B72" s="117"/>
      <c r="C72" s="63" t="s">
        <v>107</v>
      </c>
      <c r="D72" s="34" t="s">
        <v>49</v>
      </c>
      <c r="E72" s="68">
        <v>907.5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</row>
    <row r="73" spans="2:138" s="25" customFormat="1" ht="30" x14ac:dyDescent="0.2">
      <c r="B73" s="117"/>
      <c r="C73" s="63" t="s">
        <v>18</v>
      </c>
      <c r="D73" s="34" t="s">
        <v>49</v>
      </c>
      <c r="E73" s="68">
        <v>907.5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</row>
    <row r="74" spans="2:138" s="25" customFormat="1" ht="30" x14ac:dyDescent="0.2">
      <c r="B74" s="117"/>
      <c r="C74" s="63" t="s">
        <v>108</v>
      </c>
      <c r="D74" s="34" t="s">
        <v>49</v>
      </c>
      <c r="E74" s="68">
        <v>968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</row>
    <row r="75" spans="2:138" s="25" customFormat="1" ht="30" x14ac:dyDescent="0.2">
      <c r="B75" s="117"/>
      <c r="C75" s="63" t="s">
        <v>109</v>
      </c>
      <c r="D75" s="34" t="s">
        <v>49</v>
      </c>
      <c r="E75" s="68">
        <v>1815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</row>
    <row r="76" spans="2:138" s="25" customFormat="1" ht="30" x14ac:dyDescent="0.2">
      <c r="B76" s="117"/>
      <c r="C76" s="63" t="s">
        <v>110</v>
      </c>
      <c r="D76" s="34" t="s">
        <v>49</v>
      </c>
      <c r="E76" s="68">
        <v>907.5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</row>
    <row r="77" spans="2:138" s="25" customFormat="1" ht="30" x14ac:dyDescent="0.2">
      <c r="B77" s="117"/>
      <c r="C77" s="63" t="s">
        <v>70</v>
      </c>
      <c r="D77" s="34" t="s">
        <v>49</v>
      </c>
      <c r="E77" s="68">
        <v>1089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</row>
    <row r="78" spans="2:138" s="25" customFormat="1" ht="30" x14ac:dyDescent="0.2">
      <c r="B78" s="117"/>
      <c r="C78" s="63" t="s">
        <v>34</v>
      </c>
      <c r="D78" s="34" t="s">
        <v>3</v>
      </c>
      <c r="E78" s="68">
        <v>7432.4250000000002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</row>
    <row r="79" spans="2:138" s="25" customFormat="1" ht="30" x14ac:dyDescent="0.2">
      <c r="B79" s="117"/>
      <c r="C79" s="63" t="s">
        <v>25</v>
      </c>
      <c r="D79" s="34" t="s">
        <v>3</v>
      </c>
      <c r="E79" s="68">
        <v>12539.834999999999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</row>
    <row r="80" spans="2:138" s="25" customFormat="1" ht="30" x14ac:dyDescent="0.2">
      <c r="B80" s="117"/>
      <c r="C80" s="63" t="s">
        <v>23</v>
      </c>
      <c r="D80" s="34" t="s">
        <v>3</v>
      </c>
      <c r="E80" s="68">
        <v>18725.2703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</row>
    <row r="81" spans="2:138" s="25" customFormat="1" ht="30" x14ac:dyDescent="0.2">
      <c r="B81" s="117"/>
      <c r="C81" s="63" t="s">
        <v>35</v>
      </c>
      <c r="D81" s="34" t="s">
        <v>3</v>
      </c>
      <c r="E81" s="68">
        <v>11180.4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</row>
    <row r="82" spans="2:138" s="25" customFormat="1" ht="30" x14ac:dyDescent="0.2">
      <c r="B82" s="117"/>
      <c r="C82" s="63" t="s">
        <v>111</v>
      </c>
      <c r="D82" s="77" t="s">
        <v>33</v>
      </c>
      <c r="E82" s="68">
        <v>3001.5623000000001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</row>
    <row r="83" spans="2:138" s="25" customFormat="1" ht="30" x14ac:dyDescent="0.2">
      <c r="B83" s="117"/>
      <c r="C83" s="63" t="s">
        <v>112</v>
      </c>
      <c r="D83" s="77" t="s">
        <v>33</v>
      </c>
      <c r="E83" s="68">
        <v>605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</row>
    <row r="84" spans="2:138" s="25" customFormat="1" ht="30" x14ac:dyDescent="0.2">
      <c r="B84" s="117"/>
      <c r="C84" s="63" t="s">
        <v>113</v>
      </c>
      <c r="D84" s="77" t="s">
        <v>33</v>
      </c>
      <c r="E84" s="68">
        <v>1089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</row>
    <row r="85" spans="2:138" s="25" customFormat="1" ht="30" x14ac:dyDescent="0.2">
      <c r="B85" s="117"/>
      <c r="C85" s="63" t="s">
        <v>114</v>
      </c>
      <c r="D85" s="34" t="s">
        <v>125</v>
      </c>
      <c r="E85" s="68">
        <f>13982.76+4106.21</f>
        <v>18088.97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</row>
    <row r="86" spans="2:138" s="22" customFormat="1" ht="30" x14ac:dyDescent="0.2">
      <c r="B86" s="117"/>
      <c r="C86" s="63" t="s">
        <v>36</v>
      </c>
      <c r="D86" s="54" t="s">
        <v>2</v>
      </c>
      <c r="E86" s="68">
        <v>605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</row>
    <row r="87" spans="2:138" s="22" customFormat="1" ht="30" x14ac:dyDescent="0.2">
      <c r="B87" s="117"/>
      <c r="C87" s="63" t="s">
        <v>37</v>
      </c>
      <c r="D87" s="54" t="s">
        <v>2</v>
      </c>
      <c r="E87" s="68">
        <v>1849.848</v>
      </c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</row>
    <row r="88" spans="2:138" s="22" customFormat="1" ht="30" x14ac:dyDescent="0.2">
      <c r="B88" s="117"/>
      <c r="C88" s="63" t="s">
        <v>16</v>
      </c>
      <c r="D88" s="54" t="s">
        <v>2</v>
      </c>
      <c r="E88" s="68">
        <v>1947.2529999999999</v>
      </c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  <c r="CR88" s="30"/>
      <c r="CS88" s="30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  <c r="DF88" s="30"/>
      <c r="DG88" s="30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</row>
    <row r="89" spans="2:138" s="22" customFormat="1" ht="30" x14ac:dyDescent="0.2">
      <c r="B89" s="117"/>
      <c r="C89" s="63" t="s">
        <v>38</v>
      </c>
      <c r="D89" s="54" t="s">
        <v>2</v>
      </c>
      <c r="E89" s="68">
        <v>871.2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  <c r="CR89" s="30"/>
      <c r="CS89" s="30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  <c r="DF89" s="30"/>
      <c r="DG89" s="30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</row>
    <row r="90" spans="2:138" s="22" customFormat="1" ht="30" x14ac:dyDescent="0.2">
      <c r="B90" s="117"/>
      <c r="C90" s="63" t="s">
        <v>39</v>
      </c>
      <c r="D90" s="54" t="s">
        <v>2</v>
      </c>
      <c r="E90" s="68">
        <v>871.2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</row>
    <row r="91" spans="2:138" s="22" customFormat="1" ht="30" x14ac:dyDescent="0.2">
      <c r="B91" s="117"/>
      <c r="C91" s="63" t="s">
        <v>42</v>
      </c>
      <c r="D91" s="54" t="s">
        <v>2</v>
      </c>
      <c r="E91" s="68">
        <v>8370.1749999999993</v>
      </c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  <c r="CR91" s="30"/>
      <c r="CS91" s="30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  <c r="DE91" s="30"/>
      <c r="DF91" s="30"/>
      <c r="DG91" s="30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  <c r="DS91" s="30"/>
      <c r="DT91" s="30"/>
      <c r="DU91" s="30"/>
      <c r="DV91" s="30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</row>
    <row r="92" spans="2:138" s="22" customFormat="1" ht="30" x14ac:dyDescent="0.2">
      <c r="B92" s="117"/>
      <c r="C92" s="63" t="s">
        <v>43</v>
      </c>
      <c r="D92" s="54" t="s">
        <v>2</v>
      </c>
      <c r="E92" s="68">
        <v>4313.6499999999996</v>
      </c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</row>
    <row r="93" spans="2:138" s="22" customFormat="1" ht="30" x14ac:dyDescent="0.2">
      <c r="B93" s="117"/>
      <c r="C93" s="63" t="s">
        <v>64</v>
      </c>
      <c r="D93" s="54" t="s">
        <v>2</v>
      </c>
      <c r="E93" s="68">
        <v>2589.4</v>
      </c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</row>
    <row r="94" spans="2:138" s="22" customFormat="1" ht="30" x14ac:dyDescent="0.2">
      <c r="B94" s="117"/>
      <c r="C94" s="63" t="s">
        <v>40</v>
      </c>
      <c r="D94" s="54" t="s">
        <v>2</v>
      </c>
      <c r="E94" s="68">
        <v>0</v>
      </c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</row>
    <row r="95" spans="2:138" s="22" customFormat="1" ht="30" x14ac:dyDescent="0.2">
      <c r="B95" s="117"/>
      <c r="C95" s="63" t="s">
        <v>115</v>
      </c>
      <c r="D95" s="54" t="s">
        <v>2</v>
      </c>
      <c r="E95" s="68">
        <v>2710.4</v>
      </c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</row>
    <row r="96" spans="2:138" s="22" customFormat="1" ht="30" x14ac:dyDescent="0.2">
      <c r="B96" s="117"/>
      <c r="C96" s="63" t="s">
        <v>116</v>
      </c>
      <c r="D96" s="54" t="s">
        <v>2</v>
      </c>
      <c r="E96" s="68">
        <v>3176.25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</row>
    <row r="97" spans="2:138" s="22" customFormat="1" ht="30" x14ac:dyDescent="0.2">
      <c r="B97" s="117"/>
      <c r="C97" s="63" t="s">
        <v>44</v>
      </c>
      <c r="D97" s="54" t="s">
        <v>2</v>
      </c>
      <c r="E97" s="68">
        <v>12686.85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</row>
    <row r="98" spans="2:138" s="22" customFormat="1" ht="30" x14ac:dyDescent="0.2">
      <c r="B98" s="117"/>
      <c r="C98" s="63" t="s">
        <v>117</v>
      </c>
      <c r="D98" s="54" t="s">
        <v>2</v>
      </c>
      <c r="E98" s="68">
        <v>3000.8</v>
      </c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</row>
    <row r="99" spans="2:138" s="22" customFormat="1" ht="30" x14ac:dyDescent="0.2">
      <c r="B99" s="117"/>
      <c r="C99" s="63" t="s">
        <v>118</v>
      </c>
      <c r="D99" s="54" t="s">
        <v>2</v>
      </c>
      <c r="E99" s="68">
        <v>1645.6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30"/>
      <c r="DG99" s="30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</row>
    <row r="100" spans="2:138" s="22" customFormat="1" ht="30" x14ac:dyDescent="0.2">
      <c r="B100" s="117"/>
      <c r="C100" s="63" t="s">
        <v>56</v>
      </c>
      <c r="D100" s="34" t="s">
        <v>30</v>
      </c>
      <c r="E100" s="68">
        <v>1815</v>
      </c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</row>
    <row r="101" spans="2:138" s="22" customFormat="1" ht="30" x14ac:dyDescent="0.2">
      <c r="B101" s="117"/>
      <c r="C101" s="63" t="s">
        <v>119</v>
      </c>
      <c r="D101" s="34" t="s">
        <v>33</v>
      </c>
      <c r="E101" s="68">
        <v>1197.9000000000001</v>
      </c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</row>
    <row r="102" spans="2:138" s="22" customFormat="1" ht="30" x14ac:dyDescent="0.2">
      <c r="B102" s="117"/>
      <c r="C102" s="63" t="s">
        <v>120</v>
      </c>
      <c r="D102" s="34" t="s">
        <v>7</v>
      </c>
      <c r="E102" s="68">
        <v>1497.375</v>
      </c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</row>
    <row r="103" spans="2:138" s="22" customFormat="1" ht="30" x14ac:dyDescent="0.2">
      <c r="B103" s="117"/>
      <c r="C103" s="63" t="s">
        <v>27</v>
      </c>
      <c r="D103" s="34" t="s">
        <v>10</v>
      </c>
      <c r="E103" s="68">
        <v>2420</v>
      </c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</row>
    <row r="104" spans="2:138" s="22" customFormat="1" ht="30" x14ac:dyDescent="0.2">
      <c r="B104" s="117"/>
      <c r="C104" s="63" t="s">
        <v>26</v>
      </c>
      <c r="D104" s="34" t="s">
        <v>10</v>
      </c>
      <c r="E104" s="68">
        <v>2420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  <c r="DS104" s="30"/>
      <c r="DT104" s="30"/>
      <c r="DU104" s="30"/>
      <c r="DV104" s="30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</row>
    <row r="105" spans="2:138" s="22" customFormat="1" ht="30" x14ac:dyDescent="0.2">
      <c r="B105" s="117"/>
      <c r="C105" s="63" t="s">
        <v>121</v>
      </c>
      <c r="D105" s="34" t="s">
        <v>9</v>
      </c>
      <c r="E105" s="68">
        <v>11830.17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30"/>
      <c r="DG105" s="30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  <c r="DS105" s="30"/>
      <c r="DT105" s="30"/>
      <c r="DU105" s="30"/>
      <c r="DV105" s="30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</row>
    <row r="106" spans="2:138" s="22" customFormat="1" ht="30.75" thickBot="1" x14ac:dyDescent="0.25">
      <c r="B106" s="117"/>
      <c r="C106" s="65" t="s">
        <v>122</v>
      </c>
      <c r="D106" s="75" t="s">
        <v>10</v>
      </c>
      <c r="E106" s="69">
        <v>605</v>
      </c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30"/>
      <c r="DG106" s="30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0"/>
      <c r="DS106" s="30"/>
      <c r="DT106" s="30"/>
      <c r="DU106" s="30"/>
      <c r="DV106" s="30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</row>
    <row r="107" spans="2:138" s="2" customFormat="1" ht="15.75" thickBot="1" x14ac:dyDescent="0.25">
      <c r="B107" s="92" t="s">
        <v>0</v>
      </c>
      <c r="C107" s="95"/>
      <c r="D107" s="95"/>
      <c r="E107" s="83">
        <f>SUM(E7:E106)</f>
        <v>393275.84359999996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</row>
    <row r="108" spans="2:138" s="11" customFormat="1" ht="15" customHeight="1" thickBot="1" x14ac:dyDescent="0.25">
      <c r="B108" s="92" t="s">
        <v>81</v>
      </c>
      <c r="C108" s="95"/>
      <c r="D108" s="95"/>
      <c r="E108" s="96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</row>
    <row r="109" spans="2:138" s="18" customFormat="1" ht="30" x14ac:dyDescent="0.2">
      <c r="B109" s="114" t="s">
        <v>72</v>
      </c>
      <c r="C109" s="66" t="s">
        <v>23</v>
      </c>
      <c r="D109" s="53" t="s">
        <v>3</v>
      </c>
      <c r="E109" s="73">
        <f>3630</f>
        <v>3630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</row>
    <row r="110" spans="2:138" s="37" customFormat="1" ht="30" x14ac:dyDescent="0.2">
      <c r="B110" s="107"/>
      <c r="C110" s="78" t="s">
        <v>74</v>
      </c>
      <c r="D110" s="34" t="s">
        <v>33</v>
      </c>
      <c r="E110" s="68">
        <f>4831.14</f>
        <v>4831.1400000000003</v>
      </c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</row>
    <row r="111" spans="2:138" s="37" customFormat="1" ht="30.75" thickBot="1" x14ac:dyDescent="0.25">
      <c r="B111" s="115"/>
      <c r="C111" s="79" t="s">
        <v>59</v>
      </c>
      <c r="D111" s="75" t="s">
        <v>7</v>
      </c>
      <c r="E111" s="69">
        <f>3267</f>
        <v>3267</v>
      </c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</row>
    <row r="112" spans="2:138" ht="15.75" thickBot="1" x14ac:dyDescent="0.25">
      <c r="B112" s="97" t="s">
        <v>0</v>
      </c>
      <c r="C112" s="98"/>
      <c r="D112" s="99"/>
      <c r="E112" s="83">
        <f>SUM(E109:E111)</f>
        <v>11728.14</v>
      </c>
    </row>
    <row r="113" spans="2:138" s="11" customFormat="1" ht="39.6" customHeight="1" thickBot="1" x14ac:dyDescent="0.25">
      <c r="B113" s="100" t="s">
        <v>6</v>
      </c>
      <c r="C113" s="101"/>
      <c r="D113" s="101"/>
      <c r="E113" s="102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</row>
    <row r="114" spans="2:138" s="11" customFormat="1" ht="15.75" thickBot="1" x14ac:dyDescent="0.25">
      <c r="B114" s="92" t="s">
        <v>48</v>
      </c>
      <c r="C114" s="93"/>
      <c r="D114" s="93"/>
      <c r="E114" s="94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</row>
    <row r="115" spans="2:138" s="18" customFormat="1" ht="30.75" thickBot="1" x14ac:dyDescent="0.25">
      <c r="B115" s="42" t="s">
        <v>79</v>
      </c>
      <c r="C115" s="40" t="s">
        <v>31</v>
      </c>
      <c r="D115" s="35" t="s">
        <v>49</v>
      </c>
      <c r="E115" s="41">
        <f>15050</f>
        <v>15050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</row>
    <row r="116" spans="2:138" s="18" customFormat="1" ht="30.75" thickBot="1" x14ac:dyDescent="0.25">
      <c r="B116" s="39" t="s">
        <v>80</v>
      </c>
      <c r="C116" s="40" t="s">
        <v>68</v>
      </c>
      <c r="D116" s="35" t="s">
        <v>2</v>
      </c>
      <c r="E116" s="41">
        <f>1648.84</f>
        <v>1648.84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</row>
    <row r="117" spans="2:138" s="18" customFormat="1" ht="30.75" thickBot="1" x14ac:dyDescent="0.25">
      <c r="B117" s="39" t="s">
        <v>69</v>
      </c>
      <c r="C117" s="35" t="s">
        <v>44</v>
      </c>
      <c r="D117" s="35" t="s">
        <v>2</v>
      </c>
      <c r="E117" s="41">
        <f>7260</f>
        <v>7260</v>
      </c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</row>
    <row r="118" spans="2:138" s="18" customFormat="1" ht="30.75" thickBot="1" x14ac:dyDescent="0.25">
      <c r="B118" s="42" t="s">
        <v>12</v>
      </c>
      <c r="C118" s="40" t="s">
        <v>8</v>
      </c>
      <c r="D118" s="35" t="s">
        <v>2</v>
      </c>
      <c r="E118" s="41">
        <f>10164+3049.2</f>
        <v>13213.2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</row>
    <row r="119" spans="2:138" s="18" customFormat="1" ht="30.75" thickBot="1" x14ac:dyDescent="0.25">
      <c r="B119" s="39" t="s">
        <v>11</v>
      </c>
      <c r="C119" s="56" t="s">
        <v>78</v>
      </c>
      <c r="D119" s="35" t="s">
        <v>7</v>
      </c>
      <c r="E119" s="41">
        <f>599.99</f>
        <v>599.99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</row>
    <row r="120" spans="2:138" s="18" customFormat="1" ht="30.75" thickBot="1" x14ac:dyDescent="0.25">
      <c r="B120" s="118" t="s">
        <v>41</v>
      </c>
      <c r="C120" s="23" t="s">
        <v>28</v>
      </c>
      <c r="D120" s="35" t="s">
        <v>15</v>
      </c>
      <c r="E120" s="41">
        <v>3170.2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</row>
    <row r="121" spans="2:138" s="18" customFormat="1" ht="30.75" thickBot="1" x14ac:dyDescent="0.25">
      <c r="B121" s="118"/>
      <c r="C121" s="75" t="s">
        <v>150</v>
      </c>
      <c r="D121" s="35" t="s">
        <v>9</v>
      </c>
      <c r="E121" s="41">
        <f>8010.2+14409.79</f>
        <v>22419.99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</row>
    <row r="122" spans="2:138" s="18" customFormat="1" ht="30.75" thickBot="1" x14ac:dyDescent="0.25">
      <c r="B122" s="42" t="s">
        <v>73</v>
      </c>
      <c r="C122" s="40" t="s">
        <v>35</v>
      </c>
      <c r="D122" s="35" t="s">
        <v>3</v>
      </c>
      <c r="E122" s="41">
        <f>1433.85</f>
        <v>1433.85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</row>
    <row r="123" spans="2:138" s="18" customFormat="1" ht="30.75" thickBot="1" x14ac:dyDescent="0.25">
      <c r="B123" s="42" t="s">
        <v>142</v>
      </c>
      <c r="C123" s="40" t="s">
        <v>90</v>
      </c>
      <c r="D123" s="35" t="s">
        <v>2</v>
      </c>
      <c r="E123" s="41">
        <f>726+726</f>
        <v>1452</v>
      </c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</row>
    <row r="124" spans="2:138" s="18" customFormat="1" ht="30.75" thickBot="1" x14ac:dyDescent="0.25">
      <c r="B124" s="86" t="s">
        <v>126</v>
      </c>
      <c r="C124" s="40" t="s">
        <v>127</v>
      </c>
      <c r="D124" s="35" t="s">
        <v>53</v>
      </c>
      <c r="E124" s="41">
        <f>7260</f>
        <v>7260</v>
      </c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</row>
    <row r="125" spans="2:138" ht="15.75" thickBot="1" x14ac:dyDescent="0.25">
      <c r="B125" s="97" t="s">
        <v>0</v>
      </c>
      <c r="C125" s="98"/>
      <c r="D125" s="99"/>
      <c r="E125" s="83">
        <f>SUM(E115:E124)</f>
        <v>73508.070000000007</v>
      </c>
    </row>
    <row r="126" spans="2:138" s="11" customFormat="1" ht="15.75" thickBot="1" x14ac:dyDescent="0.25">
      <c r="B126" s="92" t="s">
        <v>82</v>
      </c>
      <c r="C126" s="93"/>
      <c r="D126" s="93"/>
      <c r="E126" s="94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</row>
    <row r="127" spans="2:138" s="18" customFormat="1" ht="30.75" thickBot="1" x14ac:dyDescent="0.25">
      <c r="B127" s="39" t="s">
        <v>54</v>
      </c>
      <c r="C127" s="40" t="s">
        <v>135</v>
      </c>
      <c r="D127" s="35" t="s">
        <v>2</v>
      </c>
      <c r="E127" s="41">
        <f>1512.5*7</f>
        <v>10587.5</v>
      </c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</row>
    <row r="128" spans="2:138" s="18" customFormat="1" ht="30.75" thickBot="1" x14ac:dyDescent="0.25">
      <c r="B128" s="58" t="s">
        <v>55</v>
      </c>
      <c r="C128" s="40" t="s">
        <v>136</v>
      </c>
      <c r="D128" s="35" t="s">
        <v>7</v>
      </c>
      <c r="E128" s="41">
        <f>254.1*8</f>
        <v>2032.8</v>
      </c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</row>
    <row r="129" spans="2:138" s="18" customFormat="1" ht="30.75" thickBot="1" x14ac:dyDescent="0.25">
      <c r="B129" s="58" t="s">
        <v>128</v>
      </c>
      <c r="C129" s="40" t="s">
        <v>27</v>
      </c>
      <c r="D129" s="35" t="s">
        <v>10</v>
      </c>
      <c r="E129" s="41">
        <f>1210</f>
        <v>1210</v>
      </c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</row>
    <row r="130" spans="2:138" s="18" customFormat="1" ht="30.75" thickBot="1" x14ac:dyDescent="0.25">
      <c r="B130" s="39" t="s">
        <v>130</v>
      </c>
      <c r="C130" s="40" t="s">
        <v>129</v>
      </c>
      <c r="D130" s="35" t="s">
        <v>3</v>
      </c>
      <c r="E130" s="41">
        <f>834.9</f>
        <v>834.9</v>
      </c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</row>
    <row r="131" spans="2:138" s="18" customFormat="1" ht="30.75" thickBot="1" x14ac:dyDescent="0.25">
      <c r="B131" s="39" t="s">
        <v>11</v>
      </c>
      <c r="C131" s="40" t="s">
        <v>132</v>
      </c>
      <c r="D131" s="35" t="s">
        <v>7</v>
      </c>
      <c r="E131" s="41">
        <f>2420</f>
        <v>2420</v>
      </c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</row>
    <row r="132" spans="2:138" s="18" customFormat="1" ht="30.75" thickBot="1" x14ac:dyDescent="0.25">
      <c r="B132" s="39" t="s">
        <v>133</v>
      </c>
      <c r="C132" s="40" t="s">
        <v>134</v>
      </c>
      <c r="D132" s="35" t="s">
        <v>2</v>
      </c>
      <c r="E132" s="41">
        <f>7260</f>
        <v>7260</v>
      </c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</row>
    <row r="133" spans="2:138" s="18" customFormat="1" ht="30.75" thickBot="1" x14ac:dyDescent="0.25">
      <c r="B133" s="39" t="s">
        <v>137</v>
      </c>
      <c r="C133" s="40" t="s">
        <v>23</v>
      </c>
      <c r="D133" s="35" t="s">
        <v>3</v>
      </c>
      <c r="E133" s="41">
        <f>3025</f>
        <v>3025</v>
      </c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</row>
    <row r="134" spans="2:138" s="18" customFormat="1" ht="30.75" thickBot="1" x14ac:dyDescent="0.25">
      <c r="B134" s="39" t="s">
        <v>153</v>
      </c>
      <c r="C134" s="40" t="s">
        <v>138</v>
      </c>
      <c r="D134" s="35" t="s">
        <v>154</v>
      </c>
      <c r="E134" s="41">
        <f>822.8</f>
        <v>822.8</v>
      </c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</row>
    <row r="135" spans="2:138" s="18" customFormat="1" ht="30.75" thickBot="1" x14ac:dyDescent="0.25">
      <c r="B135" s="39" t="s">
        <v>140</v>
      </c>
      <c r="C135" s="40" t="s">
        <v>139</v>
      </c>
      <c r="D135" s="35" t="s">
        <v>7</v>
      </c>
      <c r="E135" s="41">
        <f>1089</f>
        <v>1089</v>
      </c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</row>
    <row r="136" spans="2:138" s="18" customFormat="1" ht="30.75" thickBot="1" x14ac:dyDescent="0.25">
      <c r="B136" s="39" t="s">
        <v>141</v>
      </c>
      <c r="C136" s="40" t="s">
        <v>23</v>
      </c>
      <c r="D136" s="35" t="s">
        <v>3</v>
      </c>
      <c r="E136" s="41">
        <f>2210.48</f>
        <v>2210.48</v>
      </c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</row>
    <row r="137" spans="2:138" s="18" customFormat="1" ht="30.75" thickBot="1" x14ac:dyDescent="0.25">
      <c r="B137" s="121" t="s">
        <v>143</v>
      </c>
      <c r="C137" s="51" t="s">
        <v>64</v>
      </c>
      <c r="D137" s="31" t="s">
        <v>2</v>
      </c>
      <c r="E137" s="57">
        <f>1694</f>
        <v>1694</v>
      </c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</row>
    <row r="138" spans="2:138" s="18" customFormat="1" ht="30.75" thickBot="1" x14ac:dyDescent="0.25">
      <c r="B138" s="121"/>
      <c r="C138" s="28" t="s">
        <v>43</v>
      </c>
      <c r="D138" s="29" t="s">
        <v>2</v>
      </c>
      <c r="E138" s="41">
        <f>2202.2</f>
        <v>2202.1999999999998</v>
      </c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</row>
    <row r="139" spans="2:138" s="18" customFormat="1" ht="30.75" thickBot="1" x14ac:dyDescent="0.25">
      <c r="B139" s="122"/>
      <c r="C139" s="59" t="s">
        <v>42</v>
      </c>
      <c r="D139" s="60" t="s">
        <v>2</v>
      </c>
      <c r="E139" s="46">
        <f>4065.6</f>
        <v>4065.6</v>
      </c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</row>
    <row r="140" spans="2:138" s="37" customFormat="1" ht="30.75" thickBot="1" x14ac:dyDescent="0.25">
      <c r="B140" s="45" t="s">
        <v>144</v>
      </c>
      <c r="C140" s="87" t="s">
        <v>145</v>
      </c>
      <c r="D140" s="88" t="s">
        <v>146</v>
      </c>
      <c r="E140" s="41">
        <f>871.2</f>
        <v>871.2</v>
      </c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</row>
    <row r="141" spans="2:138" s="37" customFormat="1" ht="30.75" thickBot="1" x14ac:dyDescent="0.25">
      <c r="B141" s="123" t="s">
        <v>151</v>
      </c>
      <c r="C141" s="44" t="s">
        <v>134</v>
      </c>
      <c r="D141" s="61" t="s">
        <v>2</v>
      </c>
      <c r="E141" s="57">
        <f>7090.24</f>
        <v>7090.24</v>
      </c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</row>
    <row r="142" spans="2:138" s="18" customFormat="1" ht="30.75" thickBot="1" x14ac:dyDescent="0.25">
      <c r="B142" s="121"/>
      <c r="C142" s="80" t="s">
        <v>64</v>
      </c>
      <c r="D142" s="35" t="s">
        <v>2</v>
      </c>
      <c r="E142" s="41">
        <f>1648.02</f>
        <v>1648.02</v>
      </c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</row>
    <row r="143" spans="2:138" s="18" customFormat="1" ht="30.75" thickBot="1" x14ac:dyDescent="0.25">
      <c r="B143" s="121"/>
      <c r="C143" s="38" t="s">
        <v>43</v>
      </c>
      <c r="D143" s="35" t="s">
        <v>2</v>
      </c>
      <c r="E143" s="41">
        <f>2117.5</f>
        <v>2117.5</v>
      </c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</row>
    <row r="144" spans="2:138" s="18" customFormat="1" ht="30.75" thickBot="1" x14ac:dyDescent="0.25">
      <c r="B144" s="122"/>
      <c r="C144" s="44" t="s">
        <v>42</v>
      </c>
      <c r="D144" s="35" t="s">
        <v>2</v>
      </c>
      <c r="E144" s="46">
        <f>3872</f>
        <v>3872</v>
      </c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</row>
    <row r="145" spans="2:138" ht="15.75" thickBot="1" x14ac:dyDescent="0.25">
      <c r="B145" s="97" t="s">
        <v>0</v>
      </c>
      <c r="C145" s="98"/>
      <c r="D145" s="99"/>
      <c r="E145" s="83">
        <f>SUM(E127:E144)</f>
        <v>55053.239999999983</v>
      </c>
    </row>
    <row r="146" spans="2:138" s="11" customFormat="1" ht="15" customHeight="1" thickBot="1" x14ac:dyDescent="0.25">
      <c r="B146" s="92" t="s">
        <v>81</v>
      </c>
      <c r="C146" s="95"/>
      <c r="D146" s="95"/>
      <c r="E146" s="96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</row>
    <row r="147" spans="2:138" s="18" customFormat="1" ht="32.450000000000003" customHeight="1" thickBot="1" x14ac:dyDescent="0.25">
      <c r="B147" s="19" t="s">
        <v>75</v>
      </c>
      <c r="C147" s="40" t="s">
        <v>26</v>
      </c>
      <c r="D147" s="35" t="s">
        <v>9</v>
      </c>
      <c r="E147" s="21">
        <f>5687</f>
        <v>5687</v>
      </c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</row>
    <row r="148" spans="2:138" s="18" customFormat="1" ht="30.75" thickBot="1" x14ac:dyDescent="0.25">
      <c r="B148" s="47" t="s">
        <v>91</v>
      </c>
      <c r="C148" s="35" t="s">
        <v>93</v>
      </c>
      <c r="D148" s="35" t="s">
        <v>49</v>
      </c>
      <c r="E148" s="68">
        <f>9002.4+9002.4</f>
        <v>18004.8</v>
      </c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</row>
    <row r="149" spans="2:138" s="18" customFormat="1" ht="30.75" thickBot="1" x14ac:dyDescent="0.25">
      <c r="B149" s="85" t="s">
        <v>91</v>
      </c>
      <c r="C149" s="40" t="s">
        <v>131</v>
      </c>
      <c r="D149" s="35" t="s">
        <v>30</v>
      </c>
      <c r="E149" s="41">
        <f>2541</f>
        <v>2541</v>
      </c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</row>
    <row r="150" spans="2:138" s="37" customFormat="1" ht="30.75" thickBot="1" x14ac:dyDescent="0.25">
      <c r="B150" s="108" t="s">
        <v>92</v>
      </c>
      <c r="C150" s="56" t="s">
        <v>23</v>
      </c>
      <c r="D150" s="35" t="s">
        <v>3</v>
      </c>
      <c r="E150" s="68">
        <f>8873.32+22183.29</f>
        <v>31056.61</v>
      </c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</row>
    <row r="151" spans="2:138" s="37" customFormat="1" ht="30.75" thickBot="1" x14ac:dyDescent="0.25">
      <c r="B151" s="110"/>
      <c r="C151" s="56" t="s">
        <v>31</v>
      </c>
      <c r="D151" s="35" t="s">
        <v>49</v>
      </c>
      <c r="E151" s="68">
        <f>4840+12100</f>
        <v>16940</v>
      </c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</row>
    <row r="152" spans="2:138" s="18" customFormat="1" ht="32.450000000000003" customHeight="1" thickBot="1" x14ac:dyDescent="0.25">
      <c r="B152" s="19" t="s">
        <v>147</v>
      </c>
      <c r="C152" s="40" t="s">
        <v>148</v>
      </c>
      <c r="D152" s="35" t="s">
        <v>2</v>
      </c>
      <c r="E152" s="21">
        <f>145.2</f>
        <v>145.19999999999999</v>
      </c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</row>
    <row r="153" spans="2:138" s="18" customFormat="1" ht="32.450000000000003" customHeight="1" thickBot="1" x14ac:dyDescent="0.25">
      <c r="B153" s="47" t="s">
        <v>11</v>
      </c>
      <c r="C153" s="40" t="s">
        <v>149</v>
      </c>
      <c r="D153" s="61" t="s">
        <v>7</v>
      </c>
      <c r="E153" s="21">
        <f>2420</f>
        <v>2420</v>
      </c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</row>
    <row r="154" spans="2:138" ht="15.75" thickBot="1" x14ac:dyDescent="0.25">
      <c r="B154" s="97" t="s">
        <v>0</v>
      </c>
      <c r="C154" s="98"/>
      <c r="D154" s="99"/>
      <c r="E154" s="83">
        <f>SUM(E147:E153)</f>
        <v>76794.61</v>
      </c>
    </row>
    <row r="155" spans="2:138" s="11" customFormat="1" ht="15.75" thickBot="1" x14ac:dyDescent="0.25">
      <c r="B155" s="92" t="s">
        <v>57</v>
      </c>
      <c r="C155" s="93"/>
      <c r="D155" s="93"/>
      <c r="E155" s="94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</row>
    <row r="156" spans="2:138" s="18" customFormat="1" ht="30.75" thickBot="1" x14ac:dyDescent="0.25">
      <c r="B156" s="48" t="s">
        <v>47</v>
      </c>
      <c r="C156" s="59" t="s">
        <v>23</v>
      </c>
      <c r="D156" s="35" t="s">
        <v>3</v>
      </c>
      <c r="E156" s="49">
        <f>8125.45</f>
        <v>8125.45</v>
      </c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</row>
    <row r="157" spans="2:138" s="18" customFormat="1" ht="30.75" thickBot="1" x14ac:dyDescent="0.25">
      <c r="B157" s="48" t="s">
        <v>86</v>
      </c>
      <c r="C157" s="56" t="s">
        <v>23</v>
      </c>
      <c r="D157" s="35" t="s">
        <v>3</v>
      </c>
      <c r="E157" s="49">
        <v>490.29</v>
      </c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</row>
    <row r="158" spans="2:138" s="18" customFormat="1" ht="30.75" thickBot="1" x14ac:dyDescent="0.25">
      <c r="B158" s="48" t="s">
        <v>85</v>
      </c>
      <c r="C158" s="56" t="s">
        <v>23</v>
      </c>
      <c r="D158" s="35" t="s">
        <v>3</v>
      </c>
      <c r="E158" s="49">
        <v>490.29</v>
      </c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</row>
    <row r="159" spans="2:138" s="18" customFormat="1" ht="30.75" thickBot="1" x14ac:dyDescent="0.25">
      <c r="B159" s="48" t="s">
        <v>87</v>
      </c>
      <c r="C159" s="56" t="s">
        <v>23</v>
      </c>
      <c r="D159" s="35" t="s">
        <v>3</v>
      </c>
      <c r="E159" s="49">
        <f>490.29+490.29</f>
        <v>980.58</v>
      </c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</row>
    <row r="160" spans="2:138" s="18" customFormat="1" ht="30.75" thickBot="1" x14ac:dyDescent="0.25">
      <c r="B160" s="48" t="s">
        <v>88</v>
      </c>
      <c r="C160" s="51" t="s">
        <v>23</v>
      </c>
      <c r="D160" s="35" t="s">
        <v>3</v>
      </c>
      <c r="E160" s="49">
        <f>3830.41</f>
        <v>3830.41</v>
      </c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</row>
    <row r="161" spans="2:138" ht="15.75" thickBot="1" x14ac:dyDescent="0.25">
      <c r="B161" s="97" t="s">
        <v>0</v>
      </c>
      <c r="C161" s="98"/>
      <c r="D161" s="99"/>
      <c r="E161" s="83">
        <f>SUM(E156:E160)</f>
        <v>13917.02</v>
      </c>
    </row>
    <row r="162" spans="2:138" s="11" customFormat="1" ht="15.75" thickBot="1" x14ac:dyDescent="0.25">
      <c r="B162" s="92" t="s">
        <v>58</v>
      </c>
      <c r="C162" s="93"/>
      <c r="D162" s="93"/>
      <c r="E162" s="94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</row>
    <row r="163" spans="2:138" s="18" customFormat="1" ht="30.75" thickBot="1" x14ac:dyDescent="0.25">
      <c r="B163" s="119" t="s">
        <v>84</v>
      </c>
      <c r="C163" s="43" t="s">
        <v>5</v>
      </c>
      <c r="D163" s="35" t="s">
        <v>3</v>
      </c>
      <c r="E163" s="21">
        <f>2167.11</f>
        <v>2167.11</v>
      </c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</row>
    <row r="164" spans="2:138" s="18" customFormat="1" ht="30.75" thickBot="1" x14ac:dyDescent="0.25">
      <c r="B164" s="120"/>
      <c r="C164" s="55" t="s">
        <v>4</v>
      </c>
      <c r="D164" s="35" t="s">
        <v>3</v>
      </c>
      <c r="E164" s="21">
        <f>1397.55</f>
        <v>1397.55</v>
      </c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</row>
    <row r="165" spans="2:138" s="18" customFormat="1" ht="30.75" thickBot="1" x14ac:dyDescent="0.25">
      <c r="B165" s="119" t="s">
        <v>94</v>
      </c>
      <c r="C165" s="43" t="s">
        <v>23</v>
      </c>
      <c r="D165" s="35" t="s">
        <v>3</v>
      </c>
      <c r="E165" s="21">
        <v>24200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</row>
    <row r="166" spans="2:138" s="18" customFormat="1" ht="30.75" thickBot="1" x14ac:dyDescent="0.25">
      <c r="B166" s="120"/>
      <c r="C166" s="55" t="s">
        <v>26</v>
      </c>
      <c r="D166" s="35" t="s">
        <v>9</v>
      </c>
      <c r="E166" s="21">
        <v>8470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</row>
    <row r="167" spans="2:138" s="18" customFormat="1" ht="30.75" thickBot="1" x14ac:dyDescent="0.25">
      <c r="B167" s="50" t="s">
        <v>95</v>
      </c>
      <c r="C167" s="40" t="s">
        <v>98</v>
      </c>
      <c r="D167" s="34" t="s">
        <v>49</v>
      </c>
      <c r="E167" s="21">
        <f>880.88</f>
        <v>880.88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</row>
    <row r="168" spans="2:138" s="18" customFormat="1" ht="30.75" thickBot="1" x14ac:dyDescent="0.25">
      <c r="B168" s="50" t="s">
        <v>96</v>
      </c>
      <c r="C168" s="40" t="s">
        <v>26</v>
      </c>
      <c r="D168" s="35" t="s">
        <v>9</v>
      </c>
      <c r="E168" s="21">
        <v>1573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</row>
    <row r="169" spans="2:138" s="18" customFormat="1" ht="30.75" thickBot="1" x14ac:dyDescent="0.25">
      <c r="B169" s="19" t="s">
        <v>97</v>
      </c>
      <c r="C169" s="40" t="s">
        <v>23</v>
      </c>
      <c r="D169" s="35" t="s">
        <v>3</v>
      </c>
      <c r="E169" s="21">
        <v>19360</v>
      </c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</row>
    <row r="170" spans="2:138" s="18" customFormat="1" ht="30.75" thickBot="1" x14ac:dyDescent="0.25">
      <c r="B170" s="19" t="s">
        <v>99</v>
      </c>
      <c r="C170" s="40" t="s">
        <v>23</v>
      </c>
      <c r="D170" s="35" t="s">
        <v>3</v>
      </c>
      <c r="E170" s="21">
        <f>17424</f>
        <v>17424</v>
      </c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</row>
    <row r="171" spans="2:138" s="18" customFormat="1" ht="30.75" thickBot="1" x14ac:dyDescent="0.25">
      <c r="B171" s="81" t="s">
        <v>11</v>
      </c>
      <c r="C171" s="40" t="s">
        <v>23</v>
      </c>
      <c r="D171" s="35" t="s">
        <v>3</v>
      </c>
      <c r="E171" s="21">
        <f>1558.48</f>
        <v>1558.48</v>
      </c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</row>
    <row r="172" spans="2:138" ht="13.9" customHeight="1" thickBot="1" x14ac:dyDescent="0.25">
      <c r="B172" s="97" t="s">
        <v>0</v>
      </c>
      <c r="C172" s="98"/>
      <c r="D172" s="99"/>
      <c r="E172" s="83">
        <f>SUM(E163:E171)</f>
        <v>77031.02</v>
      </c>
    </row>
    <row r="173" spans="2:138" ht="13.9" customHeight="1" thickBot="1" x14ac:dyDescent="0.25">
      <c r="B173" s="92" t="s">
        <v>76</v>
      </c>
      <c r="C173" s="93"/>
      <c r="D173" s="93"/>
      <c r="E173" s="94"/>
    </row>
    <row r="174" spans="2:138" s="37" customFormat="1" ht="30.75" thickBot="1" x14ac:dyDescent="0.25">
      <c r="B174" s="39" t="s">
        <v>77</v>
      </c>
      <c r="C174" s="20" t="s">
        <v>26</v>
      </c>
      <c r="D174" s="35" t="s">
        <v>9</v>
      </c>
      <c r="E174" s="21">
        <f>6050</f>
        <v>6050</v>
      </c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</row>
    <row r="175" spans="2:138" ht="13.9" customHeight="1" thickBot="1" x14ac:dyDescent="0.25">
      <c r="B175" s="97" t="s">
        <v>0</v>
      </c>
      <c r="C175" s="98"/>
      <c r="D175" s="99"/>
      <c r="E175" s="83">
        <f>SUM(E174)</f>
        <v>6050</v>
      </c>
    </row>
    <row r="176" spans="2:138" ht="26.45" customHeight="1" thickBot="1" x14ac:dyDescent="0.25">
      <c r="B176" s="89" t="s">
        <v>0</v>
      </c>
      <c r="C176" s="90"/>
      <c r="D176" s="91" t="s">
        <v>0</v>
      </c>
      <c r="E176" s="84">
        <f>SUM(E175,E172,E161,E154,E145,E125,E112,E107)</f>
        <v>707357.9436</v>
      </c>
    </row>
    <row r="186" spans="4:4" x14ac:dyDescent="0.2">
      <c r="D186" s="82"/>
    </row>
    <row r="208" spans="4:4" x14ac:dyDescent="0.2">
      <c r="D208" s="4"/>
    </row>
  </sheetData>
  <customSheetViews>
    <customSheetView guid="{DA42C2D2-95CF-45F8-81A4-7A70513DE9E8}" scale="75" showPageBreaks="1" showRuler="0">
      <selection activeCell="E13" sqref="E13"/>
      <pageMargins left="0.39" right="0.34" top="0.28999999999999998" bottom="0.65" header="0.27" footer="0.34"/>
      <pageSetup paperSize="9" orientation="landscape" r:id="rId1"/>
      <headerFooter alignWithMargins="0"/>
    </customSheetView>
  </customSheetViews>
  <mergeCells count="32">
    <mergeCell ref="B120:B121"/>
    <mergeCell ref="B109:B111"/>
    <mergeCell ref="B150:B151"/>
    <mergeCell ref="B165:B166"/>
    <mergeCell ref="B163:B164"/>
    <mergeCell ref="B137:B139"/>
    <mergeCell ref="B141:B144"/>
    <mergeCell ref="B2:E2"/>
    <mergeCell ref="B6:E6"/>
    <mergeCell ref="B4:E4"/>
    <mergeCell ref="B107:D107"/>
    <mergeCell ref="B7:B28"/>
    <mergeCell ref="B29:B36"/>
    <mergeCell ref="B37:B40"/>
    <mergeCell ref="B41:B54"/>
    <mergeCell ref="B55:B106"/>
    <mergeCell ref="B176:D176"/>
    <mergeCell ref="B114:E114"/>
    <mergeCell ref="B108:E108"/>
    <mergeCell ref="B125:D125"/>
    <mergeCell ref="B113:E113"/>
    <mergeCell ref="B172:D172"/>
    <mergeCell ref="B154:D154"/>
    <mergeCell ref="B155:E155"/>
    <mergeCell ref="B161:D161"/>
    <mergeCell ref="B126:E126"/>
    <mergeCell ref="B145:D145"/>
    <mergeCell ref="B146:E146"/>
    <mergeCell ref="B162:E162"/>
    <mergeCell ref="B173:E173"/>
    <mergeCell ref="B112:D112"/>
    <mergeCell ref="B175:D175"/>
  </mergeCells>
  <phoneticPr fontId="2" type="noConversion"/>
  <pageMargins left="0.19685039370078741" right="0.19685039370078741" top="0.19685039370078741" bottom="0.19685039370078741" header="0.27559055118110237" footer="0.35433070866141736"/>
  <pageSetup paperSize="8" scale="53" orientation="landscape" r:id="rId2"/>
  <headerFooter alignWithMargins="0">
    <oddFooter>&amp;L&amp;P</oddFooter>
  </headerFooter>
  <rowBreaks count="2" manualBreakCount="2">
    <brk id="54" min="1" max="4" man="1"/>
    <brk id="112" min="1" max="4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Gastuak uztaila-abendua 2019</vt:lpstr>
      <vt:lpstr>'Gastuak uztaila-abendua 2019'!Área_de_impresión</vt:lpstr>
    </vt:vector>
  </TitlesOfParts>
  <Company>IZFE,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IZFE</dc:creator>
  <cp:lastModifiedBy>IRAOLA MAEZTU, Konsuelo</cp:lastModifiedBy>
  <cp:lastPrinted>2020-03-09T13:41:13Z</cp:lastPrinted>
  <dcterms:created xsi:type="dcterms:W3CDTF">2014-03-06T10:06:19Z</dcterms:created>
  <dcterms:modified xsi:type="dcterms:W3CDTF">2020-05-05T08:52:24Z</dcterms:modified>
</cp:coreProperties>
</file>