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https://aggiemailusu-my.sharepoint.com/personal/jairus_anderson_aggiemail_usu_edu/Documents/Fall 2020/Water Resources System Analysis/Semester Project/Final Report/"/>
    </mc:Choice>
  </mc:AlternateContent>
  <xr:revisionPtr revIDLastSave="10" documentId="8_{C28E2FFD-7843-428F-827D-D69536038A56}" xr6:coauthVersionLast="36" xr6:coauthVersionMax="36" xr10:uidLastSave="{CD0CAC83-4FFD-49CF-AD8B-719080EE2FE2}"/>
  <bookViews>
    <workbookView xWindow="0" yWindow="0" windowWidth="24000" windowHeight="8835" activeTab="4" xr2:uid="{00000000-000D-0000-FFFF-FFFF00000000}"/>
  </bookViews>
  <sheets>
    <sheet name="Excel Solver-$50,000 " sheetId="14" r:id="rId1"/>
    <sheet name="Excel Solver-$75,000" sheetId="11" state="hidden" r:id="rId2"/>
    <sheet name="Excel Solver-$100,000" sheetId="5" r:id="rId3"/>
    <sheet name="Excel Solver-$150,000" sheetId="12" state="hidden" r:id="rId4"/>
    <sheet name="Excel Solver-$300,000" sheetId="13" r:id="rId5"/>
    <sheet name="Excel Solver-$500,000 (2)" sheetId="15" state="hidden" r:id="rId6"/>
    <sheet name="Excel Solver-Goal seek-Marketin" sheetId="16" r:id="rId7"/>
    <sheet name="Excel Solver-Goal seek-Irr." sheetId="17" r:id="rId8"/>
  </sheets>
  <definedNames>
    <definedName name="solver_adj" localSheetId="2" hidden="1">'Excel Solver-$100,000'!$B$21:$C$21</definedName>
    <definedName name="solver_adj" localSheetId="3" hidden="1">'Excel Solver-$150,000'!$B$21:$C$21</definedName>
    <definedName name="solver_adj" localSheetId="4" hidden="1">'Excel Solver-$300,000'!$B$21:$C$21</definedName>
    <definedName name="solver_adj" localSheetId="0" hidden="1">'Excel Solver-$50,000 '!$B$21:$C$21</definedName>
    <definedName name="solver_adj" localSheetId="5" hidden="1">'Excel Solver-$500,000 (2)'!$B$21:$C$21</definedName>
    <definedName name="solver_adj" localSheetId="1" hidden="1">'Excel Solver-$75,000'!$B$21:$C$21</definedName>
    <definedName name="solver_adj" localSheetId="7" hidden="1">'Excel Solver-Goal seek-Irr.'!$B$21:$C$21</definedName>
    <definedName name="solver_adj" localSheetId="6" hidden="1">'Excel Solver-Goal seek-Marketin'!$B$21:$C$21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cvg" localSheetId="7" hidden="1">0.0001</definedName>
    <definedName name="solver_cvg" localSheetId="6" hidden="1">0.0001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0" hidden="1">2</definedName>
    <definedName name="solver_drv" localSheetId="5" hidden="1">2</definedName>
    <definedName name="solver_drv" localSheetId="1" hidden="1">2</definedName>
    <definedName name="solver_drv" localSheetId="7" hidden="1">2</definedName>
    <definedName name="solver_drv" localSheetId="6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5" hidden="1">2</definedName>
    <definedName name="solver_eng" localSheetId="1" hidden="1">2</definedName>
    <definedName name="solver_eng" localSheetId="7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est" localSheetId="7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5" hidden="1">2147483647</definedName>
    <definedName name="solver_itr" localSheetId="1" hidden="1">2147483647</definedName>
    <definedName name="solver_itr" localSheetId="7" hidden="1">2147483647</definedName>
    <definedName name="solver_itr" localSheetId="6" hidden="1">2147483647</definedName>
    <definedName name="solver_lhs1" localSheetId="2" hidden="1">'Excel Solver-$100,000'!$D$17</definedName>
    <definedName name="solver_lhs1" localSheetId="3" hidden="1">'Excel Solver-$150,000'!$D$17</definedName>
    <definedName name="solver_lhs1" localSheetId="4" hidden="1">'Excel Solver-$300,000'!$D$17</definedName>
    <definedName name="solver_lhs1" localSheetId="0" hidden="1">'Excel Solver-$50,000 '!$D$17</definedName>
    <definedName name="solver_lhs1" localSheetId="5" hidden="1">'Excel Solver-$500,000 (2)'!$D$17</definedName>
    <definedName name="solver_lhs1" localSheetId="1" hidden="1">'Excel Solver-$75,000'!$D$17</definedName>
    <definedName name="solver_lhs1" localSheetId="7" hidden="1">'Excel Solver-Goal seek-Irr.'!$D$17</definedName>
    <definedName name="solver_lhs1" localSheetId="6" hidden="1">'Excel Solver-Goal seek-Marketin'!$D$17</definedName>
    <definedName name="solver_lhs2" localSheetId="2" hidden="1">'Excel Solver-$100,000'!$D$18</definedName>
    <definedName name="solver_lhs2" localSheetId="3" hidden="1">'Excel Solver-$150,000'!$D$18</definedName>
    <definedName name="solver_lhs2" localSheetId="4" hidden="1">'Excel Solver-$300,000'!$D$18</definedName>
    <definedName name="solver_lhs2" localSheetId="0" hidden="1">'Excel Solver-$50,000 '!$D$18</definedName>
    <definedName name="solver_lhs2" localSheetId="5" hidden="1">'Excel Solver-$500,000 (2)'!$D$18</definedName>
    <definedName name="solver_lhs2" localSheetId="1" hidden="1">'Excel Solver-$75,000'!$D$18</definedName>
    <definedName name="solver_lhs2" localSheetId="7" hidden="1">'Excel Solver-Goal seek-Irr.'!$D$18</definedName>
    <definedName name="solver_lhs2" localSheetId="6" hidden="1">'Excel Solver-Goal seek-Marketin'!$D$18</definedName>
    <definedName name="solver_lhs3" localSheetId="2" hidden="1">'Excel Solver-$100,000'!$D$19</definedName>
    <definedName name="solver_lhs3" localSheetId="3" hidden="1">'Excel Solver-$150,000'!$D$19</definedName>
    <definedName name="solver_lhs3" localSheetId="4" hidden="1">'Excel Solver-$300,000'!$D$19</definedName>
    <definedName name="solver_lhs3" localSheetId="0" hidden="1">'Excel Solver-$50,000 '!$D$19</definedName>
    <definedName name="solver_lhs3" localSheetId="5" hidden="1">'Excel Solver-$500,000 (2)'!$D$19</definedName>
    <definedName name="solver_lhs3" localSheetId="1" hidden="1">'Excel Solver-$75,000'!$D$19</definedName>
    <definedName name="solver_lhs3" localSheetId="7" hidden="1">'Excel Solver-Goal seek-Irr.'!$D$19</definedName>
    <definedName name="solver_lhs3" localSheetId="6" hidden="1">'Excel Solver-Goal seek-Marketin'!$D$19</definedName>
    <definedName name="solver_lhs4" localSheetId="2" hidden="1">'Excel Solver-$100,000'!$D$20</definedName>
    <definedName name="solver_lhs4" localSheetId="3" hidden="1">'Excel Solver-$150,000'!$D$20</definedName>
    <definedName name="solver_lhs4" localSheetId="4" hidden="1">'Excel Solver-$300,000'!$D$20</definedName>
    <definedName name="solver_lhs4" localSheetId="0" hidden="1">'Excel Solver-$50,000 '!$D$20</definedName>
    <definedName name="solver_lhs4" localSheetId="5" hidden="1">'Excel Solver-$500,000 (2)'!$D$20</definedName>
    <definedName name="solver_lhs4" localSheetId="1" hidden="1">'Excel Solver-$75,000'!$D$20</definedName>
    <definedName name="solver_lhs4" localSheetId="7" hidden="1">'Excel Solver-Goal seek-Irr.'!$D$20</definedName>
    <definedName name="solver_lhs4" localSheetId="6" hidden="1">'Excel Solver-Goal seek-Marketin'!$D$20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1" hidden="1">2147483647</definedName>
    <definedName name="solver_mip" localSheetId="7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1" hidden="1">30</definedName>
    <definedName name="solver_mni" localSheetId="7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1" hidden="1">0.075</definedName>
    <definedName name="solver_mrt" localSheetId="7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1" hidden="1">2</definedName>
    <definedName name="solver_msl" localSheetId="7" hidden="1">2</definedName>
    <definedName name="solver_msl" localSheetId="6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1" hidden="1">1</definedName>
    <definedName name="solver_neg" localSheetId="7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1" hidden="1">2147483647</definedName>
    <definedName name="solver_nod" localSheetId="7" hidden="1">2147483647</definedName>
    <definedName name="solver_nod" localSheetId="6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0" hidden="1">4</definedName>
    <definedName name="solver_num" localSheetId="5" hidden="1">4</definedName>
    <definedName name="solver_num" localSheetId="1" hidden="1">4</definedName>
    <definedName name="solver_num" localSheetId="7" hidden="1">4</definedName>
    <definedName name="solver_num" localSheetId="6" hidden="1">4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nwt" localSheetId="7" hidden="1">1</definedName>
    <definedName name="solver_nwt" localSheetId="6" hidden="1">1</definedName>
    <definedName name="solver_opt" localSheetId="2" hidden="1">'Excel Solver-$100,000'!$B$22</definedName>
    <definedName name="solver_opt" localSheetId="3" hidden="1">'Excel Solver-$150,000'!$B$22</definedName>
    <definedName name="solver_opt" localSheetId="4" hidden="1">'Excel Solver-$300,000'!$B$22</definedName>
    <definedName name="solver_opt" localSheetId="0" hidden="1">'Excel Solver-$50,000 '!$B$22</definedName>
    <definedName name="solver_opt" localSheetId="5" hidden="1">'Excel Solver-$500,000 (2)'!$B$22</definedName>
    <definedName name="solver_opt" localSheetId="1" hidden="1">'Excel Solver-$75,000'!$B$22</definedName>
    <definedName name="solver_opt" localSheetId="7" hidden="1">'Excel Solver-Goal seek-Irr.'!$B$22</definedName>
    <definedName name="solver_opt" localSheetId="6" hidden="1">'Excel Solver-Goal seek-Marketin'!$B$22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pre" localSheetId="7" hidden="1">0.000001</definedName>
    <definedName name="solver_pre" localSheetId="6" hidden="1">0.000001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0" hidden="1">2</definedName>
    <definedName name="solver_rbv" localSheetId="5" hidden="1">2</definedName>
    <definedName name="solver_rbv" localSheetId="1" hidden="1">2</definedName>
    <definedName name="solver_rbv" localSheetId="7" hidden="1">2</definedName>
    <definedName name="solver_rbv" localSheetId="6" hidden="1">2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1" localSheetId="5" hidden="1">1</definedName>
    <definedName name="solver_rel1" localSheetId="1" hidden="1">1</definedName>
    <definedName name="solver_rel1" localSheetId="7" hidden="1">1</definedName>
    <definedName name="solver_rel1" localSheetId="6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0" hidden="1">1</definedName>
    <definedName name="solver_rel2" localSheetId="5" hidden="1">1</definedName>
    <definedName name="solver_rel2" localSheetId="1" hidden="1">1</definedName>
    <definedName name="solver_rel2" localSheetId="7" hidden="1">1</definedName>
    <definedName name="solver_rel2" localSheetId="6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0" hidden="1">1</definedName>
    <definedName name="solver_rel3" localSheetId="5" hidden="1">1</definedName>
    <definedName name="solver_rel3" localSheetId="1" hidden="1">1</definedName>
    <definedName name="solver_rel3" localSheetId="7" hidden="1">1</definedName>
    <definedName name="solver_rel3" localSheetId="6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0" hidden="1">1</definedName>
    <definedName name="solver_rel4" localSheetId="5" hidden="1">1</definedName>
    <definedName name="solver_rel4" localSheetId="1" hidden="1">1</definedName>
    <definedName name="solver_rel4" localSheetId="7" hidden="1">1</definedName>
    <definedName name="solver_rel4" localSheetId="6" hidden="1">1</definedName>
    <definedName name="solver_rhs1" localSheetId="2" hidden="1">'Excel Solver-$100,000'!$E$17</definedName>
    <definedName name="solver_rhs1" localSheetId="3" hidden="1">'Excel Solver-$150,000'!$E$17</definedName>
    <definedName name="solver_rhs1" localSheetId="4" hidden="1">'Excel Solver-$300,000'!$E$17</definedName>
    <definedName name="solver_rhs1" localSheetId="0" hidden="1">'Excel Solver-$50,000 '!$E$17</definedName>
    <definedName name="solver_rhs1" localSheetId="5" hidden="1">'Excel Solver-$500,000 (2)'!$E$17</definedName>
    <definedName name="solver_rhs1" localSheetId="1" hidden="1">'Excel Solver-$75,000'!$E$17</definedName>
    <definedName name="solver_rhs1" localSheetId="7" hidden="1">'Excel Solver-Goal seek-Irr.'!$E$17</definedName>
    <definedName name="solver_rhs1" localSheetId="6" hidden="1">'Excel Solver-Goal seek-Marketin'!$E$17</definedName>
    <definedName name="solver_rhs2" localSheetId="2" hidden="1">'Excel Solver-$100,000'!$E$18</definedName>
    <definedName name="solver_rhs2" localSheetId="3" hidden="1">'Excel Solver-$150,000'!$E$18</definedName>
    <definedName name="solver_rhs2" localSheetId="4" hidden="1">'Excel Solver-$300,000'!$E$18</definedName>
    <definedName name="solver_rhs2" localSheetId="0" hidden="1">'Excel Solver-$50,000 '!$E$18</definedName>
    <definedName name="solver_rhs2" localSheetId="5" hidden="1">'Excel Solver-$500,000 (2)'!$E$18</definedName>
    <definedName name="solver_rhs2" localSheetId="1" hidden="1">'Excel Solver-$75,000'!$E$18</definedName>
    <definedName name="solver_rhs2" localSheetId="7" hidden="1">'Excel Solver-Goal seek-Irr.'!$E$18</definedName>
    <definedName name="solver_rhs2" localSheetId="6" hidden="1">'Excel Solver-Goal seek-Marketin'!$E$18</definedName>
    <definedName name="solver_rhs3" localSheetId="2" hidden="1">'Excel Solver-$100,000'!$E$19</definedName>
    <definedName name="solver_rhs3" localSheetId="3" hidden="1">'Excel Solver-$150,000'!$E$19</definedName>
    <definedName name="solver_rhs3" localSheetId="4" hidden="1">'Excel Solver-$300,000'!$E$19</definedName>
    <definedName name="solver_rhs3" localSheetId="0" hidden="1">'Excel Solver-$50,000 '!$E$19</definedName>
    <definedName name="solver_rhs3" localSheetId="5" hidden="1">'Excel Solver-$500,000 (2)'!$E$19</definedName>
    <definedName name="solver_rhs3" localSheetId="1" hidden="1">'Excel Solver-$75,000'!$E$19</definedName>
    <definedName name="solver_rhs3" localSheetId="7" hidden="1">'Excel Solver-Goal seek-Irr.'!$E$19</definedName>
    <definedName name="solver_rhs3" localSheetId="6" hidden="1">'Excel Solver-Goal seek-Marketin'!$E$19</definedName>
    <definedName name="solver_rhs4" localSheetId="2" hidden="1">'Excel Solver-$100,000'!$E$20</definedName>
    <definedName name="solver_rhs4" localSheetId="3" hidden="1">'Excel Solver-$150,000'!$E$20</definedName>
    <definedName name="solver_rhs4" localSheetId="4" hidden="1">'Excel Solver-$300,000'!$E$20</definedName>
    <definedName name="solver_rhs4" localSheetId="0" hidden="1">'Excel Solver-$50,000 '!$E$20</definedName>
    <definedName name="solver_rhs4" localSheetId="5" hidden="1">'Excel Solver-$500,000 (2)'!$E$20</definedName>
    <definedName name="solver_rhs4" localSheetId="1" hidden="1">'Excel Solver-$75,000'!$E$20</definedName>
    <definedName name="solver_rhs4" localSheetId="7" hidden="1">'Excel Solver-Goal seek-Irr.'!$E$20</definedName>
    <definedName name="solver_rhs4" localSheetId="6" hidden="1">'Excel Solver-Goal seek-Marketin'!$E$20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1" hidden="1">2</definedName>
    <definedName name="solver_rlx" localSheetId="7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1" hidden="1">0</definedName>
    <definedName name="solver_rsd" localSheetId="7" hidden="1">0</definedName>
    <definedName name="solver_rsd" localSheetId="6" hidden="1">0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1" hidden="1">2</definedName>
    <definedName name="solver_scl" localSheetId="7" hidden="1">2</definedName>
    <definedName name="solver_scl" localSheetId="6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1" hidden="1">2</definedName>
    <definedName name="solver_sho" localSheetId="7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1" hidden="1">100</definedName>
    <definedName name="solver_ssz" localSheetId="7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5" hidden="1">2147483647</definedName>
    <definedName name="solver_tim" localSheetId="1" hidden="1">2147483647</definedName>
    <definedName name="solver_tim" localSheetId="7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5" hidden="1">0.01</definedName>
    <definedName name="solver_tol" localSheetId="1" hidden="1">0.01</definedName>
    <definedName name="solver_tol" localSheetId="7" hidden="1">0.01</definedName>
    <definedName name="solver_tol" localSheetId="6" hidden="1">0.01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0" hidden="1">1</definedName>
    <definedName name="solver_typ" localSheetId="5" hidden="1">1</definedName>
    <definedName name="solver_typ" localSheetId="1" hidden="1">1</definedName>
    <definedName name="solver_typ" localSheetId="7" hidden="1">1</definedName>
    <definedName name="solver_typ" localSheetId="6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al" localSheetId="7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5" hidden="1">3</definedName>
    <definedName name="solver_ver" localSheetId="1" hidden="1">3</definedName>
    <definedName name="solver_ver" localSheetId="7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4" l="1"/>
  <c r="H10" i="14"/>
  <c r="N26" i="14"/>
  <c r="S5" i="13"/>
  <c r="E19" i="13"/>
  <c r="E19" i="12"/>
  <c r="E19" i="11"/>
  <c r="E19" i="14"/>
  <c r="E20" i="11"/>
  <c r="E20" i="14"/>
  <c r="I14" i="14"/>
  <c r="I14" i="16"/>
  <c r="L22" i="17"/>
  <c r="B22" i="17"/>
  <c r="D20" i="17"/>
  <c r="D19" i="17"/>
  <c r="D17" i="17"/>
  <c r="I14" i="17"/>
  <c r="L11" i="17"/>
  <c r="M10" i="17"/>
  <c r="L10" i="17"/>
  <c r="I10" i="17"/>
  <c r="H10" i="17"/>
  <c r="B18" i="17" s="1"/>
  <c r="Q5" i="17"/>
  <c r="M12" i="17" s="1"/>
  <c r="M3" i="17"/>
  <c r="L3" i="17"/>
  <c r="L22" i="16"/>
  <c r="B22" i="16"/>
  <c r="D20" i="16"/>
  <c r="D19" i="16"/>
  <c r="D17" i="16"/>
  <c r="M12" i="16"/>
  <c r="L11" i="16"/>
  <c r="M10" i="16"/>
  <c r="L10" i="16"/>
  <c r="I10" i="16"/>
  <c r="H10" i="16"/>
  <c r="Q5" i="16"/>
  <c r="M11" i="16" s="1"/>
  <c r="M3" i="16"/>
  <c r="Q6" i="16" s="1"/>
  <c r="L12" i="16" s="1"/>
  <c r="C18" i="16" s="1"/>
  <c r="L3" i="16"/>
  <c r="L22" i="15"/>
  <c r="B22" i="15"/>
  <c r="D20" i="15"/>
  <c r="D19" i="15"/>
  <c r="D17" i="15"/>
  <c r="I14" i="15"/>
  <c r="L11" i="15"/>
  <c r="M10" i="15"/>
  <c r="L10" i="15"/>
  <c r="I10" i="15"/>
  <c r="H10" i="15"/>
  <c r="Q5" i="15"/>
  <c r="M12" i="15" s="1"/>
  <c r="M3" i="15"/>
  <c r="L3" i="15"/>
  <c r="I14" i="13"/>
  <c r="I14" i="12"/>
  <c r="H10" i="13"/>
  <c r="I14" i="5"/>
  <c r="I14" i="11"/>
  <c r="L22" i="14"/>
  <c r="B22" i="14"/>
  <c r="D20" i="14"/>
  <c r="D19" i="14"/>
  <c r="D17" i="14"/>
  <c r="L11" i="14"/>
  <c r="M10" i="14"/>
  <c r="L10" i="14"/>
  <c r="I10" i="14"/>
  <c r="Q5" i="14"/>
  <c r="M12" i="14" s="1"/>
  <c r="M3" i="14"/>
  <c r="Q6" i="14" s="1"/>
  <c r="L12" i="14" s="1"/>
  <c r="C18" i="14" s="1"/>
  <c r="L3" i="14"/>
  <c r="L12" i="12"/>
  <c r="H10" i="11"/>
  <c r="L12" i="11"/>
  <c r="Q6" i="11"/>
  <c r="M3" i="11"/>
  <c r="M3" i="5"/>
  <c r="Q6" i="5" s="1"/>
  <c r="M3" i="12"/>
  <c r="Q6" i="12"/>
  <c r="M3" i="13"/>
  <c r="Q6" i="13" s="1"/>
  <c r="L12" i="13" s="1"/>
  <c r="C18" i="13" s="1"/>
  <c r="L3" i="13"/>
  <c r="B22" i="13"/>
  <c r="D20" i="13"/>
  <c r="D19" i="13"/>
  <c r="D17" i="13"/>
  <c r="M12" i="13"/>
  <c r="L11" i="13"/>
  <c r="M10" i="13"/>
  <c r="L10" i="13"/>
  <c r="I10" i="13"/>
  <c r="Q5" i="13"/>
  <c r="M11" i="13" s="1"/>
  <c r="L22" i="12"/>
  <c r="B22" i="12"/>
  <c r="D20" i="12"/>
  <c r="D19" i="12"/>
  <c r="D17" i="12"/>
  <c r="L11" i="12"/>
  <c r="M10" i="12"/>
  <c r="L10" i="12"/>
  <c r="Q5" i="12"/>
  <c r="M12" i="12" s="1"/>
  <c r="L3" i="12"/>
  <c r="L22" i="11"/>
  <c r="B22" i="11"/>
  <c r="D20" i="11"/>
  <c r="D19" i="11"/>
  <c r="D17" i="11"/>
  <c r="L11" i="11"/>
  <c r="M10" i="11"/>
  <c r="L10" i="11"/>
  <c r="Q5" i="11"/>
  <c r="M12" i="11" s="1"/>
  <c r="L3" i="11"/>
  <c r="H10" i="5"/>
  <c r="B18" i="5" s="1"/>
  <c r="D20" i="5"/>
  <c r="D19" i="5"/>
  <c r="L12" i="5" l="1"/>
  <c r="C18" i="5" s="1"/>
  <c r="E19" i="5"/>
  <c r="N11" i="16"/>
  <c r="N11" i="17"/>
  <c r="J10" i="17"/>
  <c r="M11" i="17"/>
  <c r="Q6" i="17"/>
  <c r="M13" i="16"/>
  <c r="J10" i="16"/>
  <c r="B18" i="16"/>
  <c r="D18" i="16" s="1"/>
  <c r="J10" i="15"/>
  <c r="B18" i="15"/>
  <c r="M11" i="15"/>
  <c r="N11" i="15" s="1"/>
  <c r="Q6" i="15"/>
  <c r="M11" i="14"/>
  <c r="N11" i="14" s="1"/>
  <c r="M13" i="12"/>
  <c r="M13" i="13"/>
  <c r="N11" i="13"/>
  <c r="J10" i="13"/>
  <c r="B18" i="13"/>
  <c r="D18" i="13" s="1"/>
  <c r="M11" i="12"/>
  <c r="N11" i="12" s="1"/>
  <c r="H10" i="12"/>
  <c r="C18" i="12"/>
  <c r="I10" i="12"/>
  <c r="M11" i="11"/>
  <c r="N11" i="11" s="1"/>
  <c r="C18" i="11"/>
  <c r="I10" i="11"/>
  <c r="I10" i="5"/>
  <c r="M11" i="5"/>
  <c r="M12" i="5"/>
  <c r="Q5" i="5"/>
  <c r="L12" i="17" l="1"/>
  <c r="C18" i="17" s="1"/>
  <c r="D18" i="17" s="1"/>
  <c r="M13" i="17"/>
  <c r="M13" i="15"/>
  <c r="L12" i="15"/>
  <c r="C18" i="15" s="1"/>
  <c r="D18" i="15" s="1"/>
  <c r="J10" i="14"/>
  <c r="B18" i="14"/>
  <c r="D18" i="14" s="1"/>
  <c r="B18" i="12"/>
  <c r="D18" i="12" s="1"/>
  <c r="J10" i="12"/>
  <c r="B18" i="11"/>
  <c r="D18" i="11" s="1"/>
  <c r="J10" i="11"/>
  <c r="M13" i="5"/>
  <c r="L22" i="5"/>
  <c r="L11" i="5"/>
  <c r="J10" i="5"/>
  <c r="L3" i="5"/>
  <c r="M10" i="5"/>
  <c r="L10" i="5"/>
  <c r="B22" i="5"/>
  <c r="N11" i="5" l="1"/>
  <c r="D18" i="5" l="1"/>
  <c r="D17" i="5"/>
</calcChain>
</file>

<file path=xl/sharedStrings.xml><?xml version="1.0" encoding="utf-8"?>
<sst xmlns="http://schemas.openxmlformats.org/spreadsheetml/2006/main" count="477" uniqueCount="57">
  <si>
    <t>Item</t>
  </si>
  <si>
    <t>1. Set up the problem data in Table Form</t>
  </si>
  <si>
    <t>Objective function value ($)</t>
  </si>
  <si>
    <t>(initial start point)</t>
  </si>
  <si>
    <t>3. Enter problem data into Solver</t>
  </si>
  <si>
    <r>
      <t xml:space="preserve">    A. For </t>
    </r>
    <r>
      <rPr>
        <b/>
        <sz val="11"/>
        <color theme="1"/>
        <rFont val="Calibri"/>
        <family val="2"/>
        <scheme val="minor"/>
      </rPr>
      <t>Set Objective</t>
    </r>
    <r>
      <rPr>
        <sz val="11"/>
        <color theme="1"/>
        <rFont val="Calibri"/>
        <family val="2"/>
        <scheme val="minor"/>
      </rPr>
      <t>, enter cell with objective function value (B17)</t>
    </r>
  </si>
  <si>
    <r>
      <t xml:space="preserve">    B. Set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to the desired direction (Max)</t>
    </r>
  </si>
  <si>
    <r>
      <t xml:space="preserve">    C. Enter range for cells with decision variable values in </t>
    </r>
    <r>
      <rPr>
        <b/>
        <sz val="11"/>
        <color theme="1"/>
        <rFont val="Calibri"/>
        <family val="2"/>
        <scheme val="minor"/>
      </rPr>
      <t>By Changing Variable Cells</t>
    </r>
    <r>
      <rPr>
        <sz val="11"/>
        <color theme="1"/>
        <rFont val="Calibri"/>
        <family val="2"/>
        <scheme val="minor"/>
      </rPr>
      <t>:</t>
    </r>
  </si>
  <si>
    <r>
      <t xml:space="preserve">    D. Under </t>
    </r>
    <r>
      <rPr>
        <b/>
        <sz val="11"/>
        <color theme="1"/>
        <rFont val="Calibri"/>
        <family val="2"/>
        <scheme val="minor"/>
      </rPr>
      <t>Subject to the Contraints</t>
    </r>
    <r>
      <rPr>
        <sz val="11"/>
        <color theme="1"/>
        <rFont val="Calibri"/>
        <family val="2"/>
        <scheme val="minor"/>
      </rPr>
      <t xml:space="preserve">, click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and enter cells with left- and right-hand side values</t>
    </r>
  </si>
  <si>
    <r>
      <t xml:space="preserve">    E. Leave </t>
    </r>
    <r>
      <rPr>
        <b/>
        <sz val="11"/>
        <color theme="1"/>
        <rFont val="Calibri"/>
        <family val="2"/>
        <scheme val="minor"/>
      </rPr>
      <t>Make unconstrained variables non-negative</t>
    </r>
    <r>
      <rPr>
        <sz val="11"/>
        <color theme="1"/>
        <rFont val="Calibri"/>
        <family val="2"/>
        <scheme val="minor"/>
      </rPr>
      <t xml:space="preserve"> checked (why?)</t>
    </r>
  </si>
  <si>
    <r>
      <t xml:space="preserve">    F. Set </t>
    </r>
    <r>
      <rPr>
        <b/>
        <sz val="11"/>
        <color theme="1"/>
        <rFont val="Calibri"/>
        <family val="2"/>
        <scheme val="minor"/>
      </rPr>
      <t>Select a Solving Method</t>
    </r>
    <r>
      <rPr>
        <sz val="11"/>
        <color theme="1"/>
        <rFont val="Calibri"/>
        <family val="2"/>
        <scheme val="minor"/>
      </rPr>
      <t xml:space="preserve"> to the appropriate method (Simplex LP)</t>
    </r>
  </si>
  <si>
    <r>
      <t xml:space="preserve">    G. Click </t>
    </r>
    <r>
      <rPr>
        <b/>
        <sz val="11"/>
        <color theme="1"/>
        <rFont val="Calibri"/>
        <family val="2"/>
        <scheme val="minor"/>
      </rPr>
      <t>Solve</t>
    </r>
  </si>
  <si>
    <r>
      <t xml:space="preserve">    F. In the </t>
    </r>
    <r>
      <rPr>
        <b/>
        <sz val="11"/>
        <color theme="1"/>
        <rFont val="Calibri"/>
        <family val="2"/>
        <scheme val="minor"/>
      </rPr>
      <t>Solver Results</t>
    </r>
    <r>
      <rPr>
        <sz val="11"/>
        <color theme="1"/>
        <rFont val="Calibri"/>
        <family val="2"/>
        <scheme val="minor"/>
      </rPr>
      <t xml:space="preserve"> window, under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, select </t>
    </r>
    <r>
      <rPr>
        <i/>
        <sz val="11"/>
        <color theme="1"/>
        <rFont val="Calibri"/>
        <family val="2"/>
        <scheme val="minor"/>
      </rPr>
      <t>Answer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Sensitivity</t>
    </r>
    <r>
      <rPr>
        <sz val="11"/>
        <color theme="1"/>
        <rFont val="Calibri"/>
        <family val="2"/>
        <scheme val="minor"/>
      </rPr>
      <t xml:space="preserve">. Then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</si>
  <si>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4. Interpret results</t>
  </si>
  <si>
    <t>b (RHS)</t>
  </si>
  <si>
    <t>Problem Formulation</t>
  </si>
  <si>
    <r>
      <t>S.T.    1000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+ 2000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 xml:space="preserve"> &lt;= 4,000,000    (gal water)</t>
    </r>
  </si>
  <si>
    <r>
      <t xml:space="preserve">                 4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+ 3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>&lt;= 12,000   (sq ft land)</t>
    </r>
  </si>
  <si>
    <r>
      <t xml:space="preserve">                 5 X</t>
    </r>
    <r>
      <rPr>
        <vertAlign val="subscript"/>
        <sz val="12"/>
        <color theme="1"/>
        <rFont val="Times New Roman"/>
        <family val="1"/>
      </rPr>
      <t>egg</t>
    </r>
    <r>
      <rPr>
        <sz val="12"/>
        <color theme="1"/>
        <rFont val="Times New Roman"/>
        <family val="1"/>
      </rPr>
      <t xml:space="preserve"> + 2.5 X</t>
    </r>
    <r>
      <rPr>
        <vertAlign val="subscript"/>
        <sz val="12"/>
        <color theme="1"/>
        <rFont val="Times New Roman"/>
        <family val="1"/>
      </rPr>
      <t>tom</t>
    </r>
    <r>
      <rPr>
        <sz val="12"/>
        <color theme="1"/>
        <rFont val="Times New Roman"/>
        <family val="1"/>
      </rPr>
      <t xml:space="preserve"> &lt;= 17,500   (hours labor)</t>
    </r>
  </si>
  <si>
    <t xml:space="preserve">    A. What is the optimal objective function value? (HINT: look in the cell you specified in Step 3A)</t>
  </si>
  <si>
    <t xml:space="preserve">    B. What are the optimal decision variable values? (HINT: look in the cells you specified in Step 3C)</t>
  </si>
  <si>
    <t>Example 2. Use Excel to solve Tomato-Eggplant Problem with an additional Labor Constraint</t>
  </si>
  <si>
    <t>Enter data valus in orange background cells</t>
  </si>
  <si>
    <t>Enter formulas in grey background cells with orange text</t>
  </si>
  <si>
    <t>Left-Hand Side Value</t>
  </si>
  <si>
    <r>
      <t xml:space="preserve">    D. We will interpret results in the </t>
    </r>
    <r>
      <rPr>
        <i/>
        <sz val="11"/>
        <color theme="1"/>
        <rFont val="Calibri"/>
        <family val="2"/>
        <scheme val="minor"/>
      </rPr>
      <t xml:space="preserve">Sensitivity Report </t>
    </r>
    <r>
      <rPr>
        <sz val="11"/>
        <color theme="1"/>
        <rFont val="Calibri"/>
        <family val="2"/>
        <scheme val="minor"/>
      </rPr>
      <t>in class</t>
    </r>
  </si>
  <si>
    <r>
      <t xml:space="preserve">    C. On the new </t>
    </r>
    <r>
      <rPr>
        <i/>
        <sz val="11"/>
        <color theme="1"/>
        <rFont val="Calibri"/>
        <family val="2"/>
        <scheme val="minor"/>
      </rPr>
      <t xml:space="preserve">Answer Report </t>
    </r>
    <r>
      <rPr>
        <sz val="11"/>
        <color theme="1"/>
        <rFont val="Calibri"/>
        <family val="2"/>
        <scheme val="minor"/>
      </rPr>
      <t>worksheet, what are the slack values for the constraints? What do these values mean?</t>
    </r>
  </si>
  <si>
    <t>Marketing</t>
  </si>
  <si>
    <t>Irr-Fix</t>
  </si>
  <si>
    <r>
      <t>Max Z = 6X</t>
    </r>
    <r>
      <rPr>
        <vertAlign val="subscript"/>
        <sz val="12"/>
        <color theme="1"/>
        <rFont val="Times New Roman"/>
        <family val="1"/>
      </rPr>
      <t>Rounds</t>
    </r>
    <r>
      <rPr>
        <sz val="12"/>
        <color theme="1"/>
        <rFont val="Times New Roman"/>
        <family val="1"/>
      </rPr>
      <t xml:space="preserve"> + 7 Y</t>
    </r>
    <r>
      <rPr>
        <vertAlign val="subscript"/>
        <sz val="12"/>
        <color theme="1"/>
        <rFont val="Times New Roman"/>
        <family val="1"/>
      </rPr>
      <t>irr-Fix</t>
    </r>
  </si>
  <si>
    <t>X</t>
  </si>
  <si>
    <t>Rounds</t>
  </si>
  <si>
    <t>Y</t>
  </si>
  <si>
    <t>Cost</t>
  </si>
  <si>
    <t>Budget constraint ($/round)</t>
  </si>
  <si>
    <t>Rounds Constraint (round)</t>
  </si>
  <si>
    <t>Objective function coefficient ($/round)</t>
  </si>
  <si>
    <t>Spending$/round</t>
  </si>
  <si>
    <t>Return $/round</t>
  </si>
  <si>
    <t>Irr System</t>
  </si>
  <si>
    <t>Spending $/round</t>
  </si>
  <si>
    <t>return $/round</t>
  </si>
  <si>
    <t>Full golf course</t>
  </si>
  <si>
    <t>Cap</t>
  </si>
  <si>
    <t>Decision variable values (rounds)</t>
  </si>
  <si>
    <t>2016 Rounds Played</t>
  </si>
  <si>
    <t>Rounds Breakeven</t>
  </si>
  <si>
    <t>Rounds limitation</t>
  </si>
  <si>
    <t>Gross</t>
  </si>
  <si>
    <t>net</t>
  </si>
  <si>
    <t>Irrigation</t>
  </si>
  <si>
    <t>Net</t>
  </si>
  <si>
    <t>irrigating</t>
  </si>
  <si>
    <t>Ren/irr constrain(round)</t>
  </si>
  <si>
    <t>Marketing Constraint(round</t>
  </si>
  <si>
    <t>ROI</t>
  </si>
  <si>
    <t>Marketing Constraint(round)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</si>
</sst>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6" fillId="2" borderId="4" applyNumberFormat="0" applyAlignment="0" applyProtection="0"/>
    <xf numFmtId="0" fontId="7" fillId="3" borderId="4" applyNumberFormat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8" fillId="2" borderId="4" xfId="1" applyFont="1"/>
    <xf numFmtId="0" fontId="9" fillId="2" borderId="4" xfId="1" applyFont="1"/>
    <xf numFmtId="3" fontId="7" fillId="3" borderId="4" xfId="2" applyNumberFormat="1" applyAlignment="1">
      <alignment horizontal="center" vertical="center" wrapText="1"/>
    </xf>
    <xf numFmtId="0" fontId="7" fillId="3" borderId="4" xfId="2"/>
    <xf numFmtId="0" fontId="10" fillId="3" borderId="4" xfId="2" applyFo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2" borderId="4" xfId="1" applyFont="1"/>
    <xf numFmtId="43" fontId="1" fillId="0" borderId="0" xfId="3" applyFont="1"/>
    <xf numFmtId="44" fontId="0" fillId="0" borderId="0" xfId="4" applyFont="1"/>
    <xf numFmtId="44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5" applyNumberFormat="1" applyFont="1"/>
    <xf numFmtId="43" fontId="1" fillId="0" borderId="2" xfId="3" applyFont="1" applyBorder="1" applyAlignment="1">
      <alignment horizontal="center"/>
    </xf>
    <xf numFmtId="44" fontId="2" fillId="0" borderId="2" xfId="0" applyNumberFormat="1" applyFont="1" applyBorder="1" applyAlignment="1">
      <alignment horizontal="center" vertical="center" wrapText="1"/>
    </xf>
    <xf numFmtId="43" fontId="0" fillId="0" borderId="0" xfId="3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3" fontId="0" fillId="0" borderId="0" xfId="5" applyNumberFormat="1" applyFont="1"/>
    <xf numFmtId="43" fontId="1" fillId="0" borderId="0" xfId="0" applyNumberFormat="1" applyFont="1"/>
    <xf numFmtId="9" fontId="0" fillId="0" borderId="0" xfId="5" applyFont="1"/>
    <xf numFmtId="10" fontId="0" fillId="0" borderId="0" xfId="5" applyNumberFormat="1" applyFont="1"/>
  </cellXfs>
  <cellStyles count="6">
    <cellStyle name="Calculation" xfId="2" builtinId="22"/>
    <cellStyle name="Comma" xfId="3" builtinId="3"/>
    <cellStyle name="Currency" xfId="4" builtinId="4"/>
    <cellStyle name="Input" xfId="1" builtinId="2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CAB4-D085-48EB-9F66-81B0EED23CFD}">
  <dimension ref="A1:R49"/>
  <sheetViews>
    <sheetView zoomScale="85" zoomScaleNormal="85" workbookViewId="0">
      <selection activeCell="A15" sqref="A15:E22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24">
        <f>L7/L6</f>
        <v>20</v>
      </c>
      <c r="M3" s="30">
        <f>L6/L7</f>
        <v>0.05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3901</v>
      </c>
    </row>
    <row r="6" spans="1:18" s="7" customFormat="1" x14ac:dyDescent="0.25">
      <c r="A6" s="7" t="s">
        <v>15</v>
      </c>
      <c r="L6" s="7">
        <v>50000</v>
      </c>
      <c r="P6" s="7" t="s">
        <v>50</v>
      </c>
      <c r="Q6">
        <f>Q5*M3</f>
        <v>880</v>
      </c>
    </row>
    <row r="7" spans="1:18" x14ac:dyDescent="0.25">
      <c r="C7" t="s">
        <v>30</v>
      </c>
      <c r="D7" t="s">
        <v>31</v>
      </c>
      <c r="G7" t="s">
        <v>33</v>
      </c>
      <c r="H7" s="20">
        <v>50000</v>
      </c>
      <c r="K7" t="s">
        <v>33</v>
      </c>
      <c r="L7" s="19">
        <v>1000000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12.81722635221738</v>
      </c>
      <c r="I10" s="21">
        <f>H7/(($P$3+$R$5))</f>
        <v>1.0438195444771508</v>
      </c>
      <c r="J10" s="21">
        <f>H10-I10</f>
        <v>11.77340680774023</v>
      </c>
      <c r="L10" s="21">
        <f>$L$7/44000</f>
        <v>22.727272727272727</v>
      </c>
      <c r="M10" s="21">
        <f>$L$7/22000</f>
        <v>45.454545454545453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1.1363636363636365</v>
      </c>
      <c r="M11" s="21">
        <f>L6/(($P$3+$Q$5))</f>
        <v>0.81168831168831168</v>
      </c>
      <c r="N11" s="21">
        <f>L11-M11</f>
        <v>0.32467532467532478</v>
      </c>
    </row>
    <row r="12" spans="1:18" ht="18.75" x14ac:dyDescent="0.25">
      <c r="A12" s="1" t="s">
        <v>18</v>
      </c>
      <c r="G12" s="22"/>
      <c r="L12" s="21">
        <f>$L$6/$Q$6</f>
        <v>56.81818181818182</v>
      </c>
      <c r="M12" s="21">
        <f>$L$6/((P3+Q5))</f>
        <v>0.81168831168831168</v>
      </c>
    </row>
    <row r="13" spans="1:18" ht="15.75" x14ac:dyDescent="0.25">
      <c r="A13" s="1"/>
      <c r="M13" s="21"/>
    </row>
    <row r="14" spans="1:18" ht="16.5" thickBot="1" x14ac:dyDescent="0.3">
      <c r="A14" s="8" t="s">
        <v>1</v>
      </c>
      <c r="H14" t="s">
        <v>55</v>
      </c>
      <c r="I14" s="32">
        <f>(B16*R5-H7)/H7</f>
        <v>0.19994760000000009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3901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12.81722635221738</v>
      </c>
      <c r="C18" s="26">
        <f>L12</f>
        <v>56.81818181818182</v>
      </c>
      <c r="D18" s="13">
        <f>SUMPRODUCT(B18:C18,B$21:C$21)</f>
        <v>50000</v>
      </c>
      <c r="E18" s="6">
        <v>50000</v>
      </c>
    </row>
    <row r="19" spans="1:16" ht="15.75" x14ac:dyDescent="0.25">
      <c r="A19" s="3" t="s">
        <v>53</v>
      </c>
      <c r="B19" s="29">
        <v>0</v>
      </c>
      <c r="C19" s="29">
        <v>1</v>
      </c>
      <c r="D19" s="13">
        <f>SUMPRODUCT(B19:C19,B$21:C$21)</f>
        <v>0</v>
      </c>
      <c r="E19" s="6">
        <f>Q6</f>
        <v>880</v>
      </c>
    </row>
    <row r="20" spans="1:16" ht="15.75" x14ac:dyDescent="0.25">
      <c r="A20" s="3" t="s">
        <v>54</v>
      </c>
      <c r="B20" s="29">
        <v>1</v>
      </c>
      <c r="C20" s="29">
        <v>0</v>
      </c>
      <c r="D20" s="13">
        <f>SUMPRODUCT(B20:C20,B$21:C$21)</f>
        <v>3901</v>
      </c>
      <c r="E20" s="6">
        <f>R5</f>
        <v>3901</v>
      </c>
    </row>
    <row r="21" spans="1:16" ht="15.75" x14ac:dyDescent="0.25">
      <c r="A21" s="3" t="s">
        <v>44</v>
      </c>
      <c r="B21" s="2">
        <v>3901</v>
      </c>
      <c r="C21" s="2">
        <v>0</v>
      </c>
      <c r="D21" s="3"/>
      <c r="E21" s="3"/>
    </row>
    <row r="22" spans="1:16" x14ac:dyDescent="0.25">
      <c r="A22" s="9" t="s">
        <v>2</v>
      </c>
      <c r="B22" s="25">
        <f>SUMPRODUCT(B16:C16,B21:C21)</f>
        <v>59997.380000000005</v>
      </c>
      <c r="C22" s="10"/>
      <c r="D22" s="10"/>
      <c r="E22" s="10"/>
      <c r="L22" s="23">
        <f>L7/18</f>
        <v>55555.555555555555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  <c r="N26" s="23">
        <f>M3*100</f>
        <v>5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6" x14ac:dyDescent="0.25">
      <c r="A34" s="11" t="s">
        <v>13</v>
      </c>
    </row>
    <row r="35" spans="1:6" x14ac:dyDescent="0.25">
      <c r="A35" t="s">
        <v>19</v>
      </c>
    </row>
    <row r="36" spans="1:6" x14ac:dyDescent="0.25">
      <c r="A36" t="s">
        <v>20</v>
      </c>
    </row>
    <row r="37" spans="1:6" x14ac:dyDescent="0.25">
      <c r="A37" t="s">
        <v>26</v>
      </c>
    </row>
    <row r="38" spans="1:6" x14ac:dyDescent="0.25">
      <c r="A38" t="s">
        <v>25</v>
      </c>
    </row>
    <row r="42" spans="1:6" x14ac:dyDescent="0.25">
      <c r="F42">
        <v>2</v>
      </c>
    </row>
    <row r="43" spans="1:6" x14ac:dyDescent="0.25">
      <c r="F43">
        <v>10</v>
      </c>
    </row>
    <row r="44" spans="1:6" x14ac:dyDescent="0.25">
      <c r="F44">
        <v>38</v>
      </c>
    </row>
    <row r="45" spans="1:6" x14ac:dyDescent="0.25">
      <c r="F45">
        <v>14</v>
      </c>
    </row>
    <row r="46" spans="1:6" x14ac:dyDescent="0.25">
      <c r="F46">
        <v>12</v>
      </c>
    </row>
    <row r="47" spans="1:6" x14ac:dyDescent="0.25">
      <c r="F47">
        <v>10</v>
      </c>
    </row>
    <row r="48" spans="1:6" x14ac:dyDescent="0.25">
      <c r="F48">
        <v>5</v>
      </c>
    </row>
    <row r="49" spans="6:6" x14ac:dyDescent="0.25">
      <c r="F49">
        <f>SUM(F42:F48)</f>
        <v>91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992C-9F16-4EF1-95CB-AD395559D7BC}">
  <dimension ref="A1:R38"/>
  <sheetViews>
    <sheetView zoomScale="85" zoomScaleNormal="85" workbookViewId="0">
      <selection activeCell="E20" sqref="E20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24">
        <f>L7/L6</f>
        <v>36.666666666666664</v>
      </c>
      <c r="M3" s="30">
        <f>L6/L7</f>
        <v>2.7272727272727271E-2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5851.7555266579911</v>
      </c>
    </row>
    <row r="6" spans="1:18" s="7" customFormat="1" x14ac:dyDescent="0.25">
      <c r="A6" s="7" t="s">
        <v>15</v>
      </c>
      <c r="L6" s="7">
        <v>75000</v>
      </c>
      <c r="P6" s="7" t="s">
        <v>50</v>
      </c>
      <c r="Q6">
        <f>Q5*M3</f>
        <v>480</v>
      </c>
    </row>
    <row r="7" spans="1:18" x14ac:dyDescent="0.25">
      <c r="C7" t="s">
        <v>30</v>
      </c>
      <c r="D7" t="s">
        <v>31</v>
      </c>
      <c r="G7" t="s">
        <v>33</v>
      </c>
      <c r="H7" s="20">
        <v>75000</v>
      </c>
      <c r="K7" t="s">
        <v>33</v>
      </c>
      <c r="L7" s="19">
        <v>2750000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12.816666666666681</v>
      </c>
      <c r="I10" s="21">
        <f>H7/(($P$3+$R$5))</f>
        <v>1.5044605592654428</v>
      </c>
      <c r="J10" s="21">
        <f>H10-I10</f>
        <v>11.312206107401238</v>
      </c>
      <c r="L10" s="21">
        <f>$L$7/44000</f>
        <v>62.5</v>
      </c>
      <c r="M10" s="21">
        <f>$L$7/22000</f>
        <v>125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1.7045454545454546</v>
      </c>
      <c r="M11" s="21">
        <f>L6/(($P$3+$Q$5))</f>
        <v>1.2175324675324675</v>
      </c>
      <c r="N11" s="21">
        <f>L11-M11</f>
        <v>0.48701298701298712</v>
      </c>
    </row>
    <row r="12" spans="1:18" ht="18.75" x14ac:dyDescent="0.25">
      <c r="A12" s="1" t="s">
        <v>18</v>
      </c>
      <c r="G12" s="22"/>
      <c r="L12" s="21">
        <f>$L$6/$Q$6</f>
        <v>156.25</v>
      </c>
      <c r="M12" s="21">
        <f>$L$6/((P3+Q5))</f>
        <v>1.2175324675324675</v>
      </c>
    </row>
    <row r="13" spans="1:18" ht="15.75" x14ac:dyDescent="0.25">
      <c r="A13" s="1"/>
      <c r="M13" s="21"/>
    </row>
    <row r="14" spans="1:18" ht="16.5" thickBot="1" x14ac:dyDescent="0.3">
      <c r="A14" s="8" t="s">
        <v>1</v>
      </c>
      <c r="H14" t="s">
        <v>55</v>
      </c>
      <c r="I14" s="32">
        <f>(B16*R5-H7)/H7</f>
        <v>0.19999999999999885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5851.7555266579911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12.816666666666681</v>
      </c>
      <c r="C18" s="26">
        <f>L12</f>
        <v>156.25</v>
      </c>
      <c r="D18" s="13">
        <f>SUMPRODUCT(B18:C18,B$21:C$21)</f>
        <v>75000</v>
      </c>
      <c r="E18" s="6">
        <v>75000</v>
      </c>
    </row>
    <row r="19" spans="1:16" ht="15.75" x14ac:dyDescent="0.25">
      <c r="A19" s="3" t="s">
        <v>53</v>
      </c>
      <c r="B19" s="29">
        <v>0</v>
      </c>
      <c r="C19" s="29">
        <v>1</v>
      </c>
      <c r="D19" s="13">
        <f>SUMPRODUCT(B19:C19,B$21:C$21)</f>
        <v>0</v>
      </c>
      <c r="E19" s="6">
        <f>Q6</f>
        <v>480</v>
      </c>
    </row>
    <row r="20" spans="1:16" ht="15.75" x14ac:dyDescent="0.25">
      <c r="A20" s="3" t="s">
        <v>54</v>
      </c>
      <c r="B20" s="29">
        <v>1</v>
      </c>
      <c r="C20" s="29">
        <v>0</v>
      </c>
      <c r="D20" s="13">
        <f>SUMPRODUCT(B20:C20,B$21:C$21)</f>
        <v>5851.7555266579911</v>
      </c>
      <c r="E20" s="6">
        <f>R5</f>
        <v>5851.7555266579911</v>
      </c>
    </row>
    <row r="21" spans="1:16" ht="15.75" x14ac:dyDescent="0.25">
      <c r="A21" s="3" t="s">
        <v>44</v>
      </c>
      <c r="B21" s="2">
        <v>5851.7555266579911</v>
      </c>
      <c r="C21" s="2">
        <v>0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89999.999999999913</v>
      </c>
      <c r="C22" s="10"/>
      <c r="D22" s="10"/>
      <c r="E22" s="10"/>
      <c r="L22" s="23">
        <f>L7/18</f>
        <v>152777.77777777778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zoomScale="85" zoomScaleNormal="85" workbookViewId="0">
      <selection activeCell="A15" sqref="A15:E22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24">
        <f>L7/L6</f>
        <v>10</v>
      </c>
      <c r="M3" s="30">
        <f>L6/L7</f>
        <v>0.1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7802.3407022106612</v>
      </c>
    </row>
    <row r="6" spans="1:18" s="7" customFormat="1" x14ac:dyDescent="0.25">
      <c r="A6" s="7" t="s">
        <v>15</v>
      </c>
      <c r="L6" s="7">
        <v>100000</v>
      </c>
      <c r="P6" s="7" t="s">
        <v>50</v>
      </c>
      <c r="Q6">
        <f>Q5*M3</f>
        <v>1760</v>
      </c>
    </row>
    <row r="7" spans="1:18" x14ac:dyDescent="0.25">
      <c r="C7" t="s">
        <v>30</v>
      </c>
      <c r="D7" t="s">
        <v>31</v>
      </c>
      <c r="G7" t="s">
        <v>33</v>
      </c>
      <c r="H7" s="20">
        <v>100000</v>
      </c>
      <c r="K7" t="s">
        <v>33</v>
      </c>
      <c r="L7" s="19">
        <v>1000000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12.81666666666667</v>
      </c>
      <c r="I10" s="21">
        <f>H7/(($P$3+$R$5))</f>
        <v>1.9304147002711116</v>
      </c>
      <c r="J10" s="21">
        <f>H10-I10</f>
        <v>10.886251966395559</v>
      </c>
      <c r="L10" s="21">
        <f>$L$7/44000</f>
        <v>22.727272727272727</v>
      </c>
      <c r="M10" s="21">
        <f>$L$7/22000</f>
        <v>45.454545454545453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2.2727272727272729</v>
      </c>
      <c r="M11" s="21">
        <f>L6/(($P$3+$Q$5))</f>
        <v>1.6233766233766234</v>
      </c>
      <c r="N11" s="21">
        <f>L11-M11</f>
        <v>0.64935064935064957</v>
      </c>
    </row>
    <row r="12" spans="1:18" ht="18.75" x14ac:dyDescent="0.25">
      <c r="A12" s="1" t="s">
        <v>18</v>
      </c>
      <c r="G12" s="22"/>
      <c r="L12" s="21">
        <f>$L$6/$Q$6</f>
        <v>56.81818181818182</v>
      </c>
      <c r="M12" s="21">
        <f>$L$6/((P3+Q5))</f>
        <v>1.6233766233766234</v>
      </c>
    </row>
    <row r="13" spans="1:18" ht="15.75" x14ac:dyDescent="0.25">
      <c r="A13" s="1"/>
      <c r="M13" s="21">
        <f>$L$6/($Q$6)</f>
        <v>56.81818181818182</v>
      </c>
    </row>
    <row r="14" spans="1:18" ht="16.5" thickBot="1" x14ac:dyDescent="0.3">
      <c r="A14" s="8" t="s">
        <v>1</v>
      </c>
      <c r="H14" t="s">
        <v>55</v>
      </c>
      <c r="I14" s="32">
        <f>(B16*R5-H7)/H7</f>
        <v>0.19999999999999971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7802.076853333333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12.81666666666667</v>
      </c>
      <c r="C18" s="26">
        <f>L12</f>
        <v>56.81818181818182</v>
      </c>
      <c r="D18" s="13">
        <f>SUMPRODUCT(B18:C18,B$21:C$21)</f>
        <v>100000</v>
      </c>
      <c r="E18" s="6">
        <v>100000</v>
      </c>
    </row>
    <row r="19" spans="1:16" ht="15.75" x14ac:dyDescent="0.25">
      <c r="A19" s="3" t="s">
        <v>53</v>
      </c>
      <c r="B19" s="29"/>
      <c r="C19" s="29">
        <v>1</v>
      </c>
      <c r="D19" s="13">
        <f>SUMPRODUCT(B19:C19,B$21:C$21)</f>
        <v>7.6853333332855253E-2</v>
      </c>
      <c r="E19" s="6">
        <f>Q6</f>
        <v>1760</v>
      </c>
    </row>
    <row r="20" spans="1:16" ht="15.75" x14ac:dyDescent="0.25">
      <c r="A20" s="3" t="s">
        <v>54</v>
      </c>
      <c r="B20" s="29">
        <v>1</v>
      </c>
      <c r="C20" s="29"/>
      <c r="D20" s="13">
        <f>SUMPRODUCT(B20:C20,B$21:C$21)</f>
        <v>7802</v>
      </c>
      <c r="E20" s="6">
        <v>7802</v>
      </c>
    </row>
    <row r="21" spans="1:16" ht="15.75" x14ac:dyDescent="0.25">
      <c r="A21" s="3" t="s">
        <v>44</v>
      </c>
      <c r="B21" s="2">
        <v>7802</v>
      </c>
      <c r="C21" s="2">
        <v>7.6853333332855253E-2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119995.94200426668</v>
      </c>
      <c r="C22" s="10"/>
      <c r="D22" s="10"/>
      <c r="E22" s="10"/>
      <c r="L22" s="23">
        <f>L7/18</f>
        <v>55555.555555555555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DA0A-FFF8-4E79-B8AE-B6E6266C539A}">
  <dimension ref="A1:R38"/>
  <sheetViews>
    <sheetView zoomScale="85" zoomScaleNormal="85" workbookViewId="0">
      <selection activeCell="E20" sqref="E20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24">
        <f>L7/L6</f>
        <v>18.333333333333332</v>
      </c>
      <c r="M3" s="30">
        <f>L6/L7</f>
        <v>5.4545454545454543E-2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11703.511053315993</v>
      </c>
    </row>
    <row r="6" spans="1:18" s="7" customFormat="1" x14ac:dyDescent="0.25">
      <c r="A6" s="7" t="s">
        <v>15</v>
      </c>
      <c r="L6" s="7">
        <v>150000</v>
      </c>
      <c r="P6" s="7" t="s">
        <v>50</v>
      </c>
      <c r="Q6" s="27">
        <f>Q5*M3</f>
        <v>960</v>
      </c>
    </row>
    <row r="7" spans="1:18" x14ac:dyDescent="0.25">
      <c r="C7" t="s">
        <v>30</v>
      </c>
      <c r="D7" t="s">
        <v>31</v>
      </c>
      <c r="G7" t="s">
        <v>33</v>
      </c>
      <c r="H7" s="20">
        <v>150000</v>
      </c>
      <c r="K7" t="s">
        <v>33</v>
      </c>
      <c r="L7" s="19">
        <v>2750000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12.816666666666668</v>
      </c>
      <c r="I10" s="21">
        <f>H7/(($P$3+$R$5))</f>
        <v>2.6928284620412741</v>
      </c>
      <c r="J10" s="21">
        <f>H10-I10</f>
        <v>10.123838204625393</v>
      </c>
      <c r="L10" s="21">
        <f>$L$7/44000</f>
        <v>62.5</v>
      </c>
      <c r="M10" s="21">
        <f>$L$7/22000</f>
        <v>125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3.4090909090909092</v>
      </c>
      <c r="M11" s="21">
        <f>L6/(($P$3+$Q$5))</f>
        <v>2.4350649350649349</v>
      </c>
      <c r="N11" s="21">
        <f>L11-M11</f>
        <v>0.97402597402597424</v>
      </c>
    </row>
    <row r="12" spans="1:18" ht="18.75" x14ac:dyDescent="0.25">
      <c r="A12" s="1" t="s">
        <v>18</v>
      </c>
      <c r="G12" s="22"/>
      <c r="L12" s="21">
        <f>$L$6/$Q$6</f>
        <v>156.25</v>
      </c>
      <c r="M12" s="21">
        <f>$L$6/((P3+Q5))</f>
        <v>2.4350649350649349</v>
      </c>
    </row>
    <row r="13" spans="1:18" ht="15.75" x14ac:dyDescent="0.25">
      <c r="A13" s="1"/>
      <c r="M13" s="21">
        <f>$L$6/($Q$6)</f>
        <v>156.25</v>
      </c>
    </row>
    <row r="14" spans="1:18" ht="16.5" thickBot="1" x14ac:dyDescent="0.3">
      <c r="A14" s="8" t="s">
        <v>1</v>
      </c>
      <c r="H14" t="s">
        <v>55</v>
      </c>
      <c r="I14" s="32">
        <f>(B16*R5-H7)/H7</f>
        <v>0.19999999999999982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11703.04192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12.816666666666668</v>
      </c>
      <c r="C18" s="26">
        <f>L12</f>
        <v>156.25</v>
      </c>
      <c r="D18" s="13">
        <f>SUMPRODUCT(B18:C18,B$21:C$21)</f>
        <v>150000</v>
      </c>
      <c r="E18" s="6">
        <v>150000</v>
      </c>
    </row>
    <row r="19" spans="1:16" ht="15.75" x14ac:dyDescent="0.25">
      <c r="A19" s="3" t="s">
        <v>53</v>
      </c>
      <c r="B19" s="29"/>
      <c r="C19" s="29">
        <v>1</v>
      </c>
      <c r="D19" s="13">
        <f>SUMPRODUCT(B19:C19,B$21:C$21)</f>
        <v>4.1919999999925496E-2</v>
      </c>
      <c r="E19" s="6">
        <f>Q6</f>
        <v>960</v>
      </c>
    </row>
    <row r="20" spans="1:16" ht="15.75" x14ac:dyDescent="0.25">
      <c r="A20" s="3" t="s">
        <v>54</v>
      </c>
      <c r="B20" s="29">
        <v>1</v>
      </c>
      <c r="C20" s="29"/>
      <c r="D20" s="13">
        <f>SUMPRODUCT(B20:C20,B$21:C$21)</f>
        <v>11703</v>
      </c>
      <c r="E20" s="6">
        <v>11703</v>
      </c>
    </row>
    <row r="21" spans="1:16" ht="15.75" x14ac:dyDescent="0.25">
      <c r="A21" s="3" t="s">
        <v>44</v>
      </c>
      <c r="B21" s="2">
        <v>11703</v>
      </c>
      <c r="C21" s="2">
        <v>4.1919999999925496E-2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179992.78472960001</v>
      </c>
      <c r="C22" s="10"/>
      <c r="D22" s="10"/>
      <c r="E22" s="10"/>
      <c r="L22" s="23">
        <f>L7/18</f>
        <v>152777.77777777778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D134-F983-4154-B1C5-DB102120EE54}">
  <dimension ref="A1:S38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  <col min="19" max="19" width="9.5703125" bestFit="1" customWidth="1"/>
  </cols>
  <sheetData>
    <row r="1" spans="1:19" s="7" customFormat="1" x14ac:dyDescent="0.25"/>
    <row r="2" spans="1:19" x14ac:dyDescent="0.25">
      <c r="Q2" t="s">
        <v>52</v>
      </c>
      <c r="R2" t="s">
        <v>27</v>
      </c>
    </row>
    <row r="3" spans="1:19" ht="18.75" x14ac:dyDescent="0.3">
      <c r="A3" s="12" t="s">
        <v>22</v>
      </c>
      <c r="B3" s="18"/>
      <c r="C3" s="18"/>
      <c r="L3" s="30">
        <f>L7/L7*100</f>
        <v>100</v>
      </c>
      <c r="M3" s="30">
        <f>L6/L7</f>
        <v>0.3</v>
      </c>
      <c r="O3" t="s">
        <v>45</v>
      </c>
      <c r="P3">
        <v>44000</v>
      </c>
    </row>
    <row r="4" spans="1:19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9" x14ac:dyDescent="0.25">
      <c r="O5" t="s">
        <v>47</v>
      </c>
      <c r="P5">
        <v>19565</v>
      </c>
      <c r="Q5" s="27">
        <f>P3*0.4</f>
        <v>17600</v>
      </c>
      <c r="R5" s="27">
        <v>19565</v>
      </c>
      <c r="S5" s="23">
        <f>R5/1/5</f>
        <v>3913</v>
      </c>
    </row>
    <row r="6" spans="1:19" s="7" customFormat="1" x14ac:dyDescent="0.25">
      <c r="L6" s="7">
        <v>300000</v>
      </c>
      <c r="M6" s="31"/>
      <c r="P6" s="7" t="s">
        <v>50</v>
      </c>
      <c r="Q6">
        <f>Q5*M3</f>
        <v>5280</v>
      </c>
    </row>
    <row r="7" spans="1:19" x14ac:dyDescent="0.25">
      <c r="G7" t="s">
        <v>33</v>
      </c>
      <c r="H7" s="20">
        <v>300000</v>
      </c>
      <c r="K7" t="s">
        <v>33</v>
      </c>
      <c r="L7" s="19">
        <v>1000000</v>
      </c>
      <c r="M7" t="s">
        <v>42</v>
      </c>
      <c r="P7" t="s">
        <v>27</v>
      </c>
    </row>
    <row r="8" spans="1:19" ht="15.75" x14ac:dyDescent="0.25">
      <c r="A8" s="1"/>
      <c r="H8" s="28" t="s">
        <v>27</v>
      </c>
      <c r="I8" s="28"/>
      <c r="L8" s="28" t="s">
        <v>39</v>
      </c>
      <c r="M8" s="28"/>
    </row>
    <row r="9" spans="1:19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9" ht="15.75" x14ac:dyDescent="0.25">
      <c r="A10" s="1"/>
      <c r="H10" s="21">
        <f>$H$7/R5</f>
        <v>15.333503705596728</v>
      </c>
      <c r="I10" s="21">
        <f>H7/(($P$3+$R$5))</f>
        <v>4.7195783843310002</v>
      </c>
      <c r="J10" s="21">
        <f>H10-I10</f>
        <v>10.613925321265729</v>
      </c>
      <c r="L10" s="21">
        <f>$L$7/44000</f>
        <v>22.727272727272727</v>
      </c>
      <c r="M10" s="21">
        <f>$L$7/22000</f>
        <v>45.454545454545453</v>
      </c>
    </row>
    <row r="11" spans="1:19" ht="15.75" x14ac:dyDescent="0.25">
      <c r="A11" s="1"/>
      <c r="H11" s="21"/>
      <c r="I11" s="21" t="s">
        <v>48</v>
      </c>
      <c r="J11" t="s">
        <v>49</v>
      </c>
      <c r="K11" t="s">
        <v>43</v>
      </c>
      <c r="L11" s="21">
        <f>$L$6/P3</f>
        <v>6.8181818181818183</v>
      </c>
      <c r="M11" s="21">
        <f>L6/(($P$3+$Q$5))</f>
        <v>4.8701298701298699</v>
      </c>
      <c r="N11" s="21">
        <f>L11-M11</f>
        <v>1.9480519480519485</v>
      </c>
    </row>
    <row r="12" spans="1:19" ht="15.75" x14ac:dyDescent="0.25">
      <c r="A12" s="1"/>
      <c r="G12" s="22"/>
      <c r="L12" s="21">
        <f>$L$6/$Q$6</f>
        <v>56.81818181818182</v>
      </c>
      <c r="M12" s="21">
        <f>$L$6/((P3+Q5))</f>
        <v>4.8701298701298699</v>
      </c>
    </row>
    <row r="13" spans="1:19" ht="15.75" x14ac:dyDescent="0.25">
      <c r="A13" s="1"/>
      <c r="M13" s="21">
        <f>$L$6/($Q$6)</f>
        <v>56.81818181818182</v>
      </c>
    </row>
    <row r="14" spans="1:19" ht="16.5" thickBot="1" x14ac:dyDescent="0.3">
      <c r="A14" s="8" t="s">
        <v>1</v>
      </c>
      <c r="H14" t="s">
        <v>55</v>
      </c>
      <c r="I14" s="33">
        <f>(B16*R5-H7)/H7</f>
        <v>3.0323333333333721E-3</v>
      </c>
    </row>
    <row r="15" spans="1:19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9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2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19565</v>
      </c>
      <c r="E17" s="6">
        <v>19565</v>
      </c>
    </row>
    <row r="18" spans="1:12" ht="15.75" x14ac:dyDescent="0.25">
      <c r="A18" s="3" t="s">
        <v>34</v>
      </c>
      <c r="B18" s="26">
        <f>H10</f>
        <v>15.333503705596728</v>
      </c>
      <c r="C18" s="26">
        <f>L12</f>
        <v>56.81818181818182</v>
      </c>
      <c r="D18" s="13">
        <f>SUMPRODUCT(B18:C18,B$21:C$21)</f>
        <v>300000</v>
      </c>
      <c r="E18" s="6">
        <v>300000</v>
      </c>
    </row>
    <row r="19" spans="1:12" ht="15.75" x14ac:dyDescent="0.25">
      <c r="A19" s="3" t="s">
        <v>53</v>
      </c>
      <c r="B19" s="29"/>
      <c r="C19" s="29">
        <v>1</v>
      </c>
      <c r="D19" s="13">
        <f>SUMPRODUCT(B19:C19,B$21:C$21)</f>
        <v>0</v>
      </c>
      <c r="E19" s="6">
        <f>Q6</f>
        <v>5280</v>
      </c>
    </row>
    <row r="20" spans="1:12" ht="15.75" x14ac:dyDescent="0.25">
      <c r="A20" s="3" t="s">
        <v>54</v>
      </c>
      <c r="B20" s="29">
        <v>1</v>
      </c>
      <c r="C20" s="29"/>
      <c r="D20" s="13">
        <f>SUMPRODUCT(B20:C20,B$21:C$21)</f>
        <v>19565</v>
      </c>
      <c r="E20" s="27">
        <v>19565</v>
      </c>
    </row>
    <row r="21" spans="1:12" ht="15.75" x14ac:dyDescent="0.25">
      <c r="A21" s="3" t="s">
        <v>44</v>
      </c>
      <c r="B21" s="2">
        <v>19565</v>
      </c>
      <c r="C21" s="2">
        <v>0</v>
      </c>
      <c r="D21" s="3"/>
      <c r="E21" s="3"/>
      <c r="F21" t="s">
        <v>3</v>
      </c>
    </row>
    <row r="22" spans="1:12" x14ac:dyDescent="0.25">
      <c r="A22" s="9" t="s">
        <v>2</v>
      </c>
      <c r="B22" s="25">
        <f>SUMPRODUCT(B16:C16,B21:C21)</f>
        <v>300909.7</v>
      </c>
      <c r="C22" s="10"/>
      <c r="D22" s="10"/>
      <c r="E22" s="10"/>
      <c r="L22" s="23"/>
    </row>
    <row r="24" spans="1:12" s="7" customFormat="1" x14ac:dyDescent="0.25">
      <c r="A24" s="11" t="s">
        <v>4</v>
      </c>
    </row>
    <row r="25" spans="1:12" x14ac:dyDescent="0.25">
      <c r="A25" t="s">
        <v>5</v>
      </c>
    </row>
    <row r="26" spans="1:12" x14ac:dyDescent="0.25">
      <c r="A26" t="s">
        <v>6</v>
      </c>
    </row>
    <row r="27" spans="1:12" x14ac:dyDescent="0.25">
      <c r="A27" t="s">
        <v>7</v>
      </c>
    </row>
    <row r="28" spans="1:12" x14ac:dyDescent="0.25">
      <c r="A28" t="s">
        <v>8</v>
      </c>
    </row>
    <row r="29" spans="1:12" x14ac:dyDescent="0.25">
      <c r="A29" t="s">
        <v>9</v>
      </c>
    </row>
    <row r="30" spans="1:12" x14ac:dyDescent="0.25">
      <c r="A30" t="s">
        <v>10</v>
      </c>
    </row>
    <row r="31" spans="1:12" x14ac:dyDescent="0.25">
      <c r="A31" t="s">
        <v>11</v>
      </c>
    </row>
    <row r="32" spans="1:12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5A22-2F36-45F8-8954-DCA3378ACB57}">
  <dimension ref="A1:R38"/>
  <sheetViews>
    <sheetView zoomScale="85" zoomScaleNormal="85" workbookViewId="0">
      <selection activeCell="E20" sqref="E20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30">
        <f>L7/L7*100</f>
        <v>100</v>
      </c>
      <c r="M3" s="30">
        <f>L6/L7</f>
        <v>0.72727272727272729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19565</v>
      </c>
    </row>
    <row r="6" spans="1:18" s="7" customFormat="1" x14ac:dyDescent="0.25">
      <c r="A6" s="7" t="s">
        <v>15</v>
      </c>
      <c r="L6" s="7">
        <v>2000000</v>
      </c>
      <c r="M6" s="31"/>
      <c r="P6" s="7" t="s">
        <v>50</v>
      </c>
      <c r="Q6">
        <f>Q5*M3</f>
        <v>12800</v>
      </c>
    </row>
    <row r="7" spans="1:18" x14ac:dyDescent="0.25">
      <c r="C7" t="s">
        <v>30</v>
      </c>
      <c r="D7" t="s">
        <v>31</v>
      </c>
      <c r="G7" t="s">
        <v>33</v>
      </c>
      <c r="H7" s="20">
        <v>2000000</v>
      </c>
      <c r="K7" t="s">
        <v>33</v>
      </c>
      <c r="L7" s="19">
        <v>2750000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102.22335803731153</v>
      </c>
      <c r="I10" s="21">
        <f>H7/(($P$3+$R$5))</f>
        <v>31.46385589554</v>
      </c>
      <c r="J10" s="21">
        <f>H10-I10</f>
        <v>70.75950214177152</v>
      </c>
      <c r="L10" s="21">
        <f>$L$7/44000</f>
        <v>62.5</v>
      </c>
      <c r="M10" s="21">
        <f>$L$7/22000</f>
        <v>125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45.454545454545453</v>
      </c>
      <c r="M11" s="21">
        <f>L6/(($P$3+$Q$5))</f>
        <v>32.467532467532465</v>
      </c>
      <c r="N11" s="21">
        <f>L11-M11</f>
        <v>12.987012987012989</v>
      </c>
    </row>
    <row r="12" spans="1:18" ht="18.75" x14ac:dyDescent="0.25">
      <c r="A12" s="1" t="s">
        <v>18</v>
      </c>
      <c r="G12" s="22"/>
      <c r="L12" s="21">
        <f>$L$6/$Q$6</f>
        <v>156.25</v>
      </c>
      <c r="M12" s="21">
        <f>$L$6/((P3+Q5))</f>
        <v>32.467532467532465</v>
      </c>
    </row>
    <row r="13" spans="1:18" ht="15.75" x14ac:dyDescent="0.25">
      <c r="A13" s="1"/>
      <c r="M13" s="21">
        <f>$L$6/($Q$6)</f>
        <v>156.25</v>
      </c>
    </row>
    <row r="14" spans="1:18" ht="16.5" thickBot="1" x14ac:dyDescent="0.3">
      <c r="A14" s="8" t="s">
        <v>1</v>
      </c>
      <c r="H14" t="s">
        <v>55</v>
      </c>
      <c r="I14" s="33">
        <f>(B16*R5-H7)/H7</f>
        <v>-0.84954514999999997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4553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102.22335803731153</v>
      </c>
      <c r="C18" s="26">
        <f>L12</f>
        <v>156.25</v>
      </c>
      <c r="D18" s="13">
        <f>SUMPRODUCT(B18:C18,B$21:C$21)</f>
        <v>500000</v>
      </c>
      <c r="E18" s="6">
        <v>500000</v>
      </c>
    </row>
    <row r="19" spans="1:16" ht="15.75" x14ac:dyDescent="0.25">
      <c r="A19" s="3" t="s">
        <v>53</v>
      </c>
      <c r="B19" s="29"/>
      <c r="C19" s="29">
        <v>1</v>
      </c>
      <c r="D19" s="13">
        <f>SUMPRODUCT(B19:C19,B$21:C$21)</f>
        <v>640</v>
      </c>
      <c r="E19" s="6">
        <v>17600</v>
      </c>
    </row>
    <row r="20" spans="1:16" ht="15.75" x14ac:dyDescent="0.25">
      <c r="A20" s="3" t="s">
        <v>54</v>
      </c>
      <c r="B20" s="29">
        <v>1</v>
      </c>
      <c r="C20" s="29"/>
      <c r="D20" s="13">
        <f>SUMPRODUCT(B20:C20,B$21:C$21)</f>
        <v>3913</v>
      </c>
      <c r="E20" s="6">
        <v>3913</v>
      </c>
    </row>
    <row r="21" spans="1:16" ht="15.75" x14ac:dyDescent="0.25">
      <c r="A21" s="3" t="s">
        <v>44</v>
      </c>
      <c r="B21" s="2">
        <v>3913</v>
      </c>
      <c r="C21" s="2">
        <v>640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70025.14</v>
      </c>
      <c r="C22" s="10"/>
      <c r="D22" s="10"/>
      <c r="E22" s="10"/>
      <c r="L22" s="23">
        <f>L7/18</f>
        <v>152777.77777777778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208-4018-4F76-9575-0AC493AAEC86}">
  <dimension ref="A1:R38"/>
  <sheetViews>
    <sheetView zoomScale="85" zoomScaleNormal="85" workbookViewId="0">
      <selection activeCell="A15" sqref="A15:E22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30">
        <f>L7/L7*100</f>
        <v>100</v>
      </c>
      <c r="M3" s="30">
        <f>L6/L7</f>
        <v>1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19565</v>
      </c>
    </row>
    <row r="6" spans="1:18" s="7" customFormat="1" x14ac:dyDescent="0.25">
      <c r="A6" s="7" t="s">
        <v>15</v>
      </c>
      <c r="L6" s="19">
        <v>1000000</v>
      </c>
      <c r="M6" s="31"/>
      <c r="P6" s="7" t="s">
        <v>50</v>
      </c>
      <c r="Q6">
        <f>Q5*M3</f>
        <v>17600</v>
      </c>
    </row>
    <row r="7" spans="1:18" x14ac:dyDescent="0.25">
      <c r="C7" t="s">
        <v>30</v>
      </c>
      <c r="D7" t="s">
        <v>31</v>
      </c>
      <c r="G7" t="s">
        <v>33</v>
      </c>
      <c r="H7" s="20">
        <v>250797.41340969381</v>
      </c>
      <c r="K7" t="s">
        <v>33</v>
      </c>
      <c r="L7" s="19">
        <v>1000000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12.818676892905382</v>
      </c>
      <c r="I10" s="21">
        <f>H7/(($P$3+$R$5))</f>
        <v>3.9455268372483885</v>
      </c>
      <c r="J10" s="21">
        <f>H10-I10</f>
        <v>8.8731500556569927</v>
      </c>
      <c r="L10" s="21">
        <f>$L$7/44000</f>
        <v>22.727272727272727</v>
      </c>
      <c r="M10" s="21">
        <f>$L$7/22000</f>
        <v>45.454545454545453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22.727272727272727</v>
      </c>
      <c r="M11" s="21">
        <f>L6/(($P$3+$Q$5))</f>
        <v>16.233766233766232</v>
      </c>
      <c r="N11" s="21">
        <f>L11-M11</f>
        <v>6.4935064935064943</v>
      </c>
    </row>
    <row r="12" spans="1:18" ht="18.75" x14ac:dyDescent="0.25">
      <c r="A12" s="1" t="s">
        <v>18</v>
      </c>
      <c r="G12" s="22"/>
      <c r="L12" s="21">
        <f>$L$6/$Q$6</f>
        <v>56.81818181818182</v>
      </c>
      <c r="M12" s="21">
        <f>$L$6/((P3+Q5))</f>
        <v>16.233766233766232</v>
      </c>
    </row>
    <row r="13" spans="1:18" ht="15.75" x14ac:dyDescent="0.25">
      <c r="A13" s="1"/>
      <c r="M13" s="21">
        <f>$L$6/($Q$6)</f>
        <v>56.81818181818182</v>
      </c>
    </row>
    <row r="14" spans="1:18" ht="16.5" thickBot="1" x14ac:dyDescent="0.3">
      <c r="A14" s="8" t="s">
        <v>1</v>
      </c>
      <c r="H14" t="s">
        <v>55</v>
      </c>
      <c r="I14" s="33">
        <f>(B16*R5-H7)/H7</f>
        <v>0.19981181587564678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19564.999734005793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12.818676892905382</v>
      </c>
      <c r="C18" s="26">
        <f>L12</f>
        <v>56.81818181818182</v>
      </c>
      <c r="D18" s="13">
        <f>SUMPRODUCT(B18:C18,B$21:C$21)</f>
        <v>250797.41</v>
      </c>
      <c r="E18" s="6">
        <v>250797.41</v>
      </c>
    </row>
    <row r="19" spans="1:16" ht="15.75" x14ac:dyDescent="0.25">
      <c r="A19" s="3" t="s">
        <v>53</v>
      </c>
      <c r="B19" s="29"/>
      <c r="C19" s="29">
        <v>1</v>
      </c>
      <c r="D19" s="13">
        <f>SUMPRODUCT(B19:C19,B$21:C$21)</f>
        <v>0</v>
      </c>
      <c r="E19" s="6">
        <v>17600</v>
      </c>
    </row>
    <row r="20" spans="1:16" ht="15.75" x14ac:dyDescent="0.25">
      <c r="A20" s="3" t="s">
        <v>56</v>
      </c>
      <c r="B20" s="29">
        <v>1</v>
      </c>
      <c r="C20" s="29"/>
      <c r="D20" s="13">
        <f>SUMPRODUCT(B20:C20,B$21:C$21)</f>
        <v>19564.999734005793</v>
      </c>
      <c r="E20" s="6">
        <v>19565</v>
      </c>
    </row>
    <row r="21" spans="1:16" ht="15.75" x14ac:dyDescent="0.25">
      <c r="A21" s="3" t="s">
        <v>44</v>
      </c>
      <c r="B21" s="2">
        <v>19564.999734005793</v>
      </c>
      <c r="C21" s="2">
        <v>0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300909.69590900908</v>
      </c>
      <c r="C22" s="10"/>
      <c r="D22" s="10"/>
      <c r="E22" s="10"/>
      <c r="L22" s="23">
        <f>L7/18</f>
        <v>55555.555555555555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7235-8BEE-4356-B6FF-669843FE4724}">
  <dimension ref="A1:R38"/>
  <sheetViews>
    <sheetView zoomScale="85" zoomScaleNormal="85" workbookViewId="0">
      <selection activeCell="L7" sqref="L7"/>
    </sheetView>
  </sheetViews>
  <sheetFormatPr defaultRowHeight="15" x14ac:dyDescent="0.25"/>
  <cols>
    <col min="1" max="1" width="30.42578125" customWidth="1"/>
    <col min="2" max="2" width="14.140625" bestFit="1" customWidth="1"/>
    <col min="3" max="3" width="12.140625" customWidth="1"/>
    <col min="4" max="4" width="11.140625" customWidth="1"/>
    <col min="5" max="5" width="12" customWidth="1"/>
    <col min="6" max="7" width="12.5703125" customWidth="1"/>
    <col min="8" max="8" width="19.28515625" customWidth="1"/>
    <col min="9" max="9" width="12.5703125" customWidth="1"/>
    <col min="10" max="10" width="15.28515625" customWidth="1"/>
    <col min="12" max="12" width="17" bestFit="1" customWidth="1"/>
    <col min="13" max="13" width="14.28515625" bestFit="1" customWidth="1"/>
    <col min="15" max="15" width="18.85546875" bestFit="1" customWidth="1"/>
    <col min="16" max="16" width="10.42578125" bestFit="1" customWidth="1"/>
    <col min="17" max="18" width="10.5703125" bestFit="1" customWidth="1"/>
  </cols>
  <sheetData>
    <row r="1" spans="1:18" s="7" customFormat="1" x14ac:dyDescent="0.25">
      <c r="A1" s="7" t="s">
        <v>21</v>
      </c>
    </row>
    <row r="2" spans="1:18" x14ac:dyDescent="0.25">
      <c r="Q2" t="s">
        <v>52</v>
      </c>
      <c r="R2" t="s">
        <v>27</v>
      </c>
    </row>
    <row r="3" spans="1:18" ht="18.75" x14ac:dyDescent="0.3">
      <c r="A3" s="12" t="s">
        <v>22</v>
      </c>
      <c r="B3" s="18"/>
      <c r="C3" s="18"/>
      <c r="L3" s="30">
        <f>L7/L7*100</f>
        <v>100</v>
      </c>
      <c r="M3" s="30">
        <f>L6/L7</f>
        <v>1</v>
      </c>
      <c r="O3" t="s">
        <v>45</v>
      </c>
      <c r="P3">
        <v>44000</v>
      </c>
    </row>
    <row r="4" spans="1:18" ht="18.75" x14ac:dyDescent="0.3">
      <c r="A4" s="15" t="s">
        <v>23</v>
      </c>
      <c r="B4" s="14"/>
      <c r="C4" s="14"/>
      <c r="D4" s="14"/>
      <c r="O4" t="s">
        <v>46</v>
      </c>
      <c r="P4">
        <v>22000</v>
      </c>
    </row>
    <row r="5" spans="1:18" x14ac:dyDescent="0.25">
      <c r="O5" t="s">
        <v>47</v>
      </c>
      <c r="P5">
        <v>19565</v>
      </c>
      <c r="Q5" s="27">
        <f>P3*0.4</f>
        <v>17600</v>
      </c>
      <c r="R5" s="27">
        <v>19565</v>
      </c>
    </row>
    <row r="6" spans="1:18" s="7" customFormat="1" x14ac:dyDescent="0.25">
      <c r="A6" s="7" t="s">
        <v>15</v>
      </c>
      <c r="L6" s="7">
        <v>2750000</v>
      </c>
      <c r="M6" s="31"/>
      <c r="P6" s="7" t="s">
        <v>50</v>
      </c>
      <c r="Q6">
        <f>Q5*M3</f>
        <v>17600</v>
      </c>
    </row>
    <row r="7" spans="1:18" x14ac:dyDescent="0.25">
      <c r="C7" t="s">
        <v>30</v>
      </c>
      <c r="D7" t="s">
        <v>31</v>
      </c>
      <c r="G7" t="s">
        <v>33</v>
      </c>
      <c r="H7" s="20">
        <v>250797.41340969381</v>
      </c>
      <c r="K7" t="s">
        <v>33</v>
      </c>
      <c r="L7" s="19">
        <v>2750000</v>
      </c>
      <c r="M7" t="s">
        <v>42</v>
      </c>
      <c r="P7" t="s">
        <v>27</v>
      </c>
    </row>
    <row r="8" spans="1:18" ht="18.75" x14ac:dyDescent="0.25">
      <c r="A8" s="1" t="s">
        <v>29</v>
      </c>
      <c r="C8" t="s">
        <v>32</v>
      </c>
      <c r="D8" t="s">
        <v>31</v>
      </c>
      <c r="H8" s="28" t="s">
        <v>27</v>
      </c>
      <c r="I8" s="28"/>
      <c r="L8" s="28" t="s">
        <v>39</v>
      </c>
      <c r="M8" s="28"/>
    </row>
    <row r="9" spans="1:18" ht="15.75" x14ac:dyDescent="0.25">
      <c r="A9" s="1"/>
      <c r="H9" t="s">
        <v>37</v>
      </c>
      <c r="I9" t="s">
        <v>38</v>
      </c>
      <c r="L9" t="s">
        <v>40</v>
      </c>
      <c r="M9" t="s">
        <v>41</v>
      </c>
      <c r="N9" t="s">
        <v>51</v>
      </c>
    </row>
    <row r="10" spans="1:18" ht="18.75" x14ac:dyDescent="0.25">
      <c r="A10" s="1" t="s">
        <v>16</v>
      </c>
      <c r="H10" s="21">
        <f>$H$7/R5</f>
        <v>12.818676892905382</v>
      </c>
      <c r="I10" s="21">
        <f>H7/(($P$3+$R$5))</f>
        <v>3.9455268372483885</v>
      </c>
      <c r="J10" s="21">
        <f>H10-I10</f>
        <v>8.8731500556569927</v>
      </c>
      <c r="L10" s="21">
        <f>$L$7/44000</f>
        <v>62.5</v>
      </c>
      <c r="M10" s="21">
        <f>$L$7/22000</f>
        <v>125</v>
      </c>
    </row>
    <row r="11" spans="1:18" ht="18.75" x14ac:dyDescent="0.25">
      <c r="A11" s="1" t="s">
        <v>17</v>
      </c>
      <c r="H11" s="21"/>
      <c r="I11" s="21" t="s">
        <v>48</v>
      </c>
      <c r="J11" t="s">
        <v>49</v>
      </c>
      <c r="K11" t="s">
        <v>43</v>
      </c>
      <c r="L11" s="21">
        <f>$L$6/P3</f>
        <v>62.5</v>
      </c>
      <c r="M11" s="21">
        <f>L6/(($P$3+$Q$5))</f>
        <v>44.642857142857146</v>
      </c>
      <c r="N11" s="21">
        <f>L11-M11</f>
        <v>17.857142857142854</v>
      </c>
    </row>
    <row r="12" spans="1:18" ht="18.75" x14ac:dyDescent="0.25">
      <c r="A12" s="1" t="s">
        <v>18</v>
      </c>
      <c r="G12" s="22"/>
      <c r="L12" s="21">
        <f>$L$6/$Q$6</f>
        <v>156.25</v>
      </c>
      <c r="M12" s="21">
        <f>$L$6/((P3+Q5))</f>
        <v>44.642857142857146</v>
      </c>
    </row>
    <row r="13" spans="1:18" ht="15.75" x14ac:dyDescent="0.25">
      <c r="A13" s="1"/>
      <c r="M13" s="21">
        <f>$L$6/($Q$6)</f>
        <v>156.25</v>
      </c>
    </row>
    <row r="14" spans="1:18" ht="16.5" thickBot="1" x14ac:dyDescent="0.3">
      <c r="A14" s="8" t="s">
        <v>1</v>
      </c>
      <c r="H14" t="s">
        <v>55</v>
      </c>
      <c r="I14" s="33">
        <f>(B16*R5-H7)/H7</f>
        <v>0.19981181587564678</v>
      </c>
    </row>
    <row r="15" spans="1:18" ht="48" thickTop="1" x14ac:dyDescent="0.25">
      <c r="A15" s="16" t="s">
        <v>0</v>
      </c>
      <c r="B15" s="17" t="s">
        <v>27</v>
      </c>
      <c r="C15" s="17" t="s">
        <v>28</v>
      </c>
      <c r="D15" s="17" t="s">
        <v>24</v>
      </c>
      <c r="E15" s="17" t="s">
        <v>14</v>
      </c>
    </row>
    <row r="16" spans="1:18" ht="31.5" x14ac:dyDescent="0.25">
      <c r="A16" s="4" t="s">
        <v>36</v>
      </c>
      <c r="B16" s="26">
        <v>15.38</v>
      </c>
      <c r="C16" s="26">
        <v>15.38</v>
      </c>
      <c r="D16" s="3"/>
      <c r="E16" s="3"/>
    </row>
    <row r="17" spans="1:16" ht="15.75" x14ac:dyDescent="0.25">
      <c r="A17" s="3" t="s">
        <v>35</v>
      </c>
      <c r="B17" s="5">
        <v>1</v>
      </c>
      <c r="C17" s="5">
        <v>1</v>
      </c>
      <c r="D17" s="13">
        <f>SUMPRODUCT(B17:C17,B$21:C$21)</f>
        <v>7801.1171383332039</v>
      </c>
      <c r="E17" s="6">
        <v>19565</v>
      </c>
      <c r="P17">
        <v>83663</v>
      </c>
    </row>
    <row r="18" spans="1:16" ht="15.75" x14ac:dyDescent="0.25">
      <c r="A18" s="3" t="s">
        <v>34</v>
      </c>
      <c r="B18" s="26">
        <f>H10</f>
        <v>12.818676892905382</v>
      </c>
      <c r="C18" s="26">
        <f>L12</f>
        <v>156.25</v>
      </c>
      <c r="D18" s="13">
        <f>SUMPRODUCT(B18:C18,B$21:C$21)</f>
        <v>100000</v>
      </c>
      <c r="E18" s="6">
        <v>100000</v>
      </c>
    </row>
    <row r="19" spans="1:16" ht="15.75" x14ac:dyDescent="0.25">
      <c r="A19" s="3" t="s">
        <v>53</v>
      </c>
      <c r="B19" s="29"/>
      <c r="C19" s="29">
        <v>1</v>
      </c>
      <c r="D19" s="13">
        <f>SUMPRODUCT(B19:C19,B$21:C$21)</f>
        <v>0</v>
      </c>
      <c r="E19" s="6">
        <v>17600</v>
      </c>
    </row>
    <row r="20" spans="1:16" ht="15.75" x14ac:dyDescent="0.25">
      <c r="A20" s="3" t="s">
        <v>56</v>
      </c>
      <c r="B20" s="29">
        <v>1</v>
      </c>
      <c r="C20" s="29"/>
      <c r="D20" s="13">
        <f>SUMPRODUCT(B20:C20,B$21:C$21)</f>
        <v>7801.1171383332039</v>
      </c>
      <c r="E20" s="6">
        <v>19565</v>
      </c>
    </row>
    <row r="21" spans="1:16" ht="15.75" x14ac:dyDescent="0.25">
      <c r="A21" s="3" t="s">
        <v>44</v>
      </c>
      <c r="B21" s="2">
        <v>7801.1171383332039</v>
      </c>
      <c r="C21" s="2">
        <v>0</v>
      </c>
      <c r="D21" s="3"/>
      <c r="E21" s="3"/>
      <c r="F21" t="s">
        <v>3</v>
      </c>
    </row>
    <row r="22" spans="1:16" x14ac:dyDescent="0.25">
      <c r="A22" s="9" t="s">
        <v>2</v>
      </c>
      <c r="B22" s="25">
        <f>SUMPRODUCT(B16:C16,B21:C21)</f>
        <v>119981.18158756469</v>
      </c>
      <c r="C22" s="10"/>
      <c r="D22" s="10"/>
      <c r="E22" s="10"/>
      <c r="L22" s="23">
        <f>L7/18</f>
        <v>152777.77777777778</v>
      </c>
    </row>
    <row r="24" spans="1:16" s="7" customFormat="1" x14ac:dyDescent="0.25">
      <c r="A24" s="11" t="s">
        <v>4</v>
      </c>
    </row>
    <row r="25" spans="1:16" x14ac:dyDescent="0.25">
      <c r="A25" t="s">
        <v>5</v>
      </c>
    </row>
    <row r="26" spans="1:16" x14ac:dyDescent="0.25">
      <c r="A26" t="s">
        <v>6</v>
      </c>
    </row>
    <row r="27" spans="1:16" x14ac:dyDescent="0.25">
      <c r="A27" t="s">
        <v>7</v>
      </c>
    </row>
    <row r="28" spans="1:16" x14ac:dyDescent="0.25">
      <c r="A28" t="s">
        <v>8</v>
      </c>
    </row>
    <row r="29" spans="1:16" x14ac:dyDescent="0.25">
      <c r="A29" t="s">
        <v>9</v>
      </c>
    </row>
    <row r="30" spans="1:16" x14ac:dyDescent="0.25">
      <c r="A30" t="s">
        <v>10</v>
      </c>
    </row>
    <row r="31" spans="1:16" x14ac:dyDescent="0.25">
      <c r="A31" t="s">
        <v>11</v>
      </c>
    </row>
    <row r="32" spans="1:16" x14ac:dyDescent="0.25">
      <c r="A32" t="s">
        <v>12</v>
      </c>
    </row>
    <row r="34" spans="1:1" x14ac:dyDescent="0.25">
      <c r="A34" s="11" t="s">
        <v>13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26</v>
      </c>
    </row>
    <row r="38" spans="1:1" x14ac:dyDescent="0.25">
      <c r="A38" t="s">
        <v>25</v>
      </c>
    </row>
  </sheetData>
  <mergeCells count="2">
    <mergeCell ref="H8:I8"/>
    <mergeCell ref="L8:M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CDD6749BB5884C846D900E2B2F7888" ma:contentTypeVersion="12" ma:contentTypeDescription="Create a new document." ma:contentTypeScope="" ma:versionID="09a0bcc6fab78f27017d47638ba3af35">
  <xsd:schema xmlns:xsd="http://www.w3.org/2001/XMLSchema" xmlns:xs="http://www.w3.org/2001/XMLSchema" xmlns:p="http://schemas.microsoft.com/office/2006/metadata/properties" xmlns:ns3="64ce675a-6b5f-4aa3-83b5-328e148b9ebf" xmlns:ns4="2d97c2b7-1c90-480d-a968-23486e3f4385" targetNamespace="http://schemas.microsoft.com/office/2006/metadata/properties" ma:root="true" ma:fieldsID="45a2474183ed3d2fa5a5b4e119693a2e" ns3:_="" ns4:_="">
    <xsd:import namespace="64ce675a-6b5f-4aa3-83b5-328e148b9ebf"/>
    <xsd:import namespace="2d97c2b7-1c90-480d-a968-23486e3f43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675a-6b5f-4aa3-83b5-328e148b9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c2b7-1c90-480d-a968-23486e3f4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F094C1-D6B0-4F84-B47F-F0956F988FB7}">
  <ds:schemaRefs>
    <ds:schemaRef ds:uri="http://purl.org/dc/terms/"/>
    <ds:schemaRef ds:uri="http://schemas.microsoft.com/office/2006/documentManagement/types"/>
    <ds:schemaRef ds:uri="2d97c2b7-1c90-480d-a968-23486e3f4385"/>
    <ds:schemaRef ds:uri="http://schemas.microsoft.com/office/infopath/2007/PartnerControls"/>
    <ds:schemaRef ds:uri="http://purl.org/dc/dcmitype/"/>
    <ds:schemaRef ds:uri="http://purl.org/dc/elements/1.1/"/>
    <ds:schemaRef ds:uri="64ce675a-6b5f-4aa3-83b5-328e148b9eb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A6D81C1-43F0-4333-9823-410DF9DA58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682FC-4068-43FB-9655-7483BE600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ce675a-6b5f-4aa3-83b5-328e148b9ebf"/>
    <ds:schemaRef ds:uri="2d97c2b7-1c90-480d-a968-23486e3f4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 Solver-$50,000 </vt:lpstr>
      <vt:lpstr>Excel Solver-$75,000</vt:lpstr>
      <vt:lpstr>Excel Solver-$100,000</vt:lpstr>
      <vt:lpstr>Excel Solver-$150,000</vt:lpstr>
      <vt:lpstr>Excel Solver-$300,000</vt:lpstr>
      <vt:lpstr>Excel Solver-$500,000 (2)</vt:lpstr>
      <vt:lpstr>Excel Solver-Goal seek-Marketin</vt:lpstr>
      <vt:lpstr>Excel Solver-Goal seek-Irr.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technician</cp:lastModifiedBy>
  <dcterms:created xsi:type="dcterms:W3CDTF">2015-09-14T23:37:47Z</dcterms:created>
  <dcterms:modified xsi:type="dcterms:W3CDTF">2020-12-14T05:14:04Z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0x010100EDCDD6749BB5884C846D900E2B2F7888</vt:lpwstr>
  </property>
</Properties>
</file>